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655" yWindow="-120" windowWidth="12120" windowHeight="9705" tabRatio="895" activeTab="1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基准地价修正" sheetId="43" state="hidden" r:id="rId22"/>
    <sheet name="地价" sheetId="71" state="hidden" r:id="rId23"/>
    <sheet name="假设开发法" sheetId="12" r:id="rId24"/>
    <sheet name="收益法（仓储）"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收益法（车库）" sheetId="78"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土地案例及位置" sheetId="79" r:id="rId47"/>
  </sheets>
  <externalReferences>
    <externalReference r:id="rId48"/>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'收益法（仓储）'!$A$1:$AK$69</definedName>
    <definedName name="_xlnm.Print_Area" localSheetId="38">'收益法（车库）'!$A$1:$AK$69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C15" i="74"/>
  <c r="B15" i="74"/>
  <c r="D16" i="74" l="1"/>
  <c r="G16" i="74" l="1"/>
  <c r="D15" i="74" l="1"/>
  <c r="G15" i="74" l="1"/>
  <c r="Q35" i="3" l="1"/>
  <c r="Q34" i="3"/>
  <c r="Q33" i="3"/>
  <c r="Q32" i="3"/>
  <c r="C11" i="39" l="1"/>
  <c r="C10" i="39"/>
  <c r="G78" i="43" l="1"/>
  <c r="G77" i="43"/>
  <c r="G76" i="43"/>
  <c r="G75" i="43"/>
  <c r="G74" i="43"/>
  <c r="G73" i="43"/>
  <c r="G72" i="43"/>
  <c r="G71" i="43"/>
  <c r="G70" i="43"/>
  <c r="Q72" i="78"/>
  <c r="Q59" i="78"/>
  <c r="K59" i="78"/>
  <c r="P74" i="78" s="1"/>
  <c r="F59" i="78"/>
  <c r="Q58" i="78"/>
  <c r="Q51" i="78"/>
  <c r="J50" i="78"/>
  <c r="J51" i="78" s="1"/>
  <c r="M47" i="78"/>
  <c r="D46" i="78"/>
  <c r="F34" i="78"/>
  <c r="F62" i="78" s="1"/>
  <c r="F33" i="78"/>
  <c r="F61" i="78" s="1"/>
  <c r="F32" i="78"/>
  <c r="F60" i="78" s="1"/>
  <c r="F31" i="78"/>
  <c r="F28" i="78"/>
  <c r="C28" i="78" s="1"/>
  <c r="F23" i="78"/>
  <c r="D23" i="78" s="1"/>
  <c r="F21" i="78"/>
  <c r="M20" i="78"/>
  <c r="F20" i="78"/>
  <c r="M19" i="78"/>
  <c r="M18" i="78"/>
  <c r="F18" i="78"/>
  <c r="M17" i="78"/>
  <c r="F17" i="78"/>
  <c r="F15" i="78"/>
  <c r="G1" i="78"/>
  <c r="G22" i="6"/>
  <c r="G23" i="6"/>
  <c r="F16" i="78"/>
  <c r="D24" i="78" l="1"/>
  <c r="P61" i="78"/>
  <c r="D22" i="78"/>
  <c r="D39" i="43"/>
  <c r="D38" i="43"/>
  <c r="F23" i="6"/>
  <c r="F21" i="6"/>
  <c r="F20" i="6"/>
  <c r="K33" i="3"/>
  <c r="K34" i="3"/>
  <c r="K35" i="3"/>
  <c r="K36" i="3"/>
  <c r="K37" i="3"/>
  <c r="K32" i="3"/>
  <c r="AT40" i="3"/>
  <c r="AT39" i="3"/>
  <c r="AN39" i="3"/>
  <c r="S39" i="3"/>
  <c r="M39" i="3"/>
  <c r="AN38" i="3"/>
  <c r="AL38" i="3"/>
  <c r="C39" i="3"/>
  <c r="C40" i="3"/>
  <c r="C38" i="3"/>
  <c r="M33" i="3"/>
  <c r="M34" i="3"/>
  <c r="M35" i="3"/>
  <c r="M36" i="3"/>
  <c r="M37" i="3"/>
  <c r="M32" i="3"/>
  <c r="AN33" i="3"/>
  <c r="AN34" i="3"/>
  <c r="AN35" i="3"/>
  <c r="AN36" i="3"/>
  <c r="AN37" i="3"/>
  <c r="AN32" i="3"/>
  <c r="AF33" i="3"/>
  <c r="AF34" i="3"/>
  <c r="AF35" i="3"/>
  <c r="AF36" i="3"/>
  <c r="AF37" i="3"/>
  <c r="AF32" i="3"/>
  <c r="AT33" i="3"/>
  <c r="AT34" i="3"/>
  <c r="AT35" i="3"/>
  <c r="AT36" i="3"/>
  <c r="AT37" i="3"/>
  <c r="AT32" i="3"/>
  <c r="AD33" i="3"/>
  <c r="AD34" i="3"/>
  <c r="AD35" i="3"/>
  <c r="AD36" i="3"/>
  <c r="AD37" i="3"/>
  <c r="AD32" i="3"/>
  <c r="O33" i="3"/>
  <c r="O34" i="3"/>
  <c r="O35" i="3"/>
  <c r="O36" i="3"/>
  <c r="O37" i="3"/>
  <c r="O32" i="3"/>
  <c r="Q36" i="3"/>
  <c r="Q37" i="3"/>
  <c r="C33" i="3"/>
  <c r="C34" i="3"/>
  <c r="C35" i="3"/>
  <c r="C36" i="3"/>
  <c r="C37" i="3"/>
  <c r="C32" i="3"/>
  <c r="B32" i="3"/>
  <c r="A32" i="3"/>
  <c r="M31" i="3"/>
  <c r="C31" i="3"/>
  <c r="K14" i="3"/>
  <c r="K15" i="3"/>
  <c r="K16" i="3"/>
  <c r="K17" i="3"/>
  <c r="K18" i="3"/>
  <c r="K19" i="3"/>
  <c r="K20" i="3"/>
  <c r="K21" i="3"/>
  <c r="K22" i="3"/>
  <c r="K23" i="3"/>
  <c r="K24" i="3"/>
  <c r="K25" i="3"/>
  <c r="K26" i="3"/>
  <c r="K27" i="3"/>
  <c r="K28" i="3"/>
  <c r="K29" i="3"/>
  <c r="K30" i="3"/>
  <c r="K13" i="3"/>
  <c r="AN14" i="3"/>
  <c r="AN15" i="3"/>
  <c r="AN16" i="3"/>
  <c r="AN17" i="3"/>
  <c r="AN18" i="3"/>
  <c r="AN19" i="3"/>
  <c r="AN20" i="3"/>
  <c r="AN21" i="3"/>
  <c r="AN22" i="3"/>
  <c r="AN23" i="3"/>
  <c r="AN24" i="3"/>
  <c r="AN25" i="3"/>
  <c r="AN26" i="3"/>
  <c r="AN27" i="3"/>
  <c r="AN28" i="3"/>
  <c r="AN29" i="3"/>
  <c r="AN30" i="3"/>
  <c r="AN13" i="3"/>
  <c r="I14" i="3"/>
  <c r="I15" i="3"/>
  <c r="I16" i="3"/>
  <c r="I17" i="3"/>
  <c r="I18" i="3"/>
  <c r="I19" i="3"/>
  <c r="I20" i="3"/>
  <c r="I21" i="3"/>
  <c r="I22" i="3"/>
  <c r="I23" i="3"/>
  <c r="I24" i="3"/>
  <c r="I25" i="3"/>
  <c r="I26" i="3"/>
  <c r="I27" i="3"/>
  <c r="I28" i="3"/>
  <c r="I29" i="3"/>
  <c r="I30" i="3"/>
  <c r="I13" i="3"/>
  <c r="A13" i="3"/>
  <c r="B13" i="3"/>
  <c r="C26" i="3"/>
  <c r="C27" i="3"/>
  <c r="C28" i="3"/>
  <c r="C29" i="3"/>
  <c r="C30" i="3"/>
  <c r="C14" i="3"/>
  <c r="C15" i="3"/>
  <c r="C16" i="3"/>
  <c r="C17" i="3"/>
  <c r="C18" i="3"/>
  <c r="C19" i="3"/>
  <c r="C20" i="3"/>
  <c r="C21" i="3"/>
  <c r="C22" i="3"/>
  <c r="C23" i="3"/>
  <c r="C24" i="3"/>
  <c r="C25" i="3"/>
  <c r="C13" i="3"/>
  <c r="C54" i="77"/>
  <c r="H41" i="77"/>
  <c r="G41" i="77"/>
  <c r="C52" i="77"/>
  <c r="C51" i="77"/>
  <c r="C50" i="77"/>
  <c r="D46" i="77"/>
  <c r="C46" i="77"/>
  <c r="J45" i="77"/>
  <c r="I45" i="77"/>
  <c r="E47" i="77"/>
  <c r="D47" i="77"/>
  <c r="C47" i="77"/>
  <c r="E41" i="77"/>
  <c r="D41" i="77"/>
  <c r="C41" i="77"/>
  <c r="E28" i="77"/>
  <c r="C28" i="77"/>
  <c r="J26" i="77"/>
  <c r="I26" i="77"/>
  <c r="H26" i="77"/>
  <c r="E26" i="77"/>
  <c r="E29" i="77" s="1"/>
  <c r="D26" i="77"/>
  <c r="D29" i="77" s="1"/>
  <c r="C26" i="77"/>
  <c r="C29" i="77" s="1"/>
  <c r="F9" i="78"/>
  <c r="F26" i="78"/>
  <c r="F6" i="78"/>
  <c r="M26" i="78"/>
  <c r="M22" i="78"/>
  <c r="L47" i="78"/>
  <c r="M28" i="78"/>
  <c r="M9" i="78"/>
  <c r="M8" i="78"/>
  <c r="F8" i="78"/>
  <c r="M6" i="78"/>
  <c r="M24" i="78"/>
  <c r="J15" i="78"/>
  <c r="F37" i="78"/>
  <c r="F42" i="78"/>
  <c r="F38" i="78"/>
  <c r="C76" i="78"/>
  <c r="M27" i="78"/>
  <c r="L48" i="78"/>
  <c r="F36" i="78"/>
  <c r="M23" i="78"/>
  <c r="F13" i="78"/>
  <c r="F40" i="78"/>
  <c r="F64" i="78" l="1"/>
  <c r="F66" i="78"/>
  <c r="C27" i="78"/>
  <c r="F51" i="78"/>
  <c r="F68" i="78"/>
  <c r="L57" i="78"/>
  <c r="L56" i="78"/>
  <c r="I54" i="78"/>
  <c r="L60" i="78"/>
  <c r="J57" i="78"/>
  <c r="J55" i="78" s="1"/>
  <c r="J58" i="78" s="1"/>
  <c r="Q50" i="78" s="1"/>
  <c r="F65" i="78"/>
  <c r="N59" i="78"/>
  <c r="L58" i="78"/>
  <c r="Q71" i="78"/>
  <c r="L3" i="71"/>
  <c r="K3" i="71"/>
  <c r="I3" i="71"/>
  <c r="Q60" i="78" l="1"/>
  <c r="Q73" i="78"/>
  <c r="Q66" i="78"/>
  <c r="Q57" i="78"/>
  <c r="J3" i="7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1" i="76"/>
  <c r="E13" i="76"/>
  <c r="B8" i="76"/>
  <c r="B12" i="76"/>
  <c r="E10" i="76"/>
  <c r="B7" i="76"/>
  <c r="E7" i="76"/>
  <c r="E9" i="76"/>
  <c r="E11" i="76"/>
  <c r="E8" i="76"/>
  <c r="E12" i="76"/>
  <c r="B10" i="76"/>
  <c r="B13"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6" i="73"/>
  <c r="D5" i="73"/>
  <c r="D3" i="73"/>
  <c r="F6" i="73"/>
  <c r="F5" i="73"/>
  <c r="F3" i="73"/>
  <c r="F4" i="73"/>
  <c r="I1" i="73" l="1"/>
  <c r="B39" i="1" s="1"/>
  <c r="D4" i="73"/>
  <c r="D7"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9" i="1"/>
  <c r="AP10" i="1"/>
  <c r="AP11" i="1"/>
  <c r="AP12" i="1"/>
  <c r="AP13" i="1"/>
  <c r="L21" i="6"/>
  <c r="L22" i="6"/>
  <c r="L23" i="6"/>
  <c r="L24" i="6"/>
  <c r="L25" i="6"/>
  <c r="L26" i="6"/>
  <c r="D6" i="71" l="1"/>
  <c r="C5" i="71"/>
  <c r="D5" i="71" s="1"/>
  <c r="P27" i="6"/>
  <c r="A7" i="70"/>
  <c r="A8" i="70"/>
  <c r="E8" i="70" s="1"/>
  <c r="A9" i="70"/>
  <c r="A10" i="70"/>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13" i="1"/>
  <c r="B11" i="70" l="1"/>
  <c r="B13" i="70"/>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F9" i="1" s="1"/>
  <c r="G9" i="1" s="1"/>
  <c r="G15" i="4"/>
  <c r="F10" i="1" s="1"/>
  <c r="G10" i="1" s="1"/>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M13" i="1"/>
  <c r="O13" i="1" s="1"/>
  <c r="P13" i="1"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C8" i="12" s="1"/>
  <c r="BB12" i="3"/>
  <c r="F7" i="12"/>
  <c r="D7" i="12"/>
  <c r="D8" i="12" s="1"/>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5"/>
  <c r="J10" i="36"/>
  <c r="AC10" i="36" s="1"/>
  <c r="AB26" i="33"/>
  <c r="AB30" i="21"/>
  <c r="AA14" i="37"/>
  <c r="W31" i="34"/>
  <c r="AC13" i="36"/>
  <c r="W13" i="36"/>
  <c r="S11" i="36"/>
  <c r="W11" i="36"/>
  <c r="W11" i="35"/>
  <c r="AC30" i="34"/>
  <c r="S45" i="33"/>
  <c r="AB31" i="33"/>
  <c r="W29" i="33"/>
  <c r="AC28" i="21"/>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s="1"/>
  <c r="BA554" i="3"/>
  <c r="BA552" i="3"/>
  <c r="BA548" i="3"/>
  <c r="BA546" i="3"/>
  <c r="AZ546" i="3" s="1"/>
  <c r="BA544" i="3"/>
  <c r="BA542" i="3"/>
  <c r="AZ542" i="3" s="1"/>
  <c r="BA540" i="3"/>
  <c r="AZ540" i="3" s="1"/>
  <c r="BA538" i="3"/>
  <c r="BA536" i="3"/>
  <c r="BA534" i="3"/>
  <c r="AZ534" i="3" s="1"/>
  <c r="BA532" i="3"/>
  <c r="BA530" i="3"/>
  <c r="BA528" i="3"/>
  <c r="BA526" i="3"/>
  <c r="AZ526" i="3" s="1"/>
  <c r="BA524" i="3"/>
  <c r="BA522" i="3"/>
  <c r="AZ522" i="3" s="1"/>
  <c r="BA520" i="3"/>
  <c r="BA518" i="3"/>
  <c r="BA516" i="3"/>
  <c r="BA514" i="3"/>
  <c r="BA512" i="3"/>
  <c r="AZ512" i="3" s="1"/>
  <c r="BA510" i="3"/>
  <c r="AZ510" i="3" s="1"/>
  <c r="BA508" i="3"/>
  <c r="BA506" i="3"/>
  <c r="AZ506" i="3" s="1"/>
  <c r="BA504" i="3"/>
  <c r="BA502" i="3"/>
  <c r="AZ502" i="3" s="1"/>
  <c r="BA500" i="3"/>
  <c r="BA498" i="3"/>
  <c r="AZ498" i="3" s="1"/>
  <c r="BA496" i="3"/>
  <c r="BA494" i="3"/>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L549" i="3" s="1"/>
  <c r="AZ549" i="3" s="1"/>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s="1"/>
  <c r="AZ497"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AZ116" i="3" s="1"/>
  <c r="G117" i="3"/>
  <c r="BA119" i="3"/>
  <c r="BL120" i="3"/>
  <c r="AZ120" i="3" s="1"/>
  <c r="G121" i="3"/>
  <c r="BA123" i="3"/>
  <c r="AZ123" i="3" s="1"/>
  <c r="BL124" i="3"/>
  <c r="AZ124" i="3" s="1"/>
  <c r="G125" i="3"/>
  <c r="BA127" i="3"/>
  <c r="BL128" i="3"/>
  <c r="G129" i="3"/>
  <c r="BA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c r="BL196" i="3"/>
  <c r="G197" i="3"/>
  <c r="BA199" i="3"/>
  <c r="AZ199" i="3" s="1"/>
  <c r="BL200" i="3"/>
  <c r="G201" i="3"/>
  <c r="BA203" i="3"/>
  <c r="AZ203" i="3" s="1"/>
  <c r="BL204" i="3"/>
  <c r="AZ79" i="3"/>
  <c r="AZ83" i="3"/>
  <c r="AZ136" i="3"/>
  <c r="AZ144" i="3"/>
  <c r="AZ85" i="3"/>
  <c r="AZ89" i="3"/>
  <c r="AZ105" i="3"/>
  <c r="G534" i="3"/>
  <c r="G530" i="3"/>
  <c r="G522" i="3"/>
  <c r="G516" i="3"/>
  <c r="G512" i="3"/>
  <c r="G506" i="3"/>
  <c r="G498" i="3"/>
  <c r="G494" i="3"/>
  <c r="G16" i="3"/>
  <c r="G15" i="3"/>
  <c r="BA304" i="3"/>
  <c r="BA305" i="3"/>
  <c r="AZ305" i="3" s="1"/>
  <c r="BL305" i="3"/>
  <c r="G306" i="3"/>
  <c r="G309" i="3"/>
  <c r="BL310" i="3"/>
  <c r="BA312" i="3"/>
  <c r="BA313" i="3"/>
  <c r="BL313" i="3"/>
  <c r="AZ313" i="3" s="1"/>
  <c r="G314" i="3"/>
  <c r="G317" i="3"/>
  <c r="BL318" i="3"/>
  <c r="BA320" i="3"/>
  <c r="BA321" i="3"/>
  <c r="BL321" i="3"/>
  <c r="G322" i="3"/>
  <c r="G325" i="3"/>
  <c r="BL326" i="3"/>
  <c r="BA328" i="3"/>
  <c r="AZ328" i="3" s="1"/>
  <c r="BA329" i="3"/>
  <c r="BL329" i="3"/>
  <c r="G330" i="3"/>
  <c r="G333" i="3"/>
  <c r="BL334" i="3"/>
  <c r="BA336" i="3"/>
  <c r="BA337" i="3"/>
  <c r="BL337" i="3"/>
  <c r="G338" i="3"/>
  <c r="G341" i="3"/>
  <c r="BA342" i="3"/>
  <c r="BL342" i="3"/>
  <c r="AZ342" i="3" s="1"/>
  <c r="BA344" i="3"/>
  <c r="BL344" i="3"/>
  <c r="BA346" i="3"/>
  <c r="BA347" i="3"/>
  <c r="BL347" i="3"/>
  <c r="G350" i="3"/>
  <c r="BA351" i="3"/>
  <c r="AZ351" i="3" s="1"/>
  <c r="BL351" i="3"/>
  <c r="G352" i="3"/>
  <c r="G354" i="3"/>
  <c r="BA355" i="3"/>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BA390" i="3"/>
  <c r="BL390" i="3"/>
  <c r="AZ390" i="3" s="1"/>
  <c r="G391" i="3"/>
  <c r="G394" i="3"/>
  <c r="AZ138" i="3"/>
  <c r="AZ142" i="3"/>
  <c r="AZ146" i="3"/>
  <c r="AZ154" i="3"/>
  <c r="AZ158" i="3"/>
  <c r="AZ170" i="3"/>
  <c r="AZ186" i="3"/>
  <c r="AZ500" i="3"/>
  <c r="BA16" i="3"/>
  <c r="AZ16" i="3" s="1"/>
  <c r="BL303" i="3"/>
  <c r="AZ303" i="3" s="1"/>
  <c r="G304" i="3"/>
  <c r="BA306" i="3"/>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319" i="3"/>
  <c r="G342" i="3"/>
  <c r="BL345" i="3"/>
  <c r="G346" i="3"/>
  <c r="BL349" i="3"/>
  <c r="BL352" i="3"/>
  <c r="AZ352" i="3" s="1"/>
  <c r="G353" i="3"/>
  <c r="BA357" i="3"/>
  <c r="BL358" i="3"/>
  <c r="AZ358" i="3" s="1"/>
  <c r="G359" i="3"/>
  <c r="BA361" i="3"/>
  <c r="AZ361" i="3" s="1"/>
  <c r="BL362" i="3"/>
  <c r="G363" i="3"/>
  <c r="BA365" i="3"/>
  <c r="AZ365" i="3" s="1"/>
  <c r="BL366" i="3"/>
  <c r="G367" i="3"/>
  <c r="BA369" i="3"/>
  <c r="BL370" i="3"/>
  <c r="G371" i="3"/>
  <c r="BA373" i="3"/>
  <c r="BL374" i="3"/>
  <c r="AZ374" i="3" s="1"/>
  <c r="G375" i="3"/>
  <c r="BA377" i="3"/>
  <c r="AZ249" i="3"/>
  <c r="AZ269" i="3"/>
  <c r="AZ273" i="3"/>
  <c r="BA379" i="3"/>
  <c r="AZ379" i="3" s="1"/>
  <c r="BL380" i="3"/>
  <c r="G381" i="3"/>
  <c r="BA383" i="3"/>
  <c r="AZ383" i="3" s="1"/>
  <c r="BL384" i="3"/>
  <c r="G385" i="3"/>
  <c r="BA387" i="3"/>
  <c r="AZ387" i="3" s="1"/>
  <c r="BL388" i="3"/>
  <c r="G389" i="3"/>
  <c r="BA391" i="3"/>
  <c r="BL392" i="3"/>
  <c r="G393" i="3"/>
  <c r="AZ283" i="3"/>
  <c r="BO5" i="3"/>
  <c r="BM5" i="3"/>
  <c r="BJ5" i="3"/>
  <c r="BH5" i="3"/>
  <c r="BF5" i="3"/>
  <c r="BD5" i="3"/>
  <c r="AZ325" i="3"/>
  <c r="AC5" i="3"/>
  <c r="AZ496" i="3"/>
  <c r="G548" i="3"/>
  <c r="G538" i="3"/>
  <c r="G520" i="3"/>
  <c r="G502" i="3"/>
  <c r="BS5" i="3"/>
  <c r="BP5" i="3"/>
  <c r="BN5" i="3"/>
  <c r="BK5" i="3"/>
  <c r="BI5" i="3"/>
  <c r="BG5" i="3"/>
  <c r="BE5" i="3"/>
  <c r="BC5" i="3"/>
  <c r="G17" i="3"/>
  <c r="BA17" i="3"/>
  <c r="BT5" i="3"/>
  <c r="AZ356" i="3"/>
  <c r="BA15" i="3"/>
  <c r="BB5" i="3"/>
  <c r="BR5" i="3"/>
  <c r="G28" i="6" s="1"/>
  <c r="AZ384" i="3"/>
  <c r="AZ499" i="3"/>
  <c r="AZ509" i="3"/>
  <c r="G509" i="3"/>
  <c r="BL493" i="3"/>
  <c r="AZ491" i="3"/>
  <c r="AZ382" i="3"/>
  <c r="AZ493" i="3"/>
  <c r="U36" i="40"/>
  <c r="N4" i="43"/>
  <c r="F36" i="43"/>
  <c r="F81" i="43"/>
  <c r="H83" i="43" s="1"/>
  <c r="H113" i="43"/>
  <c r="F48" i="43"/>
  <c r="H52" i="43" s="1"/>
  <c r="N7" i="43"/>
  <c r="F70" i="43" s="1"/>
  <c r="M6" i="43"/>
  <c r="M11" i="43"/>
  <c r="E17" i="43"/>
  <c r="F39" i="43"/>
  <c r="I17" i="43"/>
  <c r="F35" i="43"/>
  <c r="J17" i="43"/>
  <c r="F6" i="1"/>
  <c r="U17" i="39"/>
  <c r="S14" i="35"/>
  <c r="U43" i="21"/>
  <c r="U35" i="21"/>
  <c r="AC35" i="21"/>
  <c r="U10" i="21"/>
  <c r="F48" i="9"/>
  <c r="O52" i="9" s="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C40" i="11"/>
  <c r="AZ227" i="3"/>
  <c r="AZ248" i="3"/>
  <c r="AZ251" i="3"/>
  <c r="AZ268" i="3"/>
  <c r="AZ271" i="3"/>
  <c r="AZ133" i="3"/>
  <c r="AZ50" i="3"/>
  <c r="AZ82" i="3"/>
  <c r="AZ102" i="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F43" i="78"/>
  <c r="F7" i="78"/>
  <c r="M29" i="78"/>
  <c r="F50" i="78" l="1"/>
  <c r="C49" i="78" s="1"/>
  <c r="C48" i="78" s="1"/>
  <c r="M7" i="78"/>
  <c r="C6" i="78"/>
  <c r="C5" i="78" s="1"/>
  <c r="F71" i="78"/>
  <c r="M10" i="1"/>
  <c r="O10" i="1" s="1"/>
  <c r="P10" i="1" s="1"/>
  <c r="M9" i="1"/>
  <c r="O9" i="1" s="1"/>
  <c r="P9" i="1" s="1"/>
  <c r="S11" i="39"/>
  <c r="G20" i="43"/>
  <c r="C20" i="43" s="1"/>
  <c r="M8" i="1"/>
  <c r="O8" i="1" s="1"/>
  <c r="P8" i="1" s="1"/>
  <c r="AP8" i="1"/>
  <c r="H73" i="43"/>
  <c r="H74" i="43"/>
  <c r="H75" i="43"/>
  <c r="F8" i="1"/>
  <c r="G8" i="1" s="1"/>
  <c r="G11" i="1"/>
  <c r="BA38" i="3"/>
  <c r="BL38" i="3"/>
  <c r="G39" i="3"/>
  <c r="BL503" i="3"/>
  <c r="AZ503" i="3" s="1"/>
  <c r="BQ5" i="3"/>
  <c r="AZ389" i="3"/>
  <c r="AZ369" i="3"/>
  <c r="AZ320" i="3"/>
  <c r="AZ378" i="3"/>
  <c r="AZ587" i="3"/>
  <c r="BL432" i="3"/>
  <c r="G433" i="3"/>
  <c r="BL460" i="3"/>
  <c r="G461" i="3"/>
  <c r="G480" i="3"/>
  <c r="AZ391" i="3"/>
  <c r="AZ380" i="3"/>
  <c r="AZ345" i="3"/>
  <c r="AZ347" i="3"/>
  <c r="AZ344" i="3"/>
  <c r="AZ337" i="3"/>
  <c r="AZ394" i="3"/>
  <c r="AZ376" i="3"/>
  <c r="AZ373" i="3"/>
  <c r="AZ362" i="3"/>
  <c r="AZ360" i="3"/>
  <c r="AZ343" i="3"/>
  <c r="AZ341" i="3"/>
  <c r="AZ309" i="3"/>
  <c r="AZ523" i="3"/>
  <c r="AZ527" i="3"/>
  <c r="AZ531" i="3"/>
  <c r="AZ535" i="3"/>
  <c r="AZ539" i="3"/>
  <c r="AZ543" i="3"/>
  <c r="AZ547" i="3"/>
  <c r="AZ559" i="3"/>
  <c r="AZ579" i="3"/>
  <c r="AZ504" i="3"/>
  <c r="AZ508" i="3"/>
  <c r="AZ516" i="3"/>
  <c r="AZ524" i="3"/>
  <c r="AZ528" i="3"/>
  <c r="AZ532" i="3"/>
  <c r="AZ536" i="3"/>
  <c r="AZ544" i="3"/>
  <c r="AZ554" i="3"/>
  <c r="AZ558" i="3"/>
  <c r="AZ582" i="3"/>
  <c r="G570" i="3"/>
  <c r="G566" i="3"/>
  <c r="G542" i="3"/>
  <c r="G526" i="3"/>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5" i="3"/>
  <c r="BL435" i="3"/>
  <c r="BA436" i="3"/>
  <c r="AZ436" i="3" s="1"/>
  <c r="BA438" i="3"/>
  <c r="BL438" i="3"/>
  <c r="BA439" i="3"/>
  <c r="AZ439" i="3" s="1"/>
  <c r="BA440" i="3"/>
  <c r="AZ440" i="3" s="1"/>
  <c r="BA442" i="3"/>
  <c r="BL442" i="3"/>
  <c r="G443" i="3"/>
  <c r="BL444" i="3"/>
  <c r="G445" i="3"/>
  <c r="G447" i="3"/>
  <c r="BL448" i="3"/>
  <c r="G449" i="3"/>
  <c r="G451" i="3"/>
  <c r="G454" i="3"/>
  <c r="G458" i="3"/>
  <c r="BL463" i="3"/>
  <c r="G464" i="3"/>
  <c r="BA465" i="3"/>
  <c r="BL465" i="3"/>
  <c r="BA466" i="3"/>
  <c r="AZ466" i="3" s="1"/>
  <c r="BA467" i="3"/>
  <c r="AZ467" i="3" s="1"/>
  <c r="BA469" i="3"/>
  <c r="BL469" i="3"/>
  <c r="BA470" i="3"/>
  <c r="BL470" i="3"/>
  <c r="G471" i="3"/>
  <c r="BL472" i="3"/>
  <c r="G473" i="3"/>
  <c r="G476" i="3"/>
  <c r="G477" i="3"/>
  <c r="BL478" i="3"/>
  <c r="G479" i="3"/>
  <c r="BL482" i="3"/>
  <c r="G483" i="3"/>
  <c r="G487" i="3"/>
  <c r="G489" i="3"/>
  <c r="AZ368" i="3"/>
  <c r="AZ370" i="3"/>
  <c r="G230" i="3"/>
  <c r="G253" i="3"/>
  <c r="BL255" i="3"/>
  <c r="G256" i="3"/>
  <c r="BL257" i="3"/>
  <c r="G258" i="3"/>
  <c r="G260" i="3"/>
  <c r="G262" i="3"/>
  <c r="BL265" i="3"/>
  <c r="G266" i="3"/>
  <c r="G271" i="3"/>
  <c r="AZ302" i="3"/>
  <c r="BA113" i="3"/>
  <c r="AZ113" i="3" s="1"/>
  <c r="BA114" i="3"/>
  <c r="AZ114" i="3" s="1"/>
  <c r="BL115" i="3"/>
  <c r="AZ115" i="3" s="1"/>
  <c r="G116" i="3"/>
  <c r="BA117" i="3"/>
  <c r="AZ117" i="3" s="1"/>
  <c r="BL117" i="3"/>
  <c r="G118" i="3"/>
  <c r="G120" i="3"/>
  <c r="BL121" i="3"/>
  <c r="G122" i="3"/>
  <c r="BA125" i="3"/>
  <c r="AZ125" i="3" s="1"/>
  <c r="BL125" i="3"/>
  <c r="BA126" i="3"/>
  <c r="AZ126" i="3" s="1"/>
  <c r="BL127" i="3"/>
  <c r="AZ127" i="3" s="1"/>
  <c r="BA128" i="3"/>
  <c r="AZ128" i="3" s="1"/>
  <c r="BL130" i="3"/>
  <c r="G131" i="3"/>
  <c r="BA132" i="3"/>
  <c r="AZ132" i="3" s="1"/>
  <c r="BA150" i="3"/>
  <c r="AZ150" i="3" s="1"/>
  <c r="BL150" i="3"/>
  <c r="G154" i="3"/>
  <c r="BA157" i="3"/>
  <c r="BL157" i="3"/>
  <c r="G158" i="3"/>
  <c r="BL159" i="3"/>
  <c r="AZ159" i="3" s="1"/>
  <c r="G160" i="3"/>
  <c r="BA162" i="3"/>
  <c r="AZ162" i="3" s="1"/>
  <c r="BL162" i="3"/>
  <c r="BA164" i="3"/>
  <c r="AZ164" i="3" s="1"/>
  <c r="G167" i="3"/>
  <c r="G170" i="3"/>
  <c r="BA173" i="3"/>
  <c r="BL173" i="3"/>
  <c r="BL175" i="3"/>
  <c r="AZ175" i="3" s="1"/>
  <c r="G176" i="3"/>
  <c r="BA178" i="3"/>
  <c r="BL178" i="3"/>
  <c r="BA180" i="3"/>
  <c r="AZ180" i="3" s="1"/>
  <c r="G183" i="3"/>
  <c r="G186" i="3"/>
  <c r="BA189" i="3"/>
  <c r="BL189" i="3"/>
  <c r="BL191" i="3"/>
  <c r="AZ191" i="3" s="1"/>
  <c r="G192" i="3"/>
  <c r="BA194" i="3"/>
  <c r="BA489" i="3"/>
  <c r="BL489" i="3"/>
  <c r="G490" i="3"/>
  <c r="BL490" i="3"/>
  <c r="G491" i="3"/>
  <c r="BL312" i="3"/>
  <c r="AZ312" i="3" s="1"/>
  <c r="G313" i="3"/>
  <c r="BA315" i="3"/>
  <c r="AZ315" i="3" s="1"/>
  <c r="BL317" i="3"/>
  <c r="G318" i="3"/>
  <c r="BA332" i="3"/>
  <c r="BL332" i="3"/>
  <c r="G343" i="3"/>
  <c r="G345" i="3"/>
  <c r="G347" i="3"/>
  <c r="BA348" i="3"/>
  <c r="AZ348" i="3" s="1"/>
  <c r="BA349" i="3"/>
  <c r="AZ349" i="3" s="1"/>
  <c r="BA366" i="3"/>
  <c r="AZ366" i="3" s="1"/>
  <c r="BL367" i="3"/>
  <c r="G374" i="3"/>
  <c r="BL375" i="3"/>
  <c r="G378" i="3"/>
  <c r="G387" i="3"/>
  <c r="BA388" i="3"/>
  <c r="AZ388" i="3" s="1"/>
  <c r="BA392" i="3"/>
  <c r="AZ392" i="3" s="1"/>
  <c r="G396" i="3"/>
  <c r="BA208" i="3"/>
  <c r="BL208" i="3"/>
  <c r="BL210" i="3"/>
  <c r="G211" i="3"/>
  <c r="G213" i="3"/>
  <c r="G214" i="3"/>
  <c r="G216" i="3"/>
  <c r="BA217" i="3"/>
  <c r="AZ217" i="3" s="1"/>
  <c r="BL217" i="3"/>
  <c r="BL219" i="3"/>
  <c r="G220" i="3"/>
  <c r="G222" i="3"/>
  <c r="BL223" i="3"/>
  <c r="G224" i="3"/>
  <c r="G227" i="3"/>
  <c r="G229" i="3"/>
  <c r="BL230" i="3"/>
  <c r="AZ230" i="3" s="1"/>
  <c r="BA231" i="3"/>
  <c r="AZ231" i="3" s="1"/>
  <c r="BA232" i="3"/>
  <c r="AZ232" i="3" s="1"/>
  <c r="BA233" i="3"/>
  <c r="AZ233" i="3" s="1"/>
  <c r="BA235" i="3"/>
  <c r="AZ235" i="3" s="1"/>
  <c r="BL235" i="3"/>
  <c r="BA236" i="3"/>
  <c r="BL236" i="3"/>
  <c r="G237" i="3"/>
  <c r="BA238" i="3"/>
  <c r="BL238" i="3"/>
  <c r="BL239" i="3"/>
  <c r="G240" i="3"/>
  <c r="BL241" i="3"/>
  <c r="G242" i="3"/>
  <c r="G244" i="3"/>
  <c r="BL245" i="3"/>
  <c r="G246" i="3"/>
  <c r="G251" i="3"/>
  <c r="G255" i="3"/>
  <c r="G261" i="3"/>
  <c r="BA275" i="3"/>
  <c r="BL275" i="3"/>
  <c r="BA276" i="3"/>
  <c r="AZ276" i="3" s="1"/>
  <c r="BL278" i="3"/>
  <c r="G279" i="3"/>
  <c r="BL280" i="3"/>
  <c r="G281" i="3"/>
  <c r="G285" i="3"/>
  <c r="BL286" i="3"/>
  <c r="BA288" i="3"/>
  <c r="AZ288" i="3" s="1"/>
  <c r="BL288" i="3"/>
  <c r="BA289" i="3"/>
  <c r="AZ289" i="3" s="1"/>
  <c r="BA291" i="3"/>
  <c r="BL291" i="3"/>
  <c r="BA292" i="3"/>
  <c r="BL292" i="3"/>
  <c r="G293" i="3"/>
  <c r="BL294" i="3"/>
  <c r="G295" i="3"/>
  <c r="BL296" i="3"/>
  <c r="G297" i="3"/>
  <c r="BA299" i="3"/>
  <c r="AZ299" i="3" s="1"/>
  <c r="BL299" i="3"/>
  <c r="G300" i="3"/>
  <c r="G57" i="3"/>
  <c r="BL106" i="3"/>
  <c r="G107" i="3"/>
  <c r="BL194" i="3"/>
  <c r="BA196" i="3"/>
  <c r="AZ196" i="3" s="1"/>
  <c r="G199" i="3"/>
  <c r="BA200" i="3"/>
  <c r="AZ200" i="3" s="1"/>
  <c r="G203" i="3"/>
  <c r="G205" i="3"/>
  <c r="BL206" i="3"/>
  <c r="G207" i="3"/>
  <c r="G20" i="3"/>
  <c r="G22" i="3"/>
  <c r="BL23" i="3"/>
  <c r="G24" i="3"/>
  <c r="BA26" i="3"/>
  <c r="BA31" i="3"/>
  <c r="G40" i="3"/>
  <c r="BL41" i="3"/>
  <c r="G42" i="3"/>
  <c r="BL43" i="3"/>
  <c r="G44" i="3"/>
  <c r="BL47" i="3"/>
  <c r="G48" i="3"/>
  <c r="G50" i="3"/>
  <c r="G52" i="3"/>
  <c r="BL53" i="3"/>
  <c r="G54" i="3"/>
  <c r="G56"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G109" i="3"/>
  <c r="BL110" i="3"/>
  <c r="G111" i="3"/>
  <c r="BL31" i="3"/>
  <c r="BL37" i="3"/>
  <c r="BA33" i="3"/>
  <c r="BA35" i="3"/>
  <c r="BA41" i="3"/>
  <c r="BA43" i="3"/>
  <c r="AZ43" i="3" s="1"/>
  <c r="BA44" i="3"/>
  <c r="AZ44" i="3" s="1"/>
  <c r="BA45" i="3"/>
  <c r="AZ45" i="3" s="1"/>
  <c r="BA47" i="3"/>
  <c r="AZ47" i="3" s="1"/>
  <c r="BA48" i="3"/>
  <c r="AZ48" i="3" s="1"/>
  <c r="G38" i="3"/>
  <c r="BL33" i="3"/>
  <c r="BL35" i="3"/>
  <c r="G34" i="3"/>
  <c r="G36" i="3"/>
  <c r="G32" i="3"/>
  <c r="G33" i="3"/>
  <c r="BL34" i="3"/>
  <c r="G35" i="3"/>
  <c r="BL36" i="3"/>
  <c r="G37" i="3"/>
  <c r="E8" i="6"/>
  <c r="F27" i="6" s="1"/>
  <c r="D29" i="43" s="1"/>
  <c r="D1" i="43" s="1"/>
  <c r="BA18" i="3"/>
  <c r="AZ18" i="3" s="1"/>
  <c r="BA19" i="3"/>
  <c r="BA21" i="3"/>
  <c r="BA23" i="3"/>
  <c r="AZ23" i="3" s="1"/>
  <c r="BA27" i="3"/>
  <c r="AZ27" i="3" s="1"/>
  <c r="BA28" i="3"/>
  <c r="AZ28" i="3" s="1"/>
  <c r="BA29" i="3"/>
  <c r="AZ29" i="3" s="1"/>
  <c r="G18" i="3"/>
  <c r="BL20" i="3"/>
  <c r="AZ20" i="3" s="1"/>
  <c r="G21" i="3"/>
  <c r="BL22" i="3"/>
  <c r="G23" i="3"/>
  <c r="G25" i="3"/>
  <c r="BL26" i="3"/>
  <c r="G27" i="3"/>
  <c r="G31" i="3"/>
  <c r="A15" i="62"/>
  <c r="B61" i="72" s="1"/>
  <c r="AB14" i="37"/>
  <c r="U14" i="37"/>
  <c r="AB26" i="37"/>
  <c r="U26" i="37"/>
  <c r="AC32" i="40"/>
  <c r="W32" i="40"/>
  <c r="AZ377" i="3"/>
  <c r="AZ357" i="3"/>
  <c r="AZ306" i="3"/>
  <c r="AZ355" i="3"/>
  <c r="U27" i="37"/>
  <c r="AB27" i="37"/>
  <c r="AC31" i="40"/>
  <c r="W31" i="40"/>
  <c r="AA38" i="40"/>
  <c r="S38" i="40"/>
  <c r="W40" i="40"/>
  <c r="AC40" i="40"/>
  <c r="AZ557" i="3"/>
  <c r="BA551" i="3"/>
  <c r="BL550" i="3"/>
  <c r="BA550" i="3"/>
  <c r="BL548" i="3"/>
  <c r="AZ548" i="3" s="1"/>
  <c r="G14" i="3"/>
  <c r="BL15" i="3"/>
  <c r="AZ15" i="3" s="1"/>
  <c r="AZ403" i="3"/>
  <c r="AZ406" i="3"/>
  <c r="AZ419" i="3"/>
  <c r="AZ422" i="3"/>
  <c r="AZ435" i="3"/>
  <c r="AZ438" i="3"/>
  <c r="AZ442" i="3"/>
  <c r="AZ451" i="3"/>
  <c r="AZ454" i="3"/>
  <c r="AZ458" i="3"/>
  <c r="AZ469" i="3"/>
  <c r="AZ470" i="3"/>
  <c r="BA471" i="3"/>
  <c r="AZ471" i="3" s="1"/>
  <c r="BA472" i="3"/>
  <c r="AZ472" i="3" s="1"/>
  <c r="G475" i="3"/>
  <c r="BL476" i="3"/>
  <c r="AZ487" i="3"/>
  <c r="AZ489" i="3"/>
  <c r="BL346" i="3"/>
  <c r="BA350" i="3"/>
  <c r="AZ350" i="3" s="1"/>
  <c r="BL353" i="3"/>
  <c r="AZ353" i="3" s="1"/>
  <c r="G395" i="3"/>
  <c r="BL395" i="3"/>
  <c r="BA222" i="3"/>
  <c r="AZ222" i="3" s="1"/>
  <c r="BA223" i="3"/>
  <c r="AZ223" i="3" s="1"/>
  <c r="G226" i="3"/>
  <c r="BL226" i="3"/>
  <c r="F29" i="6"/>
  <c r="AZ327" i="3"/>
  <c r="AZ310" i="3"/>
  <c r="AZ371" i="3"/>
  <c r="AZ346" i="3"/>
  <c r="AZ336" i="3"/>
  <c r="AZ329" i="3"/>
  <c r="AZ321" i="3"/>
  <c r="AZ304" i="3"/>
  <c r="AZ375" i="3"/>
  <c r="AA25" i="21"/>
  <c r="W14" i="37"/>
  <c r="U43" i="33"/>
  <c r="AA41" i="34"/>
  <c r="AZ507" i="3"/>
  <c r="AZ513" i="3"/>
  <c r="AZ521" i="3"/>
  <c r="AZ553" i="3"/>
  <c r="AZ583" i="3"/>
  <c r="AZ581" i="3"/>
  <c r="AZ518" i="3"/>
  <c r="AZ538" i="3"/>
  <c r="AZ552" i="3"/>
  <c r="S44" i="34"/>
  <c r="U13" i="33"/>
  <c r="AB45" i="33"/>
  <c r="AA14" i="34"/>
  <c r="AB46" i="34"/>
  <c r="AB11" i="36"/>
  <c r="U46" i="33"/>
  <c r="AA13" i="35"/>
  <c r="BL586" i="3"/>
  <c r="BL585" i="3"/>
  <c r="AZ585" i="3" s="1"/>
  <c r="J25" i="37"/>
  <c r="H38" i="40"/>
  <c r="F40" i="40"/>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AZ443" i="3"/>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AZ476" i="3"/>
  <c r="AZ477" i="3"/>
  <c r="BA478" i="3"/>
  <c r="AZ478" i="3" s="1"/>
  <c r="BA479" i="3"/>
  <c r="AZ479" i="3" s="1"/>
  <c r="BL481" i="3"/>
  <c r="AZ481" i="3" s="1"/>
  <c r="BA482" i="3"/>
  <c r="AZ482" i="3" s="1"/>
  <c r="BA483" i="3"/>
  <c r="AZ483" i="3" s="1"/>
  <c r="G485" i="3"/>
  <c r="G486" i="3"/>
  <c r="BL486" i="3"/>
  <c r="AZ486" i="3" s="1"/>
  <c r="G311" i="3"/>
  <c r="G315" i="3"/>
  <c r="BA317" i="3"/>
  <c r="AZ317" i="3" s="1"/>
  <c r="G327" i="3"/>
  <c r="G331" i="3"/>
  <c r="BA333" i="3"/>
  <c r="AZ333" i="3" s="1"/>
  <c r="BL381" i="3"/>
  <c r="AZ381" i="3" s="1"/>
  <c r="BL386" i="3"/>
  <c r="AZ386" i="3" s="1"/>
  <c r="G392" i="3"/>
  <c r="AZ395" i="3"/>
  <c r="AZ397" i="3"/>
  <c r="BL209" i="3"/>
  <c r="AZ209" i="3" s="1"/>
  <c r="BA210" i="3"/>
  <c r="AZ210" i="3" s="1"/>
  <c r="BL213" i="3"/>
  <c r="BL215" i="3"/>
  <c r="AZ215" i="3" s="1"/>
  <c r="BA216" i="3"/>
  <c r="AZ216" i="3" s="1"/>
  <c r="BL218" i="3"/>
  <c r="AZ218" i="3" s="1"/>
  <c r="BA219" i="3"/>
  <c r="AZ219" i="3" s="1"/>
  <c r="AZ226" i="3"/>
  <c r="AZ236" i="3"/>
  <c r="BA237" i="3"/>
  <c r="AZ237" i="3" s="1"/>
  <c r="AZ252" i="3"/>
  <c r="BA253" i="3"/>
  <c r="AZ253" i="3" s="1"/>
  <c r="AZ292" i="3"/>
  <c r="AZ298" i="3"/>
  <c r="G302" i="3"/>
  <c r="G114" i="3"/>
  <c r="G115" i="3"/>
  <c r="BA118" i="3"/>
  <c r="AZ118" i="3" s="1"/>
  <c r="BL119" i="3"/>
  <c r="AZ119" i="3" s="1"/>
  <c r="BA121" i="3"/>
  <c r="AZ121" i="3" s="1"/>
  <c r="G124" i="3"/>
  <c r="G127" i="3"/>
  <c r="BL149" i="3"/>
  <c r="BA228" i="3"/>
  <c r="AZ228" i="3" s="1"/>
  <c r="BA229" i="3"/>
  <c r="AZ229" i="3" s="1"/>
  <c r="G232" i="3"/>
  <c r="G233" i="3"/>
  <c r="G234" i="3"/>
  <c r="BL234" i="3"/>
  <c r="BA239" i="3"/>
  <c r="AZ239" i="3" s="1"/>
  <c r="BA240" i="3"/>
  <c r="AZ240" i="3" s="1"/>
  <c r="BA241" i="3"/>
  <c r="AZ241" i="3" s="1"/>
  <c r="BL243" i="3"/>
  <c r="AZ243" i="3" s="1"/>
  <c r="BA244" i="3"/>
  <c r="AZ244" i="3" s="1"/>
  <c r="BA245" i="3"/>
  <c r="AZ245" i="3" s="1"/>
  <c r="G248" i="3"/>
  <c r="G249" i="3"/>
  <c r="G250" i="3"/>
  <c r="BL250"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BA294" i="3"/>
  <c r="AZ294" i="3" s="1"/>
  <c r="BA295" i="3"/>
  <c r="AZ295" i="3" s="1"/>
  <c r="BA296" i="3"/>
  <c r="AZ296" i="3" s="1"/>
  <c r="BA129" i="3"/>
  <c r="AZ129" i="3" s="1"/>
  <c r="BA130" i="3"/>
  <c r="AZ130" i="3" s="1"/>
  <c r="BL131" i="3"/>
  <c r="AZ131" i="3" s="1"/>
  <c r="G135" i="3"/>
  <c r="G138" i="3"/>
  <c r="G139" i="3"/>
  <c r="G142" i="3"/>
  <c r="G143" i="3"/>
  <c r="G146" i="3"/>
  <c r="G147" i="3"/>
  <c r="G148" i="3"/>
  <c r="BA152" i="3"/>
  <c r="AZ152" i="3" s="1"/>
  <c r="BL153" i="3"/>
  <c r="AZ153" i="3" s="1"/>
  <c r="G156" i="3"/>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AP6" i="1"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E14" i="6"/>
  <c r="E64" i="39" s="1"/>
  <c r="E5" i="6"/>
  <c r="D9" i="11" s="1"/>
  <c r="C9" i="11" s="1"/>
  <c r="E32" i="6"/>
  <c r="L19" i="6" s="1"/>
  <c r="G1" i="68"/>
  <c r="K1" i="12"/>
  <c r="F30" i="6"/>
  <c r="F31" i="6" s="1"/>
  <c r="E57" i="40"/>
  <c r="AQ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4" i="43" s="1"/>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E62" i="39"/>
  <c r="E51" i="40"/>
  <c r="B6" i="1"/>
  <c r="E6" i="1" s="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4" i="67"/>
  <c r="M8" i="15"/>
  <c r="M29" i="67"/>
  <c r="J15" i="67"/>
  <c r="F37" i="15"/>
  <c r="F7" i="67"/>
  <c r="M28" i="67"/>
  <c r="F37" i="67"/>
  <c r="M6" i="67"/>
  <c r="F36" i="67"/>
  <c r="M23" i="15"/>
  <c r="M8" i="67"/>
  <c r="C76" i="67"/>
  <c r="F7" i="15"/>
  <c r="F13" i="67"/>
  <c r="F9" i="15"/>
  <c r="L48" i="15"/>
  <c r="F6" i="15"/>
  <c r="M26" i="15"/>
  <c r="F8" i="67"/>
  <c r="F36" i="15"/>
  <c r="M29" i="15"/>
  <c r="F9" i="67"/>
  <c r="F16" i="67"/>
  <c r="F6" i="67"/>
  <c r="F40" i="15"/>
  <c r="M22" i="67"/>
  <c r="G1" i="73"/>
  <c r="F42" i="67"/>
  <c r="F43" i="15"/>
  <c r="F40" i="67"/>
  <c r="F42" i="15"/>
  <c r="L47" i="67"/>
  <c r="M28" i="15"/>
  <c r="L48" i="67"/>
  <c r="F38" i="15"/>
  <c r="M9" i="15"/>
  <c r="F26" i="67"/>
  <c r="F38" i="67"/>
  <c r="L47" i="15"/>
  <c r="M6" i="15"/>
  <c r="F13" i="15"/>
  <c r="F26" i="15"/>
  <c r="C76" i="15"/>
  <c r="M23" i="67"/>
  <c r="F43" i="67"/>
  <c r="F8" i="15"/>
  <c r="C16" i="78"/>
  <c r="M24" i="15"/>
  <c r="M26" i="67"/>
  <c r="M22" i="15"/>
  <c r="J15" i="15"/>
  <c r="F16" i="15"/>
  <c r="M9" i="67"/>
  <c r="A3" i="3" l="1"/>
  <c r="J6" i="78"/>
  <c r="J10" i="78"/>
  <c r="C38" i="78"/>
  <c r="C32" i="78"/>
  <c r="C66" i="78"/>
  <c r="C60" i="78"/>
  <c r="F32" i="39"/>
  <c r="U12" i="39"/>
  <c r="T12" i="1"/>
  <c r="E56" i="39"/>
  <c r="E27" i="6"/>
  <c r="K20" i="6" s="1"/>
  <c r="S7" i="1" s="1"/>
  <c r="E7" i="70" s="1"/>
  <c r="E29" i="6"/>
  <c r="K15" i="1" s="1"/>
  <c r="AZ22" i="3"/>
  <c r="AZ38" i="3"/>
  <c r="AZ31" i="3"/>
  <c r="AZ33" i="3"/>
  <c r="AZ5" i="3" s="1"/>
  <c r="AZ95" i="3"/>
  <c r="AZ71" i="3"/>
  <c r="AZ67" i="3"/>
  <c r="AZ65" i="3"/>
  <c r="AZ291" i="3"/>
  <c r="AZ275" i="3"/>
  <c r="AZ208" i="3"/>
  <c r="AZ332" i="3"/>
  <c r="AZ178" i="3"/>
  <c r="AZ194" i="3"/>
  <c r="E56" i="40"/>
  <c r="E4" i="4"/>
  <c r="B5" i="62" s="1"/>
  <c r="B73" i="72" s="1"/>
  <c r="AB38" i="40"/>
  <c r="U38" i="40"/>
  <c r="AA40" i="40"/>
  <c r="S40" i="40"/>
  <c r="AC25" i="37"/>
  <c r="W25" i="37"/>
  <c r="L58" i="67"/>
  <c r="L58" i="15"/>
  <c r="Q73" i="15" s="1"/>
  <c r="N59" i="67"/>
  <c r="L59" i="67" s="1"/>
  <c r="J53" i="67"/>
  <c r="I54" i="67"/>
  <c r="N59" i="15"/>
  <c r="I54" i="15"/>
  <c r="AQ13" i="1"/>
  <c r="AZ13" i="3"/>
  <c r="M6" i="1"/>
  <c r="O6" i="1" s="1"/>
  <c r="P6" i="1" s="1"/>
  <c r="F30" i="68"/>
  <c r="C30" i="68" s="1"/>
  <c r="F30" i="11"/>
  <c r="C48" i="11" s="1"/>
  <c r="F28" i="67"/>
  <c r="C28" i="67" s="1"/>
  <c r="F31" i="12"/>
  <c r="F52" i="9"/>
  <c r="M18" i="67"/>
  <c r="F32" i="67"/>
  <c r="F60" i="67" s="1"/>
  <c r="F30" i="69"/>
  <c r="C48" i="69" s="1"/>
  <c r="F32" i="15"/>
  <c r="F60" i="15" s="1"/>
  <c r="M18" i="15"/>
  <c r="F28" i="15"/>
  <c r="C28" i="15" s="1"/>
  <c r="E63" i="39"/>
  <c r="E66" i="39" s="1"/>
  <c r="T11" i="1"/>
  <c r="D9" i="69"/>
  <c r="C9" i="69" s="1"/>
  <c r="D19" i="12"/>
  <c r="C19" i="12" s="1"/>
  <c r="AR11" i="1"/>
  <c r="E59" i="40"/>
  <c r="D68" i="39"/>
  <c r="D70" i="39" s="1"/>
  <c r="E30" i="6"/>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78"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31" i="15"/>
  <c r="F59" i="67"/>
  <c r="F31" i="67"/>
  <c r="F59" i="15"/>
  <c r="C16" i="15"/>
  <c r="C16" i="67"/>
  <c r="I4" i="6" l="1"/>
  <c r="G3" i="43" s="1"/>
  <c r="AT6" i="3"/>
  <c r="J5" i="78"/>
  <c r="J24" i="78" s="1"/>
  <c r="AY6" i="3"/>
  <c r="E3" i="6"/>
  <c r="K19" i="6"/>
  <c r="S6" i="1" s="1"/>
  <c r="AQ6" i="1" s="1"/>
  <c r="K24" i="6"/>
  <c r="M24" i="6" s="1"/>
  <c r="I24" i="6" s="1"/>
  <c r="S24" i="6" s="1"/>
  <c r="K4" i="4"/>
  <c r="B46" i="48" s="1"/>
  <c r="B4" i="72" s="1"/>
  <c r="C24" i="78"/>
  <c r="K25" i="6"/>
  <c r="M25" i="6" s="1"/>
  <c r="I25" i="6" s="1"/>
  <c r="S25" i="6" s="1"/>
  <c r="K22" i="6"/>
  <c r="M22" i="6" s="1"/>
  <c r="I22" i="6" s="1"/>
  <c r="S22" i="6" s="1"/>
  <c r="K21" i="6"/>
  <c r="E31" i="6"/>
  <c r="C30" i="69"/>
  <c r="M23" i="6"/>
  <c r="I23" i="6" s="1"/>
  <c r="S23" i="6" s="1"/>
  <c r="S10" i="1"/>
  <c r="K16" i="1"/>
  <c r="S5" i="43"/>
  <c r="S7" i="43"/>
  <c r="S4" i="43"/>
  <c r="S6" i="43"/>
  <c r="T6" i="43" s="1"/>
  <c r="V6" i="43" s="1"/>
  <c r="S3" i="43"/>
  <c r="C23" i="43"/>
  <c r="S2" i="43"/>
  <c r="M20" i="6"/>
  <c r="I20" i="6" s="1"/>
  <c r="S20" i="6" s="1"/>
  <c r="AQ7" i="1"/>
  <c r="T7" i="1"/>
  <c r="AR7" i="1"/>
  <c r="C30" i="11"/>
  <c r="E6" i="70"/>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F28" i="12"/>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4" i="43"/>
  <c r="V4"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B21" i="1" s="1"/>
  <c r="Q60" i="67"/>
  <c r="Q73" i="67"/>
  <c r="F27" i="11"/>
  <c r="Q61" i="67"/>
  <c r="Q74" i="67"/>
  <c r="C49" i="67"/>
  <c r="F1" i="67"/>
  <c r="Q52" i="67"/>
  <c r="C17" i="78"/>
  <c r="T6" i="1" l="1"/>
  <c r="M19" i="6"/>
  <c r="I19" i="6" s="1"/>
  <c r="S19" i="6" s="1"/>
  <c r="S27" i="6" s="1"/>
  <c r="H38" i="39"/>
  <c r="J38" i="39"/>
  <c r="F38" i="39"/>
  <c r="F22" i="43"/>
  <c r="C101" i="43"/>
  <c r="L101" i="43"/>
  <c r="I101" i="43"/>
  <c r="AH11" i="43"/>
  <c r="AH13" i="43" s="1"/>
  <c r="Z11" i="43"/>
  <c r="Z13" i="43" s="1"/>
  <c r="AE11" i="43"/>
  <c r="AE13" i="43" s="1"/>
  <c r="D101" i="43"/>
  <c r="G22" i="43"/>
  <c r="AD11" i="43"/>
  <c r="AD13" i="43" s="1"/>
  <c r="AI11" i="43"/>
  <c r="AI13" i="43" s="1"/>
  <c r="AA11" i="43"/>
  <c r="AA13" i="43" s="1"/>
  <c r="F101" i="43"/>
  <c r="AC11" i="43"/>
  <c r="AC13" i="43" s="1"/>
  <c r="Z7" i="43"/>
  <c r="AF11" i="43"/>
  <c r="AF13" i="43" s="1"/>
  <c r="E101" i="43"/>
  <c r="H101" i="43"/>
  <c r="E22" i="43"/>
  <c r="G101" i="43"/>
  <c r="K101" i="43"/>
  <c r="Y11" i="43"/>
  <c r="Y13" i="43" s="1"/>
  <c r="AG11" i="43"/>
  <c r="AG13" i="43" s="1"/>
  <c r="AB11" i="43"/>
  <c r="AB13" i="43" s="1"/>
  <c r="AJ11" i="43"/>
  <c r="AJ13" i="43" s="1"/>
  <c r="M101" i="43"/>
  <c r="H22" i="43"/>
  <c r="N104" i="46"/>
  <c r="B113" i="43"/>
  <c r="J101" i="43"/>
  <c r="N101" i="43"/>
  <c r="AR6" i="1"/>
  <c r="J18" i="78"/>
  <c r="J26" i="78"/>
  <c r="S9" i="1"/>
  <c r="E9" i="70" s="1"/>
  <c r="M21" i="6"/>
  <c r="S8" i="1"/>
  <c r="AQ8" i="1" s="1"/>
  <c r="K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I21" i="6"/>
  <c r="S21" i="6" s="1"/>
  <c r="M27" i="6"/>
  <c r="E10" i="70"/>
  <c r="B23" i="1"/>
  <c r="C26" i="11" s="1"/>
  <c r="D22" i="11" s="1"/>
  <c r="B24" i="1"/>
  <c r="C29" i="12" s="1"/>
  <c r="D28" i="12" s="1"/>
  <c r="C29" i="68"/>
  <c r="D27" i="68" s="1"/>
  <c r="AQ10" i="1"/>
  <c r="T10" i="1"/>
  <c r="AR10" i="1"/>
  <c r="T9" i="1"/>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F34" i="11"/>
  <c r="C37" i="11" s="1"/>
  <c r="AC10" i="40"/>
  <c r="C26" i="68"/>
  <c r="D22" i="68" s="1"/>
  <c r="C44" i="68"/>
  <c r="D41" i="68" s="1"/>
  <c r="C26" i="69"/>
  <c r="D22" i="69" s="1"/>
  <c r="C44" i="69"/>
  <c r="D41" i="69" s="1"/>
  <c r="C25" i="11"/>
  <c r="C24" i="11"/>
  <c r="C44" i="11"/>
  <c r="D41" i="11" s="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I27" i="6"/>
  <c r="W10" i="39"/>
  <c r="AC10" i="39"/>
  <c r="U10" i="39"/>
  <c r="AB10" i="39"/>
  <c r="F50" i="68"/>
  <c r="C47" i="11"/>
  <c r="D45" i="11" s="1"/>
  <c r="C29" i="11"/>
  <c r="D27" i="11" s="1"/>
  <c r="C28" i="11"/>
  <c r="C27" i="11" s="1"/>
  <c r="L16" i="1"/>
  <c r="C14" i="78"/>
  <c r="C17" i="15"/>
  <c r="C23" i="11" l="1"/>
  <c r="F50" i="11"/>
  <c r="AR9" i="1"/>
  <c r="J105" i="43"/>
  <c r="J102" i="43"/>
  <c r="J103" i="43"/>
  <c r="J104" i="43"/>
  <c r="J107" i="43"/>
  <c r="J106" i="43"/>
  <c r="J109" i="43"/>
  <c r="M109" i="43"/>
  <c r="M104" i="43"/>
  <c r="M107" i="43"/>
  <c r="M105" i="43"/>
  <c r="M102" i="43"/>
  <c r="M106" i="43"/>
  <c r="M103" i="43"/>
  <c r="G102" i="43"/>
  <c r="G104" i="43"/>
  <c r="G103" i="43"/>
  <c r="G105" i="43"/>
  <c r="G107" i="43"/>
  <c r="G106" i="43"/>
  <c r="G109" i="43"/>
  <c r="H107" i="43"/>
  <c r="H106" i="43"/>
  <c r="H105" i="43"/>
  <c r="H102" i="43"/>
  <c r="H103" i="43"/>
  <c r="H104" i="43"/>
  <c r="H109" i="43"/>
  <c r="D109" i="43"/>
  <c r="D103" i="43"/>
  <c r="D104" i="43"/>
  <c r="D107" i="43"/>
  <c r="D105" i="43"/>
  <c r="D106" i="43"/>
  <c r="D102" i="43"/>
  <c r="I109" i="43"/>
  <c r="I102" i="43"/>
  <c r="I106" i="43"/>
  <c r="I103" i="43"/>
  <c r="I104" i="43"/>
  <c r="I107" i="43"/>
  <c r="I105" i="43"/>
  <c r="C104" i="43"/>
  <c r="C103" i="43"/>
  <c r="C102" i="43"/>
  <c r="C107" i="43"/>
  <c r="C109" i="43"/>
  <c r="C106" i="43"/>
  <c r="C105" i="43"/>
  <c r="AA38" i="39"/>
  <c r="S38" i="39"/>
  <c r="AB38" i="39"/>
  <c r="U38" i="39"/>
  <c r="N102" i="43"/>
  <c r="N107" i="43"/>
  <c r="N103" i="43"/>
  <c r="N104" i="43"/>
  <c r="N105" i="43"/>
  <c r="N109" i="43"/>
  <c r="N106" i="43"/>
  <c r="I117" i="43"/>
  <c r="J117" i="43" s="1"/>
  <c r="K117" i="43" s="1"/>
  <c r="L117" i="43" s="1"/>
  <c r="M117" i="43" s="1"/>
  <c r="D115" i="43"/>
  <c r="E115" i="43" s="1"/>
  <c r="F115" i="43" s="1"/>
  <c r="G115" i="43" s="1"/>
  <c r="H115" i="43" s="1"/>
  <c r="D118" i="43"/>
  <c r="E118" i="43" s="1"/>
  <c r="F118" i="43" s="1"/>
  <c r="B115" i="43"/>
  <c r="D116" i="43"/>
  <c r="E116" i="43" s="1"/>
  <c r="F116" i="43" s="1"/>
  <c r="G116" i="43" s="1"/>
  <c r="H116" i="43" s="1"/>
  <c r="I116" i="43"/>
  <c r="J116" i="43" s="1"/>
  <c r="K116" i="43" s="1"/>
  <c r="L116" i="43" s="1"/>
  <c r="M116" i="43" s="1"/>
  <c r="I118" i="43"/>
  <c r="J118" i="43" s="1"/>
  <c r="K118" i="43" s="1"/>
  <c r="L118" i="43" s="1"/>
  <c r="M118" i="43" s="1"/>
  <c r="B117" i="43"/>
  <c r="C117" i="43" s="1"/>
  <c r="I115" i="43"/>
  <c r="J115" i="43" s="1"/>
  <c r="K115" i="43" s="1"/>
  <c r="L115" i="43" s="1"/>
  <c r="M115" i="43" s="1"/>
  <c r="D117" i="43"/>
  <c r="E117" i="43" s="1"/>
  <c r="F117" i="43" s="1"/>
  <c r="G117" i="43" s="1"/>
  <c r="H117" i="43" s="1"/>
  <c r="B118" i="43"/>
  <c r="C118" i="43" s="1"/>
  <c r="G118" i="43"/>
  <c r="H118" i="43" s="1"/>
  <c r="B116" i="43"/>
  <c r="C116" i="43" s="1"/>
  <c r="K103" i="43"/>
  <c r="K105" i="43"/>
  <c r="K104" i="43"/>
  <c r="K109" i="43"/>
  <c r="K102" i="43"/>
  <c r="K107" i="43"/>
  <c r="K106" i="43"/>
  <c r="D22" i="43"/>
  <c r="C21" i="43" s="1"/>
  <c r="C29" i="43" s="1"/>
  <c r="E104" i="43"/>
  <c r="E107" i="43"/>
  <c r="E105" i="43"/>
  <c r="E109" i="43"/>
  <c r="E102" i="43"/>
  <c r="E106" i="43"/>
  <c r="E103" i="43"/>
  <c r="F104" i="43"/>
  <c r="F102" i="43"/>
  <c r="F105" i="43"/>
  <c r="F109" i="43"/>
  <c r="F103" i="43"/>
  <c r="F106" i="43"/>
  <c r="F107" i="43"/>
  <c r="L109" i="43"/>
  <c r="L102" i="43"/>
  <c r="L105" i="43"/>
  <c r="L104" i="43"/>
  <c r="L106" i="43"/>
  <c r="L107" i="43"/>
  <c r="L103" i="43"/>
  <c r="W38" i="39"/>
  <c r="AC38" i="39"/>
  <c r="F34" i="68"/>
  <c r="C36" i="68" s="1"/>
  <c r="T8" i="1"/>
  <c r="AR8" i="1"/>
  <c r="AQ9" i="1"/>
  <c r="C15" i="78"/>
  <c r="C18" i="78"/>
  <c r="F50" i="69"/>
  <c r="F11" i="12"/>
  <c r="C14" i="12" s="1"/>
  <c r="C26" i="12"/>
  <c r="D25" i="12" s="1"/>
  <c r="J53" i="78"/>
  <c r="M59" i="78"/>
  <c r="L59" i="78" s="1"/>
  <c r="M59" i="15"/>
  <c r="L59" i="15" s="1"/>
  <c r="M59" i="67"/>
  <c r="J53" i="15"/>
  <c r="J59" i="78"/>
  <c r="J60" i="78" s="1"/>
  <c r="Q48" i="78"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10" i="1" s="1"/>
  <c r="R24" i="6"/>
  <c r="R21" i="6"/>
  <c r="R8" i="1" s="1"/>
  <c r="R22" i="6"/>
  <c r="R9" i="1" s="1"/>
  <c r="D30" i="6"/>
  <c r="D16" i="6"/>
  <c r="A7" i="51"/>
  <c r="B7" i="72" s="1"/>
  <c r="C4" i="52"/>
  <c r="B45" i="72" s="1"/>
  <c r="A10" i="51"/>
  <c r="B9" i="72" s="1"/>
  <c r="D27" i="6"/>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F35" i="78"/>
  <c r="M21" i="78"/>
  <c r="C30" i="43" l="1"/>
  <c r="E30" i="43" s="1"/>
  <c r="C27" i="43" s="1"/>
  <c r="E29" i="43"/>
  <c r="C26" i="43" s="1"/>
  <c r="C115" i="43"/>
  <c r="D113" i="43" s="1"/>
  <c r="J22" i="43" s="1"/>
  <c r="C19" i="78"/>
  <c r="C20" i="78" s="1"/>
  <c r="Q61" i="78"/>
  <c r="Q74" i="78"/>
  <c r="L56" i="15"/>
  <c r="Q52" i="15"/>
  <c r="F1" i="15"/>
  <c r="Q74" i="15"/>
  <c r="Q61" i="15"/>
  <c r="Q52" i="78"/>
  <c r="F1" i="78"/>
  <c r="L46" i="78"/>
  <c r="F63" i="78"/>
  <c r="C62" i="78" s="1"/>
  <c r="C34" i="78"/>
  <c r="J20" i="78"/>
  <c r="D31" i="6"/>
  <c r="I6" i="6" s="1"/>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AE9" i="1"/>
  <c r="E6" i="76"/>
  <c r="B6" i="76"/>
  <c r="M21" i="67"/>
  <c r="M21" i="15"/>
  <c r="F35" i="15"/>
  <c r="AE10" i="1"/>
  <c r="E2" i="76" l="1"/>
  <c r="C26" i="78"/>
  <c r="C23" i="78"/>
  <c r="I5" i="6"/>
  <c r="B2" i="76"/>
  <c r="B3" i="76" s="1"/>
  <c r="B3" i="43"/>
  <c r="C49" i="21"/>
  <c r="F63" i="67"/>
  <c r="C62" i="67" s="1"/>
  <c r="C34" i="67"/>
  <c r="J20" i="67"/>
  <c r="C24" i="68"/>
  <c r="J20" i="15"/>
  <c r="F63" i="15"/>
  <c r="C62" i="15" s="1"/>
  <c r="C34" i="15"/>
  <c r="R16" i="1"/>
  <c r="C22" i="12"/>
  <c r="C33" i="68"/>
  <c r="I63" i="40"/>
  <c r="H65" i="40"/>
  <c r="C39" i="11"/>
  <c r="C43" i="11" s="1"/>
  <c r="C41" i="11" s="1"/>
  <c r="I70" i="39"/>
  <c r="F41" i="78"/>
  <c r="C29" i="78" l="1"/>
  <c r="C57" i="78" s="1"/>
  <c r="C64" i="78" s="1"/>
  <c r="J29" i="78"/>
  <c r="F69" i="78"/>
  <c r="C39" i="68"/>
  <c r="C43" i="68" s="1"/>
  <c r="C42" i="68"/>
  <c r="J63" i="40"/>
  <c r="I65" i="40"/>
  <c r="C46" i="11"/>
  <c r="C45" i="11" s="1"/>
  <c r="C49" i="11" s="1"/>
  <c r="C51" i="11" s="1"/>
  <c r="C52" i="11" s="1"/>
  <c r="B2" i="11" s="1"/>
  <c r="B3" i="11" s="1"/>
  <c r="J70" i="39"/>
  <c r="C61" i="78" l="1"/>
  <c r="C59" i="78" s="1"/>
  <c r="C36" i="78"/>
  <c r="J19" i="78"/>
  <c r="J17" i="78" s="1"/>
  <c r="C33" i="78"/>
  <c r="C31" i="78" s="1"/>
  <c r="Q49" i="78"/>
  <c r="J14" i="78"/>
  <c r="C13" i="78"/>
  <c r="C41" i="68"/>
  <c r="C46" i="68"/>
  <c r="C45" i="68" s="1"/>
  <c r="K63" i="40"/>
  <c r="J65" i="40"/>
  <c r="K70" i="39"/>
  <c r="C56" i="11"/>
  <c r="C57" i="11" s="1"/>
  <c r="J13" i="78" l="1"/>
  <c r="J23" i="78" s="1"/>
  <c r="J22" i="78"/>
  <c r="C37" i="78"/>
  <c r="C30" i="78" s="1"/>
  <c r="C39" i="78" s="1"/>
  <c r="C75" i="78"/>
  <c r="Q70" i="78"/>
  <c r="C56" i="78"/>
  <c r="C65" i="78" s="1"/>
  <c r="C58" i="78" s="1"/>
  <c r="C67" i="78" s="1"/>
  <c r="C68" i="78" s="1"/>
  <c r="C71" i="78" s="1"/>
  <c r="C49" i="68"/>
  <c r="C51" i="68" s="1"/>
  <c r="L63" i="40"/>
  <c r="K65" i="40"/>
  <c r="L70" i="39"/>
  <c r="E2" i="70"/>
  <c r="C34" i="69"/>
  <c r="C17" i="67"/>
  <c r="C80" i="78" l="1"/>
  <c r="C79" i="78" s="1"/>
  <c r="Q69" i="78"/>
  <c r="Q68" i="78" s="1"/>
  <c r="C40" i="78"/>
  <c r="J16" i="78"/>
  <c r="J25" i="78" s="1"/>
  <c r="M63" i="40"/>
  <c r="L65" i="40"/>
  <c r="M70" i="39"/>
  <c r="C35" i="69"/>
  <c r="C38" i="69"/>
  <c r="D10" i="69"/>
  <c r="L51" i="78"/>
  <c r="Q67" i="78" l="1"/>
  <c r="B2" i="78"/>
  <c r="Q65" i="78"/>
  <c r="Q75" i="78" s="1"/>
  <c r="Q56" i="78"/>
  <c r="Q62" i="78" s="1"/>
  <c r="Q47" i="78"/>
  <c r="Q53" i="78" s="1"/>
  <c r="C43" i="78"/>
  <c r="C83" i="78"/>
  <c r="C82" i="78" s="1"/>
  <c r="C46" i="78"/>
  <c r="N63" i="40"/>
  <c r="M65" i="40"/>
  <c r="O70" i="39"/>
  <c r="N70" i="39"/>
  <c r="D19" i="69"/>
  <c r="C10" i="69"/>
  <c r="C8" i="69" s="1"/>
  <c r="C5" i="69" s="1"/>
  <c r="AO10" i="1"/>
  <c r="B10" i="70" l="1"/>
  <c r="B3" i="78"/>
  <c r="F6" i="12" s="1"/>
  <c r="F8" i="12"/>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M27" i="67"/>
  <c r="F41"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E8" i="12" s="1"/>
  <c r="C4" i="12" s="1"/>
  <c r="C43" i="67"/>
  <c r="C45" i="67"/>
  <c r="C46" i="67" s="1"/>
  <c r="Q65" i="67"/>
  <c r="Q75" i="67" s="1"/>
  <c r="Q56" i="67"/>
  <c r="Q62" i="67" s="1"/>
  <c r="Q47" i="67"/>
  <c r="Q53" i="67" s="1"/>
  <c r="D2" i="67"/>
  <c r="B2" i="67" s="1"/>
  <c r="E2" i="69"/>
  <c r="AO8" i="1"/>
  <c r="AO9" i="1"/>
  <c r="AO7" i="1"/>
  <c r="AO6" i="1"/>
  <c r="C31" i="12" l="1"/>
  <c r="C23" i="12"/>
  <c r="B9" i="70"/>
  <c r="B3" i="15"/>
  <c r="E6" i="12" s="1"/>
  <c r="B8" i="70"/>
  <c r="B7" i="70"/>
  <c r="B6" i="70"/>
  <c r="C46" i="15"/>
  <c r="B2" i="69"/>
  <c r="B3" i="69" s="1"/>
  <c r="B3" i="67"/>
  <c r="D2" i="21"/>
  <c r="D2" i="33"/>
  <c r="D2" i="36"/>
  <c r="D2" i="34"/>
  <c r="D2" i="35"/>
  <c r="D2" i="37"/>
  <c r="F20" i="31"/>
  <c r="E2" i="68"/>
  <c r="C30" i="12" l="1"/>
  <c r="C28" i="12" s="1"/>
  <c r="C27" i="12"/>
  <c r="C25" i="12" s="1"/>
  <c r="B20" i="31"/>
  <c r="B2" i="36"/>
  <c r="B3" i="36" s="1"/>
  <c r="B2" i="35"/>
  <c r="B3" i="35" s="1"/>
  <c r="B2" i="37"/>
  <c r="B3" i="37" s="1"/>
  <c r="B2" i="34"/>
  <c r="B3" i="34" s="1"/>
  <c r="B2" i="21"/>
  <c r="B3" i="21" s="1"/>
  <c r="B2" i="70"/>
  <c r="B3" i="70" s="1"/>
  <c r="C32" i="12" l="1"/>
  <c r="B2" i="12" s="1"/>
  <c r="D19" i="9"/>
  <c r="D102" i="9" l="1"/>
  <c r="D21" i="9"/>
  <c r="B3" i="12"/>
  <c r="D20" i="9"/>
  <c r="D103" i="9" l="1"/>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B3" i="39" l="1"/>
  <c r="C7" i="68"/>
  <c r="C5" i="68" s="1"/>
  <c r="C23" i="68" l="1"/>
  <c r="C20" i="68"/>
  <c r="C28" i="68" l="1"/>
  <c r="C27" i="68" s="1"/>
  <c r="C25" i="68"/>
  <c r="C22" i="68" s="1"/>
  <c r="H112" i="9"/>
  <c r="D21" i="53" s="1"/>
  <c r="B39" i="72" s="1"/>
  <c r="H111" i="9"/>
  <c r="D126" i="9" s="1"/>
  <c r="D59" i="9"/>
  <c r="M55" i="9"/>
  <c r="D19" i="53" l="1"/>
  <c r="C31" i="68"/>
  <c r="C52" i="68" s="1"/>
  <c r="C57" i="68" s="1"/>
  <c r="C56" i="68" s="1"/>
  <c r="B38" i="72"/>
  <c r="D20" i="53"/>
  <c r="B40" i="72" s="1"/>
  <c r="I14" i="74"/>
  <c r="B8" i="74" s="1"/>
  <c r="D127" i="9"/>
  <c r="D13" i="52" s="1"/>
  <c r="D12" i="52"/>
  <c r="B2" i="68" l="1"/>
  <c r="D8" i="74"/>
  <c r="C8" i="74"/>
  <c r="C19" i="9"/>
  <c r="B3" i="68" l="1"/>
  <c r="C21" i="9"/>
  <c r="G19" i="9"/>
  <c r="C102" i="9"/>
  <c r="D22" i="9"/>
  <c r="C20" i="9"/>
  <c r="D34" i="9"/>
  <c r="D35" i="9"/>
  <c r="J19" i="9" l="1"/>
  <c r="C103" i="9"/>
  <c r="G20" i="9"/>
  <c r="G21" i="9"/>
  <c r="C32" i="9"/>
  <c r="C35" i="9" s="1"/>
  <c r="F118" i="9" s="1"/>
  <c r="H118" i="9" l="1"/>
  <c r="I118" i="9" s="1"/>
  <c r="C34" i="9"/>
  <c r="D118" i="9" s="1"/>
  <c r="G118" i="9"/>
  <c r="G4" i="52" s="1"/>
  <c r="B52" i="72" s="1"/>
  <c r="F4" i="52"/>
  <c r="B51" i="72" s="1"/>
  <c r="F119" i="9"/>
  <c r="F5" i="52" s="1"/>
  <c r="B53" i="72" s="1"/>
  <c r="C104" i="9" l="1"/>
  <c r="H119" i="9"/>
  <c r="H5" i="52" s="1"/>
  <c r="D14" i="74"/>
  <c r="E14" i="74" s="1"/>
  <c r="H4" i="52"/>
  <c r="H101" i="9"/>
  <c r="H107" i="9" s="1"/>
  <c r="C105" i="9"/>
  <c r="E118" i="9"/>
  <c r="E4" i="52" s="1"/>
  <c r="B48" i="72" s="1"/>
  <c r="I4" i="52"/>
  <c r="H102" i="9"/>
  <c r="D7" i="53" s="1"/>
  <c r="B21" i="72" s="1"/>
  <c r="D119" i="9"/>
  <c r="D5" i="52" s="1"/>
  <c r="B49" i="72" s="1"/>
  <c r="D4" i="52"/>
  <c r="B47" i="72" s="1"/>
  <c r="M48" i="9" l="1"/>
  <c r="D45" i="9"/>
  <c r="C93" i="9" s="1"/>
  <c r="C86" i="9" s="1"/>
  <c r="F14" i="74"/>
  <c r="D5" i="53"/>
  <c r="D6" i="53" s="1"/>
  <c r="B22" i="72" s="1"/>
  <c r="B5" i="74"/>
  <c r="C5" i="74" s="1"/>
  <c r="M49" i="9"/>
  <c r="H108" i="9"/>
  <c r="D15" i="53" s="1"/>
  <c r="B31" i="72" s="1"/>
  <c r="D122" i="9"/>
  <c r="D13" i="53"/>
  <c r="D53" i="9" l="1"/>
  <c r="D5" i="74"/>
  <c r="B20" i="72"/>
  <c r="C64" i="9"/>
  <c r="C63" i="9" s="1"/>
  <c r="C67" i="9" s="1"/>
  <c r="C68" i="9" s="1"/>
  <c r="D54" i="9" s="1"/>
  <c r="C85" i="9"/>
  <c r="C95" i="9" s="1"/>
  <c r="C78" i="9"/>
  <c r="C73" i="9" s="1"/>
  <c r="D55" i="9"/>
  <c r="M53" i="9" s="1"/>
  <c r="D52" i="9"/>
  <c r="C72" i="9"/>
  <c r="D14" i="53"/>
  <c r="B32" i="72" s="1"/>
  <c r="B30" i="72"/>
  <c r="G14" i="74"/>
  <c r="B6" i="74" s="1"/>
  <c r="D123" i="9"/>
  <c r="D9" i="52" s="1"/>
  <c r="D8" i="52"/>
  <c r="L68" i="9"/>
  <c r="M68" i="9" s="1"/>
  <c r="L63" i="9"/>
  <c r="M63" i="9" s="1"/>
  <c r="L64" i="9"/>
  <c r="M64" i="9" s="1"/>
  <c r="L66" i="9"/>
  <c r="M66" i="9" s="1"/>
  <c r="L65" i="9"/>
  <c r="M65" i="9" s="1"/>
  <c r="L67" i="9"/>
  <c r="M67" i="9" s="1"/>
  <c r="AD3" i="71"/>
  <c r="P21" i="43" s="1"/>
  <c r="C79" i="9" l="1"/>
  <c r="C96" i="9"/>
  <c r="E96" i="9" s="1"/>
  <c r="E97" i="9" s="1"/>
  <c r="C80" i="9"/>
  <c r="E80" i="9" s="1"/>
  <c r="E81" i="9" s="1"/>
  <c r="M69" i="9"/>
  <c r="N69" i="9" s="1"/>
  <c r="C6" i="74"/>
  <c r="D6" i="74"/>
  <c r="P22" i="43"/>
  <c r="P23" i="43"/>
  <c r="B71" i="39" s="1"/>
  <c r="P24" i="43"/>
  <c r="B66" i="40" s="1"/>
  <c r="P25" i="43"/>
  <c r="C97" i="9" l="1"/>
  <c r="D58" i="9" s="1"/>
  <c r="D56" i="9" s="1"/>
  <c r="M54" i="9" s="1"/>
  <c r="N57" i="9" s="1"/>
  <c r="C81" i="9"/>
  <c r="N59" i="9" l="1"/>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<sst xmlns="http://schemas.openxmlformats.org/spreadsheetml/2006/main" count="8070" uniqueCount="3294">
  <si>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</si>
  <si>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</si>
  <si>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</si>
  <si>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</si>
  <si>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</si>
  <si>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</si>
  <si>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</si>
  <si>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</si>
  <si>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</si>
  <si>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</si>
  <si>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</si>
  <si>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</si>
  <si>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</si>
  <si>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</si>
  <si>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</si>
  <si>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</si>
  <si>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</si>
  <si>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</si>
  <si>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</si>
  <si>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</si>
  <si>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</si>
  <si>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</si>
  <si>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</si>
  <si>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</si>
  <si>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</si>
  <si>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</si>
  <si>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</si>
  <si>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</si>
  <si>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</si>
  <si>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</si>
  <si>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</si>
  <si>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</si>
  <si>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</si>
  <si>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</si>
  <si>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</si>
  <si>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</si>
  <si>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</si>
  <si>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</si>
  <si>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</si>
  <si>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</si>
  <si>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</si>
  <si>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</si>
  <si>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</si>
  <si>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</si>
  <si>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</si>
  <si>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</si>
  <si>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</si>
  <si>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</si>
  <si>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</si>
  <si>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</si>
  <si>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</si>
  <si>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</si>
  <si>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</si>
  <si>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</si>
  <si>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</si>
  <si>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</si>
  <si>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</si>
  <si>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</si>
  <si>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</si>
  <si>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</si>
  <si>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</si>
  <si>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</si>
  <si>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</si>
  <si>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</si>
  <si>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</si>
  <si>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</si>
  <si>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</si>
  <si>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</si>
  <si>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</si>
  <si>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</si>
  <si>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</si>
  <si>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</si>
  <si>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</si>
  <si>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</si>
  <si>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</si>
  <si>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</si>
  <si>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</si>
  <si>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</si>
  <si>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</si>
  <si>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</si>
  <si>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</si>
  <si>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</si>
  <si>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</si>
  <si>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</si>
  <si>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</si>
  <si>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</si>
  <si>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</si>
  <si>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</si>
  <si>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</si>
  <si>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</si>
  <si>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</si>
  <si>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</si>
  <si>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</si>
  <si>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</si>
  <si>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</si>
  <si>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</si>
  <si>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</si>
  <si>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</si>
  <si>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</si>
  <si>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</si>
  <si>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</si>
  <si>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</si>
  <si>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</si>
  <si>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</si>
  <si>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</si>
  <si>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</si>
  <si>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</si>
  <si>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</si>
  <si>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</si>
  <si>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</si>
  <si>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</si>
  <si>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</si>
  <si>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</si>
  <si>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</si>
  <si>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</si>
  <si>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</si>
  <si>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</si>
  <si>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</si>
  <si>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</si>
  <si>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</si>
  <si>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</si>
  <si>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</si>
  <si>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</si>
  <si>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</si>
  <si>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</si>
  <si>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</si>
  <si>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</si>
  <si>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</si>
  <si>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</si>
  <si>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</si>
  <si>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</si>
  <si>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</si>
  <si>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</si>
  <si>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</si>
  <si>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</si>
  <si>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</si>
  <si>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</si>
  <si>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</si>
  <si>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</si>
  <si>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</si>
  <si>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</si>
  <si>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</si>
  <si>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</si>
  <si>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</si>
  <si>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</si>
  <si>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</si>
  <si>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</si>
  <si>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</si>
  <si>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</si>
  <si>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</si>
  <si>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</si>
  <si>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</si>
  <si>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</si>
  <si>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</si>
  <si>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</si>
  <si>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</si>
  <si>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</si>
  <si>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</si>
  <si>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</si>
  <si>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</si>
  <si>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</si>
  <si>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</si>
  <si>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</si>
  <si>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</si>
  <si>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</si>
  <si>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</si>
  <si>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</si>
  <si>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</si>
  <si>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</si>
  <si>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</si>
  <si>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</si>
  <si>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</si>
  <si>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</si>
  <si>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</si>
  <si>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</si>
  <si>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</si>
  <si>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</si>
  <si>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</si>
  <si>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</si>
  <si>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</si>
  <si>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</si>
  <si>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</si>
  <si>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</si>
  <si>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</si>
  <si>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</si>
  <si>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</si>
  <si>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</si>
  <si>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</si>
  <si>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</si>
  <si>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</si>
  <si>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</si>
  <si>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</si>
  <si>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</si>
  <si>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</si>
  <si>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</si>
  <si>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</si>
  <si>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</si>
  <si>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</si>
  <si>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</si>
  <si>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</si>
  <si>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</si>
  <si>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</si>
  <si>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</si>
  <si>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</si>
  <si>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</si>
  <si>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</si>
  <si>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</si>
  <si>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</si>
  <si>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</si>
  <si>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</si>
  <si>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</si>
  <si>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</si>
  <si>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</si>
  <si>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</si>
  <si>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</si>
  <si>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</si>
  <si>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</si>
  <si>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</si>
  <si>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</si>
  <si>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</si>
  <si>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</si>
  <si>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</si>
  <si>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</si>
  <si>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</si>
  <si>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</si>
  <si>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</si>
  <si>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</si>
  <si>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</si>
  <si>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</si>
  <si>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</si>
  <si>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</si>
  <si>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</si>
  <si>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</si>
  <si>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</si>
  <si>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</si>
  <si>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</si>
  <si>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</si>
  <si>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</si>
  <si>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</si>
  <si>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</si>
  <si>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</si>
  <si>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</si>
  <si>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</si>
  <si>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</si>
  <si>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</si>
  <si>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</si>
  <si>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</si>
  <si>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</si>
  <si>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</si>
  <si>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</si>
  <si>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</si>
  <si>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</si>
  <si>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</si>
  <si>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</si>
  <si>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</si>
  <si>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</si>
  <si>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</si>
  <si>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</si>
  <si>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</si>
  <si>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</si>
  <si>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</si>
  <si>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</si>
  <si>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</si>
  <si>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</si>
  <si>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</si>
  <si>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</si>
  <si>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</si>
  <si>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</si>
  <si>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</si>
  <si>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</si>
  <si>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</si>
  <si>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</si>
  <si>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</si>
  <si>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</si>
  <si>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</si>
  <si>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</si>
  <si>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</si>
  <si>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</si>
  <si>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</si>
  <si>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</si>
  <si>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</si>
  <si>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</si>
  <si>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</si>
  <si>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</si>
  <si>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</si>
  <si>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</si>
  <si>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</si>
  <si>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</si>
  <si>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</si>
  <si>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</si>
  <si>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</si>
  <si>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</si>
  <si>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</si>
  <si>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</si>
  <si>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</si>
  <si>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</si>
  <si>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</si>
  <si>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</si>
  <si>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</si>
  <si>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</si>
  <si>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</si>
  <si>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</si>
  <si>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</si>
  <si>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</si>
  <si>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</si>
  <si>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</si>
  <si>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</si>
  <si>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</si>
  <si>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</si>
  <si>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</si>
  <si>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</si>
  <si>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</si>
  <si>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</si>
  <si>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</si>
  <si>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</si>
  <si>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</si>
  <si>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</si>
  <si>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</si>
  <si>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</si>
  <si>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</si>
  <si>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</si>
  <si>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</si>
  <si>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</si>
  <si>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</si>
  <si>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</si>
  <si>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</si>
  <si>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</si>
  <si>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</si>
  <si>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</si>
  <si>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</si>
  <si>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</si>
  <si>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</si>
  <si>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</si>
  <si>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</si>
  <si>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</si>
  <si>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</si>
  <si>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</si>
  <si>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</si>
  <si>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</si>
  <si>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</si>
  <si>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</si>
  <si>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</si>
  <si>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</si>
  <si>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</si>
  <si>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</si>
  <si>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</si>
  <si>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</si>
  <si>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</si>
  <si>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</si>
  <si>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</si>
  <si>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</si>
  <si>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</si>
  <si>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</si>
  <si>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</si>
  <si>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</si>
  <si>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</si>
  <si>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</si>
  <si>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</si>
  <si>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</si>
  <si>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</si>
  <si>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</si>
  <si>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</si>
  <si>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</si>
  <si>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</si>
  <si>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</si>
  <si>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</si>
  <si>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</si>
  <si>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</si>
  <si>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</si>
  <si>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</si>
  <si>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</si>
  <si>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</si>
  <si>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</si>
  <si>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</si>
  <si>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</si>
  <si>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</si>
  <si>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</si>
  <si>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</si>
  <si>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</si>
  <si>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</si>
  <si>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</si>
  <si>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</si>
  <si>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</si>
  <si>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</si>
  <si>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</si>
  <si>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</si>
  <si>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</si>
  <si>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</si>
  <si>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</si>
  <si>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</si>
  <si>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</si>
  <si>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</si>
  <si>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</si>
  <si>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</si>
  <si>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</si>
  <si>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</si>
  <si>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</si>
  <si>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</si>
  <si>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</si>
  <si>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</si>
  <si>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</si>
  <si>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</si>
  <si>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</si>
  <si>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</si>
  <si>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</si>
  <si>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</si>
  <si>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</si>
  <si>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</si>
  <si>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</si>
  <si>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</si>
  <si>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</si>
  <si>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</si>
  <si>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</si>
  <si>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</si>
  <si>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</si>
  <si>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</si>
  <si>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</si>
  <si>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</si>
  <si>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</si>
  <si>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</si>
  <si>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</si>
  <si>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</si>
  <si>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</si>
  <si>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</si>
  <si>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</si>
  <si>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</si>
  <si>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</si>
  <si>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</si>
  <si>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</si>
  <si>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</si>
  <si>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</si>
  <si>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</si>
  <si>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</si>
  <si>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</si>
  <si>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</si>
  <si>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</si>
  <si>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</si>
  <si>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</si>
  <si>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</si>
  <si>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</si>
  <si>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</si>
  <si>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</si>
  <si>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</si>
  <si>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</si>
  <si>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</si>
  <si>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</si>
  <si>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</si>
  <si>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</si>
  <si>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</si>
  <si>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</si>
  <si>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</si>
  <si>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</si>
  <si>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</si>
  <si>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</si>
  <si>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</si>
  <si>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</si>
  <si>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</si>
  <si>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</si>
  <si>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</si>
  <si>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</si>
  <si>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</si>
  <si>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</si>
  <si>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</si>
  <si>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</si>
  <si>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</si>
  <si>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</si>
  <si>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</si>
  <si>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</si>
  <si>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</si>
  <si>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</si>
  <si>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</si>
  <si>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</si>
  <si>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</si>
  <si>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</si>
  <si>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</si>
  <si>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</si>
  <si>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</si>
  <si>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</si>
  <si>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</si>
  <si>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</si>
  <si>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</si>
  <si>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</si>
  <si>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</si>
  <si>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</si>
  <si>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</si>
  <si>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</si>
  <si>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</si>
  <si>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</si>
  <si>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</si>
  <si>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</si>
  <si>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</si>
  <si>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</si>
  <si>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</si>
  <si>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</si>
  <si>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</si>
  <si>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</si>
  <si>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</si>
  <si>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</si>
  <si>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</si>
  <si>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</si>
  <si>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</si>
  <si>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</si>
  <si>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</si>
  <si>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</si>
  <si>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</si>
  <si>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</si>
  <si>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</si>
  <si>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</si>
  <si>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</si>
  <si>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</si>
  <si>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</si>
  <si>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</si>
  <si>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</si>
  <si>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</si>
  <si>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</si>
  <si>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</si>
  <si>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</si>
  <si>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</si>
  <si>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</si>
  <si>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</si>
  <si>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</si>
  <si>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</si>
  <si>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</si>
  <si>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</si>
  <si>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</si>
  <si>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</si>
  <si>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</si>
  <si>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</si>
  <si>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</si>
  <si>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</si>
  <si>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</si>
  <si>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</si>
  <si>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</si>
  <si>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</si>
  <si>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</si>
  <si>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</si>
  <si>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</si>
  <si>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</si>
  <si>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</si>
  <si>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</si>
  <si>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</si>
  <si>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</si>
  <si>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</si>
  <si>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</si>
  <si>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</si>
  <si>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</si>
  <si>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</si>
  <si>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</si>
  <si>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</si>
  <si>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</si>
  <si>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</si>
  <si>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</si>
  <si>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</si>
  <si>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</si>
  <si>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</si>
  <si>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</si>
  <si>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</si>
  <si>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</si>
  <si>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</si>
  <si>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</si>
  <si>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</si>
  <si>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</si>
  <si>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</si>
  <si>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</si>
  <si>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</si>
  <si>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</si>
  <si>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</si>
  <si>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</si>
  <si>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</si>
  <si>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</si>
  <si>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</si>
  <si>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</si>
  <si>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</si>
  <si>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</si>
  <si>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</si>
  <si>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</si>
  <si>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</si>
  <si>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</si>
  <si>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</si>
  <si>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</si>
  <si>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</si>
  <si>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</si>
  <si>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</si>
  <si>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</si>
  <si>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</si>
  <si>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</si>
  <si>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</si>
  <si>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</si>
  <si>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</si>
  <si>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</si>
  <si>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</si>
  <si>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</si>
  <si>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</si>
  <si>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</si>
  <si>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</si>
  <si>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</si>
  <si>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</si>
  <si>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</si>
  <si>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</si>
  <si>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</si>
  <si>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</si>
  <si>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</si>
  <si>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</si>
  <si>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</si>
  <si>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</si>
  <si>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</si>
  <si>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</si>
  <si>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</si>
  <si>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</si>
  <si>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</si>
  <si>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</si>
  <si>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</si>
  <si>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</si>
  <si>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</si>
  <si>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</si>
  <si>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</si>
  <si>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</si>
  <si>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</si>
  <si>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</si>
  <si>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</si>
  <si>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</si>
  <si>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</si>
  <si>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</si>
  <si>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</si>
  <si>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</si>
  <si>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</si>
  <si>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</si>
  <si>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</si>
  <si>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</si>
  <si>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</si>
  <si>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</si>
  <si>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</si>
  <si>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</si>
  <si>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</si>
  <si>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</si>
  <si>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</si>
  <si>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</si>
  <si>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</si>
  <si>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</si>
  <si>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</si>
  <si>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</si>
  <si>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</si>
  <si>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</si>
  <si>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</si>
  <si>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</si>
  <si>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</si>
  <si>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</si>
  <si>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</si>
  <si>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</si>
  <si>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</si>
  <si>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</si>
  <si>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</si>
  <si>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</si>
  <si>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</si>
  <si>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</si>
  <si>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</si>
  <si>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</si>
  <si>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</si>
  <si>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</si>
  <si>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</si>
  <si>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</si>
  <si>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</si>
  <si>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</si>
  <si>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</si>
  <si>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</si>
  <si>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</si>
  <si>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</si>
  <si>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</si>
  <si>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</si>
  <si>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</si>
  <si>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</si>
  <si>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</si>
  <si>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</si>
  <si>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</si>
  <si>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</si>
  <si>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</si>
  <si>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</si>
  <si>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</si>
  <si>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</si>
  <si>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</si>
  <si>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</si>
  <si>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</si>
  <si>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</si>
  <si>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</si>
  <si>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</si>
  <si>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</si>
  <si>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</si>
  <si>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</si>
  <si>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</si>
  <si>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</si>
  <si>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</si>
  <si>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</si>
  <si>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</si>
  <si>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</si>
  <si>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</si>
  <si>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</si>
  <si>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</si>
  <si>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</si>
  <si>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</si>
  <si>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</si>
  <si>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</si>
  <si>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</si>
  <si>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</si>
  <si>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</si>
  <si>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</si>
  <si>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</si>
  <si>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</si>
  <si>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</si>
  <si>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</si>
  <si>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</si>
  <si>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</si>
  <si>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</si>
  <si>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</si>
  <si>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</si>
  <si>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</si>
  <si>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</si>
  <si>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</si>
  <si>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</si>
  <si>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</si>
  <si>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</si>
  <si>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</si>
  <si>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</si>
  <si>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</si>
  <si>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</si>
  <si>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</si>
  <si>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</si>
  <si>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</si>
  <si>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</si>
  <si>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</si>
  <si>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</si>
  <si>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</si>
  <si>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</si>
  <si>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</si>
  <si>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</si>
  <si>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</si>
  <si>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</si>
  <si>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</si>
  <si>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</si>
  <si>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</si>
  <si>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</si>
  <si>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</si>
  <si>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</si>
  <si>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</si>
  <si>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</si>
  <si>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</si>
  <si>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</si>
  <si>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</si>
  <si>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</si>
  <si>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</si>
  <si>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</si>
  <si>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</si>
  <si>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</si>
  <si>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</si>
  <si>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</si>
  <si>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</si>
  <si>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</si>
  <si>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</si>
  <si>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</si>
  <si>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</si>
  <si>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</si>
  <si>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</si>
  <si>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</si>
  <si>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</si>
  <si>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</si>
  <si>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</si>
  <si>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</si>
  <si>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</si>
  <si>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</si>
  <si>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</si>
  <si>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</si>
  <si>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</si>
  <si>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</si>
  <si>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</si>
  <si>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</si>
  <si>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</si>
  <si>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</si>
  <si>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</si>
  <si>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</si>
  <si>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</si>
  <si>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</si>
  <si>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</si>
  <si>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</si>
  <si>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</si>
  <si>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</si>
  <si>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</si>
  <si>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</si>
  <si>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</si>
  <si>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</si>
  <si>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</si>
  <si>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</si>
  <si>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</si>
  <si>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</si>
  <si>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</si>
  <si>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</si>
  <si>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</si>
  <si>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</si>
  <si>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</si>
  <si>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</si>
  <si>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</si>
  <si>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</si>
  <si>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</si>
  <si>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</si>
  <si>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</si>
  <si>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</si>
  <si>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</si>
  <si>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</si>
  <si>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</si>
  <si>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</si>
  <si>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</si>
  <si>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</si>
  <si>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</si>
  <si>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</si>
  <si>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</si>
  <si>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</si>
  <si>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</si>
  <si>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</si>
  <si>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</si>
  <si>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</si>
  <si>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</si>
  <si>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</si>
  <si>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</si>
  <si>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</si>
  <si>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</si>
  <si>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</si>
  <si>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</si>
  <si>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</si>
  <si>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</si>
  <si>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</si>
  <si>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</si>
  <si>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</si>
  <si>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</si>
  <si>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</si>
  <si>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</si>
  <si>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</si>
  <si>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</si>
  <si>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</si>
  <si>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</si>
  <si>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</si>
  <si>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</si>
  <si>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</si>
  <si>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</si>
  <si>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</si>
  <si>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</si>
  <si>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</si>
  <si>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</si>
  <si>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</si>
  <si>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</si>
  <si>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</si>
  <si>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</si>
  <si>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</si>
  <si>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</si>
  <si>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</si>
  <si>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</si>
  <si>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</si>
  <si>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</si>
  <si>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</si>
  <si>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</si>
  <si>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</si>
  <si>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</si>
  <si>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</si>
  <si>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</si>
  <si>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</si>
  <si>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</si>
  <si>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</si>
  <si>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</si>
  <si>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</si>
  <si>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</si>
  <si>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</si>
  <si>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</si>
  <si>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</si>
  <si>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</si>
  <si>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</si>
  <si>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</si>
  <si>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</si>
  <si>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</si>
  <si>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</si>
  <si>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</si>
  <si>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</si>
  <si>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</si>
  <si>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</si>
  <si>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</si>
  <si>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</si>
  <si>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</si>
  <si>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</si>
  <si>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</si>
  <si>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</si>
  <si>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</si>
  <si>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</si>
  <si>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</si>
  <si>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</si>
  <si>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</si>
  <si>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</si>
  <si>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</si>
  <si>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</si>
  <si>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</si>
  <si>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</si>
  <si>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</si>
  <si>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</si>
  <si>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</si>
  <si>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</si>
  <si>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</si>
  <si>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</si>
  <si>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</si>
  <si>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</si>
  <si>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</si>
  <si>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</si>
  <si>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</si>
  <si>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</si>
  <si>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</si>
  <si>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</si>
  <si>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</si>
  <si>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</si>
  <si>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</si>
  <si>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</si>
  <si>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</si>
  <si>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</si>
  <si>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</si>
  <si>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</si>
  <si>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</si>
  <si>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</si>
  <si>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</si>
  <si>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</si>
  <si>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</si>
  <si>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</si>
  <si>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</si>
  <si>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</si>
  <si>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</si>
  <si>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</si>
  <si>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</si>
  <si>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</si>
  <si>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</si>
  <si>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</si>
  <si>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</si>
  <si>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</si>
  <si>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</si>
  <si>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</si>
  <si>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</si>
  <si>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</si>
  <si>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</si>
  <si>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</si>
  <si>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</si>
  <si>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</si>
  <si>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</si>
  <si>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</si>
  <si>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</si>
  <si>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</si>
  <si>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</si>
  <si>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</si>
  <si>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</si>
  <si>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</si>
  <si>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</si>
  <si>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</si>
  <si>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</si>
  <si>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</si>
  <si>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</si>
  <si>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</si>
  <si>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</si>
  <si>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</si>
  <si>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</si>
  <si>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</si>
  <si>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</si>
  <si>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</si>
  <si>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</si>
  <si>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</si>
  <si>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</si>
  <si>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</si>
  <si>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</si>
  <si>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</si>
  <si>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</si>
  <si>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</si>
  <si>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</si>
  <si>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</si>
  <si>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</si>
  <si>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</si>
  <si>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</si>
  <si>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</si>
  <si>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</si>
  <si>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</si>
  <si>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</si>
  <si>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</si>
  <si>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</si>
  <si>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</si>
  <si>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</si>
  <si>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</si>
  <si>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</si>
  <si>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</si>
  <si>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</si>
  <si>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</si>
  <si>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</si>
  <si>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</si>
  <si>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</si>
  <si>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</si>
  <si>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</si>
  <si>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</si>
  <si>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</si>
  <si>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</si>
  <si>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</si>
  <si>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</si>
  <si>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</si>
  <si>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</si>
  <si>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</si>
  <si>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</si>
  <si>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</si>
  <si>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</si>
  <si>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</si>
  <si>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</si>
  <si>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</si>
  <si>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</si>
  <si>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</si>
  <si>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</si>
  <si>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</si>
  <si>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</si>
  <si>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</si>
  <si>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</si>
  <si>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</si>
  <si>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</si>
  <si>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</si>
  <si>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</si>
  <si>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</si>
  <si>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</si>
  <si>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</si>
  <si>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</si>
  <si>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</si>
  <si>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</si>
  <si>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</si>
  <si>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</si>
  <si>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</si>
  <si>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</si>
  <si>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</si>
  <si>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</si>
  <si>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</si>
  <si>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</si>
  <si>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</si>
  <si>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</si>
  <si>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</si>
  <si>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</si>
  <si>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</si>
  <si>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</si>
  <si>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</si>
  <si>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</si>
  <si>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</si>
  <si>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</si>
  <si>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</si>
  <si>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</si>
  <si>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</si>
  <si>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</si>
  <si>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</si>
  <si>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</si>
  <si>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</si>
  <si>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</si>
  <si>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</si>
  <si>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</si>
  <si>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</si>
  <si>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</si>
  <si>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</si>
  <si>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</si>
  <si>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</si>
  <si>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</si>
  <si>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</si>
  <si>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</si>
  <si>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</si>
  <si>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</si>
  <si>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</si>
  <si>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</si>
  <si>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</si>
  <si>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</si>
  <si>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</si>
  <si>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</si>
  <si>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</si>
  <si>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</si>
  <si>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</si>
  <si>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</si>
  <si>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</si>
  <si>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</si>
  <si>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</si>
  <si>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</si>
  <si>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</si>
  <si>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</si>
  <si>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</si>
  <si>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</si>
  <si>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</si>
  <si>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</si>
  <si>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</si>
  <si>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</si>
  <si>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</si>
  <si>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</si>
  <si>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</si>
  <si>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</si>
  <si>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</si>
  <si>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</si>
  <si>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</si>
  <si>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</si>
  <si>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</si>
  <si>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</si>
  <si>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</si>
  <si>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</si>
  <si>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</si>
  <si>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</si>
  <si>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</si>
  <si>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</si>
  <si>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</si>
  <si>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</si>
  <si>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</si>
  <si>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</si>
  <si>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</si>
  <si>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</si>
  <si>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</si>
  <si>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</si>
  <si>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</si>
  <si>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</si>
  <si>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</si>
  <si>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</si>
  <si>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</si>
  <si>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</si>
  <si>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</si>
  <si>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</si>
  <si>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</si>
  <si>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</si>
  <si>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</si>
  <si>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</si>
  <si>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</si>
  <si>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</si>
  <si>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</si>
  <si>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</si>
  <si>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</si>
  <si>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</si>
  <si>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</si>
  <si>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</si>
  <si>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</si>
  <si>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</si>
  <si>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</si>
  <si>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</si>
  <si>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</si>
  <si>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</si>
  <si>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</si>
  <si>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</si>
  <si>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</si>
  <si>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</si>
  <si>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</si>
  <si>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</si>
  <si>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</si>
  <si>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</si>
  <si>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</si>
  <si>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</si>
  <si>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</si>
  <si>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</si>
  <si>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</si>
  <si>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</si>
  <si>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</si>
  <si>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</si>
  <si>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</si>
  <si>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</si>
  <si>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</si>
  <si>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</si>
  <si>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</si>
  <si>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</si>
  <si>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</si>
  <si>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</si>
  <si>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</si>
  <si>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</si>
  <si>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</si>
  <si>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</si>
  <si>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</si>
  <si>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</si>
  <si>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</si>
  <si>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</si>
  <si>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</si>
  <si>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</si>
  <si>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</si>
  <si>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</si>
  <si>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</si>
  <si>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</si>
  <si>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</si>
  <si>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</si>
  <si>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</si>
  <si>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</si>
  <si>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</si>
  <si>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</si>
  <si>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</si>
  <si>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</si>
  <si>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</si>
  <si>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</si>
  <si>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</si>
  <si>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</si>
  <si>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</si>
  <si>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</si>
  <si>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</si>
  <si>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</si>
  <si>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</si>
  <si>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</si>
  <si>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</si>
  <si>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</si>
  <si>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</si>
  <si>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</si>
  <si>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</si>
  <si>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</si>
  <si>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</si>
  <si>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</si>
  <si>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</si>
  <si>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</si>
  <si>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</si>
  <si>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</si>
  <si>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</si>
  <si>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</si>
  <si>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</si>
  <si>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</si>
  <si>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</si>
  <si>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</si>
  <si>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</si>
  <si>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</si>
  <si>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</si>
  <si>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</si>
  <si>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</si>
  <si>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</si>
  <si>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</si>
  <si>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</si>
  <si>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</si>
  <si>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</si>
  <si>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</si>
  <si>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</si>
  <si>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</si>
  <si>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</si>
  <si>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</si>
  <si>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</si>
  <si>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</si>
  <si>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</si>
  <si>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</si>
  <si>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</si>
  <si>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</si>
  <si>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</si>
  <si>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</si>
  <si>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</si>
  <si>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</si>
  <si>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</si>
  <si>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</si>
  <si>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</si>
  <si>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</si>
  <si>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</si>
  <si>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</si>
  <si>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</si>
  <si>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</si>
  <si>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</si>
  <si>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</si>
  <si>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</si>
  <si>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</si>
  <si>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</si>
  <si>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</si>
  <si>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</si>
  <si>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</si>
  <si>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</si>
  <si>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</si>
  <si>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</si>
  <si>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</si>
  <si>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</si>
  <si>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</si>
  <si>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</si>
  <si>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</si>
  <si>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</si>
  <si>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</si>
  <si>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</si>
  <si>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</si>
  <si>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</si>
  <si>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</si>
  <si>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</si>
  <si>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</si>
  <si>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</si>
  <si>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</si>
  <si>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</si>
  <si>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</si>
  <si>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</si>
  <si>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</si>
  <si>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</si>
  <si>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</si>
  <si>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</si>
  <si>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</si>
  <si>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</si>
  <si>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</si>
  <si>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</si>
  <si>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</si>
  <si>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</si>
  <si>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</si>
  <si>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</si>
  <si>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</si>
  <si>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</si>
  <si>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</si>
  <si>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</si>
  <si>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</si>
  <si>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</si>
  <si>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</si>
  <si>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</si>
  <si>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</si>
  <si>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</si>
  <si>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</si>
  <si>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</si>
  <si>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</si>
  <si>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</si>
  <si>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</si>
  <si>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</si>
  <si>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</si>
  <si>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</si>
  <si>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</si>
  <si>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</si>
  <si>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</si>
  <si>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</si>
  <si>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</si>
  <si>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</si>
  <si>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</si>
  <si>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</si>
  <si>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</si>
  <si>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</si>
  <si>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</si>
  <si>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</si>
  <si>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</si>
  <si>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</si>
  <si>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</si>
  <si>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</si>
  <si>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</si>
  <si>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</si>
  <si>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</si>
  <si>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</si>
  <si>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</si>
  <si>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</si>
  <si>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</si>
  <si>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</si>
  <si>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</si>
  <si>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</si>
  <si>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</si>
  <si>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</si>
  <si>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</si>
  <si>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</si>
  <si>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</si>
  <si>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</si>
  <si>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</si>
  <si>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</si>
  <si>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</si>
  <si>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</si>
  <si>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</si>
  <si>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</si>
  <si>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</si>
  <si>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</si>
  <si>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</si>
  <si>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</si>
  <si>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</si>
  <si>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</si>
  <si>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</si>
  <si>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</si>
  <si>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</si>
  <si>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</si>
  <si>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</si>
  <si>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</si>
  <si>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</si>
  <si>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</si>
  <si>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</si>
  <si>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</si>
  <si>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</si>
  <si>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</si>
  <si>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</si>
  <si>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</si>
  <si>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</si>
  <si>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</si>
  <si>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</si>
  <si>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</si>
  <si>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</si>
  <si>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</si>
  <si>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</si>
  <si>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</si>
  <si>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</si>
  <si>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</si>
  <si>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</si>
  <si>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</si>
  <si>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</si>
  <si>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</si>
  <si>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</si>
  <si>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</si>
  <si>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</si>
  <si>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</si>
  <si>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</si>
  <si>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</si>
  <si>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</si>
  <si>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</si>
  <si>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</si>
  <si>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</si>
  <si>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</si>
  <si>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</si>
  <si>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</si>
  <si>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</si>
  <si>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</si>
  <si>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</si>
  <si>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</si>
  <si>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</si>
  <si>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</si>
  <si>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</si>
  <si>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</si>
  <si>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</si>
  <si>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</si>
  <si>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</si>
  <si>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</si>
  <si>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</si>
  <si>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</si>
  <si>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</si>
  <si>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</si>
  <si>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</si>
  <si>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</si>
  <si>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</si>
  <si>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</si>
  <si>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</si>
  <si>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</si>
  <si>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</si>
  <si>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</si>
  <si>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</si>
  <si>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</si>
  <si>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</si>
  <si>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</si>
  <si>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</si>
  <si>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</si>
  <si>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</si>
  <si>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</si>
  <si>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</si>
  <si>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</si>
  <si>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</si>
  <si>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</si>
  <si>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</si>
  <si>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</si>
  <si>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</si>
  <si>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</si>
  <si>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</si>
  <si>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</si>
  <si>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</si>
  <si>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</si>
  <si>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</si>
  <si>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</si>
  <si>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</si>
  <si>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</si>
  <si>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</si>
  <si>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</si>
  <si>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</si>
  <si>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</si>
  <si>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</si>
  <si>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</si>
  <si>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</si>
  <si>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</si>
  <si>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</si>
  <si>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</si>
  <si>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</si>
  <si>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</si>
  <si>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</si>
  <si>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</si>
  <si>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</si>
  <si>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</si>
  <si>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</si>
  <si>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</si>
  <si>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</si>
  <si>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</si>
  <si>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</si>
  <si>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</si>
  <si>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</si>
  <si>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</si>
  <si>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</si>
  <si>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</si>
  <si>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</si>
  <si>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</si>
  <si>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</si>
  <si>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</si>
  <si>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</si>
  <si>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</si>
  <si>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</si>
  <si>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</si>
  <si>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</si>
  <si>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</si>
  <si>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</si>
  <si>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</si>
  <si>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</si>
  <si>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</si>
  <si>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</si>
  <si>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</si>
  <si>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</si>
  <si>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</si>
  <si>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</si>
  <si>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</si>
  <si>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</si>
  <si>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</si>
  <si>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</si>
  <si>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</si>
  <si>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</si>
  <si>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</si>
  <si>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</si>
  <si>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</si>
  <si>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</si>
  <si>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</si>
  <si>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</si>
  <si>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</si>
  <si>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</si>
  <si>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</si>
  <si>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</si>
  <si>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</si>
  <si>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</si>
  <si>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</si>
  <si>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</si>
  <si>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</si>
  <si>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</si>
  <si>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</si>
  <si>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</si>
  <si>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</si>
  <si>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</si>
  <si>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</si>
  <si>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</si>
  <si>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</si>
  <si>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</si>
  <si>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</si>
  <si>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</si>
  <si>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</si>
  <si>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</si>
  <si>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</si>
  <si>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</si>
  <si>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</si>
  <si>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</si>
  <si>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</si>
  <si>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</si>
  <si>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</si>
  <si>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</si>
  <si>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</si>
  <si>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</si>
  <si>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</si>
  <si>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</si>
  <si>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</si>
  <si>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</si>
  <si>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</si>
  <si>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</si>
  <si>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</si>
  <si>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</si>
  <si>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</si>
  <si>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</si>
  <si>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</si>
  <si>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</si>
  <si>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</si>
  <si>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</si>
  <si>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</si>
  <si>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</si>
  <si>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</si>
  <si>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</si>
  <si>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</si>
  <si>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</si>
  <si>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</si>
  <si>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</si>
  <si>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</si>
  <si>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</si>
  <si>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</si>
  <si>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</si>
  <si>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</si>
  <si>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</si>
  <si>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</si>
  <si>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</si>
  <si>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</si>
  <si>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</si>
  <si>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</si>
  <si>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</si>
  <si>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</si>
  <si>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</si>
  <si>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</si>
  <si>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</si>
  <si>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</si>
  <si>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</si>
  <si>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</si>
  <si>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</si>
  <si>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</si>
  <si>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</si>
  <si>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</si>
  <si>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</si>
  <si>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</si>
  <si>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</si>
  <si>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</si>
  <si>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</si>
  <si>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</si>
  <si>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</si>
  <si>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</si>
  <si>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</si>
  <si>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</si>
  <si>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</si>
  <si>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</si>
  <si>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</si>
  <si>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</si>
  <si>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</si>
  <si>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</si>
  <si>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</si>
  <si>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</si>
  <si>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</si>
  <si>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</si>
  <si>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</si>
  <si>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</si>
  <si>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</si>
  <si>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</si>
  <si>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</si>
  <si>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</si>
  <si>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</si>
  <si>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</si>
  <si>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</si>
  <si>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</si>
  <si>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</si>
  <si>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</si>
  <si>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</si>
  <si>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</si>
  <si>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</si>
  <si>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</si>
  <si>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</si>
  <si>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</si>
  <si>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</si>
  <si>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</si>
  <si>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</si>
  <si>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</si>
  <si>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</si>
  <si>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</si>
  <si>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</si>
  <si>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</si>
  <si>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</si>
  <si>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</si>
  <si>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</si>
  <si>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</si>
  <si>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</si>
  <si>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</si>
  <si>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</si>
  <si>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</si>
  <si>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</si>
  <si>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</si>
  <si>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</si>
  <si>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</si>
  <si>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</si>
  <si>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</si>
  <si>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</si>
  <si>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</si>
  <si>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</si>
  <si>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</si>
  <si>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</si>
  <si>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</si>
  <si>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</si>
  <si>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</si>
  <si>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</si>
  <si>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</si>
  <si>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</si>
  <si>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</si>
  <si>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</si>
  <si>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</si>
  <si>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</si>
  <si>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</si>
  <si>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</si>
  <si>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</si>
  <si>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</si>
  <si>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</si>
  <si>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</si>
  <si>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</si>
  <si>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</si>
  <si>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</si>
  <si>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</si>
  <si>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</si>
  <si>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</si>
  <si>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</si>
  <si>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</si>
  <si>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</si>
  <si>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</si>
  <si>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</si>
  <si>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</si>
  <si>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</si>
  <si>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</si>
  <si>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</si>
  <si>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</si>
  <si>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</si>
  <si>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</si>
  <si>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</si>
  <si>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</si>
  <si>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</si>
  <si>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</si>
  <si>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</si>
  <si>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</si>
  <si>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</si>
  <si>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</si>
  <si>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</si>
  <si>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</si>
  <si>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</si>
  <si>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</si>
  <si>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</si>
  <si>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</si>
  <si>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</si>
  <si>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</si>
  <si>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</si>
  <si>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</si>
  <si>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</si>
  <si>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</si>
  <si>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</si>
  <si>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</si>
  <si>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</si>
  <si>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</si>
  <si>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</si>
  <si>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</si>
  <si>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</si>
  <si>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</si>
  <si>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</si>
  <si>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</si>
  <si>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</si>
  <si>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</si>
  <si>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</si>
  <si>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</si>
  <si>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</si>
  <si>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</si>
  <si>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</si>
  <si>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</si>
  <si>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</si>
  <si>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</si>
  <si>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</si>
  <si>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</si>
  <si>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</si>
  <si>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</si>
  <si>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</si>
  <si>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</si>
  <si>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</si>
  <si>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</si>
  <si>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</si>
  <si>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</si>
  <si>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</si>
  <si>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</si>
  <si>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</si>
  <si>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</si>
  <si>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</si>
  <si>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</si>
  <si>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</si>
  <si>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</si>
  <si>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</si>
  <si>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</si>
  <si>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</si>
  <si>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</si>
  <si>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</si>
  <si>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</si>
  <si>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</si>
  <si>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</si>
  <si>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</si>
  <si>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</si>
  <si>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</si>
  <si>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</si>
  <si>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</si>
  <si>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</si>
  <si>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</si>
  <si>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</si>
  <si>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</si>
  <si>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</si>
  <si>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</si>
  <si>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</si>
  <si>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</si>
  <si>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</si>
  <si>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</si>
  <si>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</si>
  <si>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</si>
  <si>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</si>
  <si>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</si>
  <si>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</si>
  <si>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</si>
  <si>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</si>
  <si>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</si>
  <si>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</si>
  <si>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</si>
  <si>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</si>
  <si>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</si>
  <si>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</si>
  <si>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</si>
  <si>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</si>
  <si>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</si>
  <si>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</si>
  <si>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</si>
  <si>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</si>
  <si>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</si>
  <si>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</si>
  <si>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</si>
  <si>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</si>
  <si>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</si>
  <si>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</si>
  <si>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</si>
  <si>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</si>
  <si>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</si>
  <si>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</si>
  <si>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</si>
  <si>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</si>
  <si>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</si>
  <si>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</si>
  <si>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</si>
  <si>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</si>
  <si>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</si>
  <si>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</si>
  <si>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</si>
  <si>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</si>
  <si>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</si>
  <si>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</si>
  <si>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</si>
  <si>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</si>
  <si>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</si>
  <si>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</si>
  <si>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</si>
  <si>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</si>
  <si>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</si>
  <si>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</si>
  <si>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</si>
  <si>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</si>
  <si>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</si>
  <si>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</si>
  <si>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</si>
  <si>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</si>
  <si>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</si>
  <si>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</si>
  <si>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</si>
  <si>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</si>
  <si>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</si>
  <si>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</si>
  <si>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</si>
  <si>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</si>
  <si>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</si>
  <si>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</si>
  <si>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</si>
  <si>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</si>
  <si>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</si>
  <si>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</si>
  <si>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</si>
  <si>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</si>
  <si>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</si>
  <si>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</si>
  <si>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</si>
  <si>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</si>
  <si>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</si>
  <si>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</si>
  <si>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</si>
  <si>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</si>
  <si>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</si>
  <si>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</si>
  <si>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</si>
  <si>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</si>
  <si>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</si>
  <si>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</si>
  <si>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</si>
  <si>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</si>
  <si>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</si>
  <si>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</si>
  <si>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</si>
  <si>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</si>
  <si>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</si>
  <si>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</si>
  <si>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</si>
  <si>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</si>
  <si>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</si>
  <si>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</si>
  <si>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</si>
  <si>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</si>
  <si>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</si>
  <si>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</si>
  <si>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</si>
  <si>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</si>
  <si>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</si>
  <si>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</si>
  <si>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</si>
  <si>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</si>
  <si>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</si>
  <si>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</si>
  <si>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</si>
  <si>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</si>
  <si>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</si>
  <si>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</si>
  <si>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</si>
  <si>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</si>
  <si>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</si>
  <si>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</si>
  <si>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</si>
  <si>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</si>
  <si>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</si>
  <si>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</si>
  <si>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</si>
  <si>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</si>
  <si>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</si>
  <si>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</si>
  <si>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</si>
  <si>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</si>
  <si>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</si>
  <si>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</si>
  <si>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</si>
  <si>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</si>
  <si>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</si>
  <si>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</si>
  <si>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</si>
  <si>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</si>
  <si>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</si>
  <si>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</si>
  <si>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</si>
  <si>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</si>
  <si>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</si>
  <si>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</si>
  <si>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</si>
  <si>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</si>
  <si>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</si>
  <si>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</si>
  <si>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</si>
  <si>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</si>
  <si>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</si>
  <si>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</si>
  <si>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</si>
  <si>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</si>
  <si>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</si>
  <si>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</si>
  <si>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</si>
  <si>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</si>
  <si>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</si>
  <si>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</si>
  <si>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</si>
  <si>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</si>
  <si>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</si>
  <si>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</si>
  <si>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</si>
  <si>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</si>
  <si>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</si>
  <si>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</si>
  <si>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</si>
  <si>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</si>
  <si>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</si>
  <si>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</si>
  <si>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</si>
  <si>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</si>
  <si>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</si>
  <si>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</si>
  <si>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</si>
  <si>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</si>
  <si>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</si>
  <si>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</si>
  <si>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</si>
  <si>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</si>
  <si>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</si>
  <si>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</si>
  <si>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</si>
  <si>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</si>
  <si>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</si>
  <si>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</si>
  <si>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</si>
  <si>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</si>
  <si>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</si>
  <si>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</si>
  <si>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</si>
  <si>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</si>
  <si>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</si>
  <si>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</si>
  <si>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</si>
  <si>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</si>
  <si>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</si>
  <si>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</si>
  <si>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</si>
  <si>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</si>
  <si>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</si>
  <si>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</si>
  <si>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</si>
  <si>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</si>
  <si>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</si>
  <si>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</si>
  <si>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</si>
  <si>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</si>
  <si>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</si>
  <si>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</si>
  <si>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</si>
  <si>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</si>
  <si>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</si>
  <si>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</si>
  <si>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</si>
  <si>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</si>
  <si>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</si>
  <si>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</si>
  <si>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</si>
  <si>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</si>
  <si>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</si>
  <si>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</si>
  <si>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</si>
  <si>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</si>
  <si>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</si>
  <si>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</si>
  <si>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</si>
  <si>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</si>
  <si>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</si>
  <si>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</si>
  <si>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</si>
  <si>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</si>
  <si>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</si>
  <si>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</si>
  <si>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</si>
  <si>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</si>
  <si>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</si>
  <si>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</si>
  <si>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</si>
  <si>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</si>
  <si>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</si>
  <si>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</si>
  <si>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</si>
  <si>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</si>
  <si>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</si>
  <si>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</si>
  <si>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</si>
  <si>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</si>
  <si>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</si>
  <si>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</si>
  <si>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</si>
  <si>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</si>
  <si>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</si>
  <si>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</si>
  <si>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</si>
  <si>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</si>
  <si>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</si>
  <si>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</si>
  <si>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</si>
  <si>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</si>
  <si>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</si>
  <si>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</si>
  <si>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</si>
  <si>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</si>
  <si>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</si>
  <si>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</si>
  <si>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</si>
  <si>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</si>
  <si>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</si>
  <si>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</si>
  <si>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</si>
  <si>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</si>
  <si>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</si>
  <si>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</si>
  <si>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</si>
  <si>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</si>
  <si>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</si>
  <si>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</si>
  <si>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</si>
  <si>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</si>
  <si>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</si>
  <si>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</si>
  <si>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</si>
  <si>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</si>
  <si>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</si>
  <si>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</si>
  <si>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</si>
  <si>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</si>
  <si>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</si>
  <si>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</si>
  <si>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</si>
  <si>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</si>
  <si>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</si>
  <si>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</si>
  <si>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</si>
  <si>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</si>
  <si>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</si>
  <si>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</si>
  <si>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</si>
  <si>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</si>
  <si>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</si>
  <si>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</si>
  <si>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</si>
  <si>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</si>
  <si>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</si>
  <si>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</si>
  <si>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</si>
  <si>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</si>
  <si>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</si>
  <si>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</si>
  <si>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</si>
  <si>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</si>
  <si>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</si>
  <si>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</si>
  <si>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</si>
  <si>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</si>
  <si>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</si>
  <si>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</si>
  <si>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</si>
  <si>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</si>
  <si>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</si>
  <si>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</si>
  <si>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</si>
  <si>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</si>
  <si>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</si>
  <si>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</si>
  <si>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</si>
  <si>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</si>
  <si>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</si>
  <si>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</si>
  <si>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</si>
  <si>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</si>
  <si>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</si>
  <si>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</si>
  <si>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</si>
  <si>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</si>
  <si>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</si>
  <si>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</si>
  <si>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</si>
  <si>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</si>
  <si>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</si>
  <si>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</si>
  <si>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</si>
  <si>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</si>
  <si>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</si>
  <si>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</si>
  <si>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</si>
  <si>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</si>
  <si>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</si>
  <si>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</si>
  <si>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</si>
  <si>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</si>
  <si>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</si>
  <si>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</si>
  <si>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</si>
  <si>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</si>
  <si>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</si>
  <si>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</si>
  <si>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</si>
  <si>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</si>
  <si>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</si>
  <si>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</si>
  <si>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</si>
  <si>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</si>
  <si>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</si>
  <si>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</si>
  <si>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</si>
  <si>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</si>
  <si>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</si>
  <si>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</si>
  <si>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</si>
  <si>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</si>
  <si>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</si>
  <si>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</si>
  <si>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</si>
  <si>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</si>
  <si>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</si>
  <si>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</si>
  <si>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</si>
  <si>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</si>
  <si>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</si>
  <si>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</si>
  <si>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</si>
  <si>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</si>
  <si>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</si>
  <si>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</si>
  <si>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</si>
  <si>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</si>
  <si>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</si>
  <si>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</si>
  <si>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</si>
  <si>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</si>
  <si>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</si>
  <si>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</si>
  <si>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</si>
  <si>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</si>
  <si>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</si>
  <si>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</si>
  <si>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</si>
  <si>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</si>
  <si>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</si>
  <si>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</si>
  <si>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</si>
  <si>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</si>
  <si>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</si>
  <si>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</si>
  <si>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</si>
  <si>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</si>
  <si>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</si>
  <si>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</si>
  <si>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</si>
  <si>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</si>
  <si>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</si>
  <si>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</si>
  <si>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</si>
  <si>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</si>
  <si>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</si>
  <si>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</si>
  <si>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</si>
  <si>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</si>
  <si>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</si>
  <si>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</si>
  <si>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</si>
  <si>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</si>
  <si>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</si>
  <si>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</si>
  <si>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</si>
  <si>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</si>
  <si>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</si>
  <si>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</si>
  <si>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</si>
  <si>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</si>
  <si>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</si>
  <si>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</si>
  <si>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</si>
  <si>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</si>
  <si>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</si>
  <si>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</si>
  <si>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</si>
  <si>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</si>
  <si>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</si>
  <si>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</si>
  <si>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</si>
  <si>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</si>
  <si>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</si>
  <si>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</si>
  <si>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</si>
  <si>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</si>
  <si>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</si>
  <si>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</si>
  <si>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</si>
  <si>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</si>
  <si>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</si>
  <si>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</si>
  <si>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</si>
  <si>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</si>
  <si>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</si>
  <si>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</si>
  <si>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</si>
  <si>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</si>
  <si>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</si>
  <si>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</si>
  <si>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</si>
  <si>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</si>
  <si>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</si>
  <si>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</si>
  <si>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</si>
  <si>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</si>
  <si>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</si>
  <si>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</si>
  <si>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</si>
  <si>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</si>
  <si>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</si>
  <si>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</si>
  <si>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</si>
  <si>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</si>
  <si>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</si>
  <si>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</si>
  <si>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</si>
  <si>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</si>
  <si>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</si>
  <si>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</si>
  <si>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</si>
  <si>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</si>
  <si>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</si>
  <si>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</si>
  <si>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</si>
  <si>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</si>
  <si>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</si>
  <si>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</si>
  <si>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</si>
  <si>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</si>
  <si>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</si>
  <si>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</si>
  <si>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</si>
  <si>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</si>
  <si>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</si>
  <si>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</si>
  <si>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</si>
  <si>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</si>
  <si>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</si>
  <si>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</si>
  <si>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</si>
  <si>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</si>
  <si>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</si>
  <si>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</si>
  <si>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</si>
  <si>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</si>
  <si>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</si>
  <si>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</si>
  <si>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</si>
  <si>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</si>
  <si>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</si>
  <si>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</si>
  <si>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</si>
  <si>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</si>
  <si>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</si>
  <si>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</si>
  <si>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</si>
  <si>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</si>
  <si>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</si>
  <si>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</si>
  <si>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</si>
  <si>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</si>
  <si>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</si>
  <si>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</si>
  <si>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</si>
  <si>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</si>
  <si>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</si>
  <si>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</si>
  <si>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</si>
  <si>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</si>
  <si>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</si>
  <si>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</si>
  <si>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</si>
  <si>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</si>
  <si>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</si>
  <si>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</si>
  <si>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</si>
  <si>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</si>
  <si>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</si>
  <si>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</si>
  <si>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</si>
  <si>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</si>
  <si>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</si>
  <si>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</si>
  <si>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</si>
  <si>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</si>
  <si>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</si>
  <si>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</si>
  <si>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</si>
  <si>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</si>
  <si>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</si>
  <si>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</si>
  <si>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</si>
  <si>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</si>
  <si>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</si>
  <si>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</si>
  <si>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</si>
  <si>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</si>
  <si>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</si>
  <si>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</si>
  <si>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</si>
  <si>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</si>
  <si>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</si>
  <si>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</si>
  <si>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</si>
  <si>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</si>
  <si>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</si>
  <si>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</si>
  <si>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</si>
  <si>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</si>
  <si>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</si>
  <si>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</si>
  <si>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</si>
  <si>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</si>
  <si>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</si>
  <si>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</si>
  <si>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</si>
  <si>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</si>
  <si>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</si>
  <si>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</si>
  <si>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</si>
  <si>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</si>
  <si>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</si>
  <si>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</si>
  <si>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</si>
  <si>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</si>
  <si>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</si>
  <si>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</si>
  <si>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</si>
  <si>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</si>
  <si>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</si>
  <si>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</si>
  <si>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</si>
  <si>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</si>
  <si>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</si>
  <si>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</si>
  <si>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</si>
  <si>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</si>
  <si>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</si>
  <si>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</si>
  <si>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</si>
  <si>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</si>
  <si>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</si>
  <si>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</si>
  <si>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</si>
  <si>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</si>
  <si>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</si>
  <si>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</si>
  <si>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</si>
  <si>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</si>
  <si>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</si>
  <si>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</si>
  <si>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</si>
  <si>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</si>
  <si>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</si>
  <si>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</si>
  <si>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</si>
  <si>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</si>
  <si>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</si>
  <si>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</si>
  <si>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</si>
  <si>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</si>
  <si>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</si>
  <si>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</si>
  <si>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</si>
  <si>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</si>
  <si>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</si>
  <si>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</si>
  <si>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</si>
  <si>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</si>
  <si>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</si>
  <si>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</si>
  <si>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</si>
  <si>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</si>
  <si>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</si>
  <si>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</si>
  <si>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</si>
  <si>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</si>
  <si>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</si>
  <si>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</si>
  <si>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</si>
  <si>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</si>
  <si>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</si>
  <si>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</si>
  <si>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</si>
  <si>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</si>
  <si>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</si>
  <si>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</si>
  <si>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</si>
  <si>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</si>
  <si>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</si>
  <si>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</si>
  <si>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</si>
  <si>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</si>
  <si>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</si>
  <si>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</si>
  <si>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</si>
  <si>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</si>
  <si>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</si>
  <si>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</si>
  <si>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</si>
  <si>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</si>
  <si>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</si>
  <si>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</si>
  <si>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</si>
  <si>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</si>
  <si>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</si>
  <si>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</si>
  <si>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</si>
  <si>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</si>
  <si>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</si>
  <si>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</si>
  <si>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</si>
  <si>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</si>
  <si>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</si>
  <si>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</si>
  <si>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</si>
  <si>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</si>
  <si>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</si>
  <si>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</si>
  <si>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</si>
  <si>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</si>
  <si>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</si>
  <si>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</si>
  <si>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</si>
  <si>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</si>
  <si>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</si>
  <si>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</si>
  <si>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</si>
  <si>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</si>
  <si>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</si>
  <si>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</si>
  <si>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</si>
  <si>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</si>
  <si>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</si>
  <si>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</si>
  <si>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</si>
  <si>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</si>
  <si>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</si>
  <si>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</si>
  <si>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</si>
  <si>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</si>
  <si>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</si>
  <si>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</si>
  <si>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</si>
  <si>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</si>
  <si>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</si>
  <si>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</si>
  <si>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</si>
  <si>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</si>
  <si>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</si>
  <si>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</si>
  <si>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</si>
  <si>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</si>
  <si>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</si>
  <si>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</si>
  <si>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</si>
  <si>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</si>
  <si>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</si>
  <si>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</si>
  <si>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</si>
  <si>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</si>
  <si>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</si>
  <si>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</si>
  <si>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</si>
  <si>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</si>
  <si>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</si>
  <si>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</si>
  <si>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</si>
  <si>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</si>
  <si>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</si>
  <si>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</si>
  <si>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</si>
  <si>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</si>
  <si>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</si>
  <si>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</si>
  <si>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</si>
  <si>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</si>
  <si>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</si>
  <si>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</si>
  <si>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</si>
  <si>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</si>
  <si>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</si>
  <si>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</si>
  <si>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</si>
  <si>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</si>
  <si>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</si>
  <si>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</si>
  <si>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</si>
  <si>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</si>
  <si>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</si>
  <si>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</si>
  <si>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</si>
  <si>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</si>
  <si>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</si>
  <si>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</si>
  <si>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</si>
  <si>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</si>
  <si>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</si>
  <si>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</si>
  <si>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</si>
  <si>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</si>
  <si>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</si>
  <si>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</si>
  <si>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</si>
  <si>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</si>
  <si>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</si>
  <si>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</si>
  <si>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</si>
  <si>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</si>
  <si>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</si>
  <si>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</si>
  <si>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</si>
  <si>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</si>
  <si>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</si>
  <si>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</si>
  <si>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</si>
  <si>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</si>
  <si>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</si>
  <si>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</si>
  <si>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</si>
  <si>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</si>
  <si>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</si>
  <si>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</si>
  <si>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</si>
  <si>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</si>
  <si>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</si>
  <si>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</si>
  <si>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</si>
  <si>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</si>
  <si>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</si>
  <si>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</si>
  <si>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</si>
  <si>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</si>
  <si>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</si>
  <si>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</si>
  <si>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</si>
  <si>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</si>
  <si>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</si>
  <si>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</si>
  <si>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</si>
  <si>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</si>
  <si>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</si>
  <si>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</si>
  <si>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</si>
  <si>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</si>
  <si>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</si>
  <si>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</si>
  <si>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</si>
  <si>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</si>
  <si>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</si>
  <si>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</si>
  <si>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</si>
  <si>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</si>
  <si>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</si>
  <si>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</si>
  <si>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</si>
  <si>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</si>
  <si>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</si>
  <si>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</si>
  <si>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</si>
  <si>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</si>
  <si>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</si>
  <si>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</si>
  <si>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</si>
  <si>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</si>
  <si>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</si>
  <si>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</si>
  <si>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</si>
  <si>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</si>
  <si>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</si>
  <si>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</si>
  <si>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</si>
  <si>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</si>
  <si>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</si>
  <si>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</si>
  <si>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</si>
  <si>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</si>
  <si>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</si>
  <si>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</si>
  <si>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</si>
  <si>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</si>
  <si>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</si>
  <si>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</si>
  <si>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</si>
  <si>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</si>
  <si>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</si>
  <si>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</si>
  <si>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</si>
  <si>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</si>
  <si>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</si>
  <si>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</si>
  <si>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</si>
  <si>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</si>
  <si>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</si>
  <si>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</si>
  <si>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</si>
  <si>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</si>
  <si>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</si>
  <si>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</si>
  <si>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</si>
  <si>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</si>
  <si>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</si>
  <si>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</si>
  <si>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</si>
  <si>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</si>
  <si>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</si>
  <si>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</si>
  <si>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</si>
  <si>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</si>
  <si>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</si>
  <si>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</si>
  <si>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</si>
  <si>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</si>
  <si>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</si>
  <si>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</si>
  <si>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</si>
  <si>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</si>
  <si>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</si>
  <si>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</si>
  <si>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</si>
  <si>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</si>
  <si>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</si>
  <si>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</si>
  <si>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</si>
  <si>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</si>
  <si>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</si>
  <si>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</si>
  <si>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</si>
  <si>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</si>
  <si>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</si>
  <si>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</si>
  <si>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</si>
  <si>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</si>
  <si>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</si>
  <si>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</si>
  <si>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</si>
  <si>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</si>
  <si>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</si>
  <si>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</si>
  <si>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</si>
  <si>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</si>
  <si>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</si>
  <si>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</si>
  <si>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</si>
  <si>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</si>
  <si>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</si>
  <si>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</si>
  <si>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</si>
  <si>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</si>
  <si>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</si>
  <si>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</si>
  <si>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</si>
  <si>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</si>
  <si>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</si>
  <si>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</si>
  <si>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</si>
  <si>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</si>
  <si>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</si>
  <si>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</si>
  <si>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</si>
  <si>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</si>
  <si>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</si>
  <si>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</si>
  <si>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</si>
  <si>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</si>
  <si>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</si>
  <si>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</si>
  <si>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</si>
  <si>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</si>
  <si>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</si>
  <si>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</si>
  <si>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</si>
  <si>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</si>
  <si>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</si>
  <si>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</si>
  <si>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</si>
  <si>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</si>
  <si>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</si>
  <si>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</si>
  <si>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</si>
  <si>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</si>
  <si>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</si>
  <si>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</si>
  <si>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</si>
  <si>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</si>
  <si>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</si>
  <si>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</si>
  <si>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</si>
  <si>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</si>
  <si>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</si>
  <si>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</si>
  <si>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</si>
  <si>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</si>
  <si>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</si>
  <si>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</si>
  <si>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</si>
  <si>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</si>
  <si>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</si>
  <si>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</si>
  <si>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</si>
  <si>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</si>
  <si>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</si>
  <si>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</si>
  <si>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</si>
  <si>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</si>
  <si>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</si>
  <si>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</si>
  <si>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</si>
  <si>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</si>
  <si>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</si>
  <si>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</si>
  <si>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</si>
  <si>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</si>
  <si>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</si>
  <si>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</si>
  <si>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</si>
  <si>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</si>
  <si>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</si>
  <si>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</si>
  <si>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</si>
  <si>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</si>
  <si>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</si>
  <si>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</si>
  <si>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</si>
  <si>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</si>
  <si>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</si>
  <si>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</si>
  <si>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</si>
  <si>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</si>
  <si>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</si>
  <si>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</si>
  <si>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</si>
  <si>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</si>
  <si>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</si>
  <si>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</si>
  <si>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</si>
  <si>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</si>
  <si>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</si>
  <si>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</si>
  <si>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</si>
  <si>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</si>
  <si>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</si>
  <si>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</si>
  <si>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</si>
  <si>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</si>
  <si>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</si>
  <si>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</si>
  <si>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</si>
  <si>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</si>
  <si>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</si>
  <si>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</si>
  <si>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</si>
  <si>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</si>
  <si>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</si>
  <si>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</si>
  <si>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</si>
  <si>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</si>
  <si>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</si>
  <si>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</si>
  <si>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</si>
  <si>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</si>
  <si>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</si>
  <si>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</si>
  <si>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</si>
  <si>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</si>
  <si>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</si>
  <si>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</si>
  <si>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</si>
  <si>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</si>
  <si>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</si>
  <si>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</si>
  <si>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</si>
  <si>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</si>
  <si>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</si>
  <si>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</si>
  <si>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</si>
  <si>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</si>
  <si>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</si>
  <si>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</si>
  <si>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</si>
  <si>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</si>
  <si>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</si>
  <si>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</si>
  <si>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</si>
  <si>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</si>
  <si>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</si>
  <si>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</si>
  <si>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</si>
  <si>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</si>
  <si>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</si>
  <si>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</si>
  <si>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</si>
  <si>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</si>
  <si>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</si>
  <si>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</si>
  <si>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</si>
  <si>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</si>
  <si>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</si>
  <si>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</si>
  <si>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</si>
  <si>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</si>
  <si>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</si>
  <si>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</si>
  <si>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</si>
  <si>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</si>
  <si>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</si>
  <si>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</si>
  <si>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</si>
  <si>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</si>
  <si>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</si>
  <si>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</si>
  <si>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</si>
  <si>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</si>
  <si>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</si>
  <si>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</si>
  <si>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</si>
  <si>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</si>
  <si>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</si>
  <si>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</si>
  <si>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</si>
  <si>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</si>
  <si>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</si>
  <si>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</si>
  <si>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</si>
  <si>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</si>
  <si>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</si>
  <si>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</si>
  <si>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</si>
  <si>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</si>
  <si>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</si>
  <si>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</si>
  <si>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</si>
  <si>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</si>
  <si>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</si>
  <si>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</si>
  <si>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</si>
  <si>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</si>
  <si>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</si>
  <si>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</si>
  <si>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</si>
  <si>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</si>
  <si>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</si>
  <si>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</si>
  <si>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</si>
  <si>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</si>
  <si>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</si>
  <si>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</si>
  <si>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</si>
  <si>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</si>
  <si>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</si>
  <si>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</si>
  <si>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</si>
  <si>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</si>
  <si>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</si>
  <si>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</si>
  <si>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</si>
  <si>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</si>
  <si>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</si>
  <si>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</si>
  <si>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</si>
  <si>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</si>
  <si>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</si>
  <si>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</si>
  <si>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</si>
  <si>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</si>
  <si>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</si>
  <si>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</si>
  <si>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</si>
  <si>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</si>
  <si>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</si>
  <si>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</si>
  <si>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</si>
  <si>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</si>
  <si>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</si>
  <si>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</si>
  <si>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</si>
  <si>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</si>
  <si>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</si>
  <si>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</si>
  <si>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</si>
  <si>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</si>
  <si>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</si>
  <si>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</si>
  <si>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</si>
  <si>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</si>
  <si>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</si>
  <si>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</si>
  <si>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</si>
  <si>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</si>
  <si>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</si>
  <si>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</si>
  <si>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</si>
  <si>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</si>
  <si>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</si>
  <si>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</si>
  <si>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</si>
  <si>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</si>
  <si>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</si>
  <si>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</si>
  <si>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</si>
  <si>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</si>
  <si>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</si>
  <si>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</si>
  <si>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</si>
  <si>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</si>
  <si>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</si>
  <si>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</si>
  <si>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</si>
  <si>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</si>
  <si>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</si>
  <si>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</si>
  <si>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</si>
  <si>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</si>
  <si>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</si>
  <si>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</si>
  <si>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</si>
  <si>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</si>
  <si>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</si>
  <si>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</si>
  <si>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</si>
  <si>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</si>
  <si>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</si>
  <si>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</si>
  <si>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</si>
  <si>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</si>
  <si>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</si>
  <si>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</si>
  <si>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</si>
  <si>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</si>
  <si>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</si>
  <si>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</si>
  <si>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</si>
  <si>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</si>
  <si>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</si>
  <si>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</si>
  <si>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</si>
  <si>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</si>
  <si>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</si>
  <si>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</si>
  <si>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</si>
  <si>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</si>
  <si>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</si>
  <si>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</si>
  <si>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</si>
  <si>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</si>
  <si>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</si>
  <si>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</si>
  <si>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</si>
  <si>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</si>
  <si>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</si>
  <si>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</si>
  <si>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</si>
  <si>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</si>
  <si>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</si>
  <si>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</si>
  <si>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</si>
  <si>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</si>
  <si>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</si>
  <si>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</si>
  <si>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</si>
  <si>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</si>
  <si>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</si>
  <si>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</si>
  <si>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</si>
  <si>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</si>
  <si>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</si>
  <si>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</si>
  <si>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</si>
  <si>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</si>
  <si>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</si>
  <si>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</si>
  <si>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</si>
  <si>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</si>
  <si>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</si>
  <si>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</si>
  <si>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</si>
  <si>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</si>
  <si>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</si>
  <si>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</si>
  <si>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</si>
  <si>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</si>
  <si>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</si>
  <si>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</si>
  <si>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</si>
  <si>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</si>
  <si>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</si>
  <si>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</si>
  <si>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</si>
  <si>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</si>
  <si>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</si>
  <si>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</si>
  <si>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</si>
  <si>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</si>
  <si>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</si>
  <si>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</si>
  <si>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</si>
  <si>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</si>
  <si>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</si>
  <si>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</si>
  <si>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</si>
  <si>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</si>
  <si>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</si>
  <si>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</si>
  <si>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</si>
  <si>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</si>
  <si>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</si>
  <si>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</si>
  <si>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</si>
  <si>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</si>
  <si>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</si>
  <si>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</si>
  <si>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</si>
  <si>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</si>
  <si>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</si>
  <si>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</si>
  <si>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</si>
  <si>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</si>
  <si>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</si>
  <si>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</si>
  <si>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</si>
  <si>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</si>
  <si>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</si>
  <si>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</si>
  <si>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</si>
  <si>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</si>
  <si>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</si>
  <si>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</si>
  <si>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</si>
  <si>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</si>
  <si>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</si>
  <si>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东区住宅：</t>
    <phoneticPr fontId="143" type="noConversion"/>
  </si>
  <si>
    <t>《工程规划许可证》证号：建字第110114201700039号</t>
    <phoneticPr fontId="143" type="noConversion"/>
  </si>
  <si>
    <t>东区住宅1-18号楼</t>
    <phoneticPr fontId="143" type="noConversion"/>
  </si>
  <si>
    <t>序号</t>
    <phoneticPr fontId="143" type="noConversion"/>
  </si>
  <si>
    <t>项目性质</t>
    <phoneticPr fontId="143" type="noConversion"/>
  </si>
  <si>
    <t>总建筑面积</t>
    <phoneticPr fontId="143" type="noConversion"/>
  </si>
  <si>
    <t>建筑面积</t>
    <phoneticPr fontId="143" type="noConversion"/>
  </si>
  <si>
    <t>其中</t>
    <phoneticPr fontId="143" type="noConversion"/>
  </si>
  <si>
    <t>地上</t>
    <phoneticPr fontId="143" type="noConversion"/>
  </si>
  <si>
    <t>地下</t>
    <phoneticPr fontId="143" type="noConversion"/>
  </si>
  <si>
    <t>住宅</t>
    <phoneticPr fontId="143" type="noConversion"/>
  </si>
  <si>
    <t>储藏</t>
    <phoneticPr fontId="143" type="noConversion"/>
  </si>
  <si>
    <t>设备用房</t>
    <phoneticPr fontId="143" type="noConversion"/>
  </si>
  <si>
    <t>1#住宅楼</t>
    <phoneticPr fontId="143" type="noConversion"/>
  </si>
  <si>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</si>
  <si>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</si>
  <si>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</si>
  <si>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</si>
  <si>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</si>
  <si>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</si>
  <si>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</si>
  <si>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</si>
  <si>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</si>
  <si>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</si>
  <si>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</si>
  <si>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</si>
  <si>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</si>
  <si>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</si>
  <si>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</si>
  <si>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</si>
  <si>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</si>
  <si>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小计</t>
    <phoneticPr fontId="143" type="noConversion"/>
  </si>
  <si>
    <t>地下车库</t>
    <phoneticPr fontId="143" type="noConversion"/>
  </si>
  <si>
    <t>合计</t>
    <phoneticPr fontId="143" type="noConversion"/>
  </si>
  <si>
    <t>序号</t>
    <phoneticPr fontId="143" type="noConversion"/>
  </si>
  <si>
    <t>项目性质</t>
    <phoneticPr fontId="143" type="noConversion"/>
  </si>
  <si>
    <t>总建筑面积</t>
    <phoneticPr fontId="143" type="noConversion"/>
  </si>
  <si>
    <t>建筑面积</t>
    <phoneticPr fontId="143" type="noConversion"/>
  </si>
  <si>
    <t>地上</t>
    <phoneticPr fontId="143" type="noConversion"/>
  </si>
  <si>
    <t>地下</t>
    <phoneticPr fontId="143" type="noConversion"/>
  </si>
  <si>
    <t>人防出入口</t>
    <phoneticPr fontId="143" type="noConversion"/>
  </si>
  <si>
    <t>小计</t>
    <phoneticPr fontId="143" type="noConversion"/>
  </si>
  <si>
    <t>《工程规划许可证》证号：建字第110114201600097号</t>
    <phoneticPr fontId="143" type="noConversion"/>
  </si>
  <si>
    <t>东区保障房</t>
    <phoneticPr fontId="143" type="noConversion"/>
  </si>
  <si>
    <t>人才公租房</t>
    <phoneticPr fontId="143" type="noConversion"/>
  </si>
  <si>
    <t>限价商品房</t>
    <phoneticPr fontId="143" type="noConversion"/>
  </si>
  <si>
    <t>公服配套</t>
    <phoneticPr fontId="143" type="noConversion"/>
  </si>
  <si>
    <t>人防管理用房</t>
    <phoneticPr fontId="143" type="noConversion"/>
  </si>
  <si>
    <t>储藏间</t>
    <phoneticPr fontId="143" type="noConversion"/>
  </si>
  <si>
    <t>设备用房</t>
    <phoneticPr fontId="143" type="noConversion"/>
  </si>
  <si>
    <t>人防工程</t>
    <phoneticPr fontId="143" type="noConversion"/>
  </si>
  <si>
    <t>人防通道</t>
    <phoneticPr fontId="143" type="noConversion"/>
  </si>
  <si>
    <t>车库</t>
    <phoneticPr fontId="143" type="noConversion"/>
  </si>
  <si>
    <t>19#住宅楼</t>
    <phoneticPr fontId="143" type="noConversion"/>
  </si>
  <si>
    <t>20#住宅楼</t>
  </si>
  <si>
    <t>21#住宅楼</t>
  </si>
  <si>
    <t>22#住宅楼</t>
  </si>
  <si>
    <t>23#住宅楼</t>
  </si>
  <si>
    <t>24#住宅楼</t>
  </si>
  <si>
    <t>人防</t>
    <phoneticPr fontId="143" type="noConversion"/>
  </si>
  <si>
    <t>开闭站</t>
    <phoneticPr fontId="143" type="noConversion"/>
  </si>
  <si>
    <t>地下车库</t>
    <phoneticPr fontId="143" type="noConversion"/>
  </si>
  <si>
    <t>刘梅</t>
  </si>
  <si>
    <t>吴薇</t>
  </si>
  <si>
    <t>国瑞兴业（北京）投资有限公司</t>
    <phoneticPr fontId="6" type="noConversion"/>
  </si>
  <si>
    <t>民生信托</t>
    <phoneticPr fontId="6" type="noConversion"/>
  </si>
  <si>
    <t>房地产抵押价值</t>
  </si>
  <si>
    <t>抵押</t>
  </si>
  <si>
    <t>北京市</t>
  </si>
  <si>
    <t>企业</t>
  </si>
  <si>
    <t>东区地上</t>
    <phoneticPr fontId="143" type="noConversion"/>
  </si>
  <si>
    <t>东区地下</t>
    <phoneticPr fontId="143" type="noConversion"/>
  </si>
  <si>
    <t>东区总面积</t>
    <phoneticPr fontId="143" type="noConversion"/>
  </si>
  <si>
    <t>出让</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</si>
  <si>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）昌不动产权第</t>
    </r>
    <r>
      <rPr>
        <sz val="12"/>
        <color theme="9" tint="-0.249977111117893"/>
        <rFont val="Arial"/>
        <family val="2"/>
      </rPr>
      <t>0000033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</si>
  <si>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《工程规划许可证》证号：建字第110114201700039、110114201600097号</t>
    <phoneticPr fontId="6" type="noConversion"/>
  </si>
  <si>
    <t>是</t>
  </si>
  <si>
    <t>《不动产权证书》</t>
  </si>
  <si>
    <t>渤海银行股份有限公司北京分行</t>
    <phoneticPr fontId="6" type="noConversion"/>
  </si>
  <si>
    <t>居住项目</t>
  </si>
  <si>
    <t>含保障性住房</t>
  </si>
  <si>
    <t>公租房、保障房</t>
    <phoneticPr fontId="6" type="noConversion"/>
  </si>
  <si>
    <t>在建</t>
  </si>
  <si>
    <r>
      <t>《不动产权证书》证号：京（2016）昌平区不动产权第00000</t>
    </r>
    <r>
      <rPr>
        <sz val="11"/>
        <color theme="1"/>
        <rFont val="宋体"/>
        <family val="3"/>
        <charset val="134"/>
        <scheme val="minor"/>
      </rPr>
      <t>33</t>
    </r>
    <r>
      <rPr>
        <sz val="11"/>
        <color theme="1"/>
        <rFont val="宋体"/>
        <family val="3"/>
        <charset val="134"/>
        <scheme val="minor"/>
      </rPr>
      <t>号</t>
    </r>
    <phoneticPr fontId="143" type="noConversion"/>
  </si>
  <si>
    <t>地上</t>
  </si>
  <si>
    <t>住宅</t>
  </si>
  <si>
    <t>叠拼</t>
  </si>
  <si>
    <t>地下</t>
  </si>
  <si>
    <t>储藏</t>
  </si>
  <si>
    <t>储藏</t>
    <phoneticPr fontId="16" type="noConversion"/>
  </si>
  <si>
    <t>公租房</t>
  </si>
  <si>
    <t>公租房</t>
    <phoneticPr fontId="16" type="noConversion"/>
  </si>
  <si>
    <t>限价房</t>
  </si>
  <si>
    <t>限价房</t>
    <phoneticPr fontId="16" type="noConversion"/>
  </si>
  <si>
    <t>车库</t>
  </si>
  <si>
    <t>公租房</t>
    <phoneticPr fontId="7" type="noConversion"/>
  </si>
  <si>
    <t>限价房</t>
    <phoneticPr fontId="7" type="noConversion"/>
  </si>
  <si>
    <t>仓储</t>
  </si>
  <si>
    <t>仓储</t>
    <phoneticPr fontId="7" type="noConversion"/>
  </si>
  <si>
    <t>车库</t>
    <phoneticPr fontId="7" type="noConversion"/>
  </si>
  <si>
    <t>居住用地（指二类居住用地）</t>
  </si>
  <si>
    <t>容积率修正</t>
  </si>
  <si>
    <t>按公示增长率计算</t>
  </si>
  <si>
    <t>未包含在土地购买价格中</t>
  </si>
  <si>
    <t>否</t>
  </si>
  <si>
    <t>已包含在土地取得成本中</t>
  </si>
  <si>
    <t>钢混</t>
  </si>
  <si>
    <t>非生产用房</t>
  </si>
  <si>
    <t>收益法（仓储）</t>
  </si>
  <si>
    <t>收益法（车库）</t>
  </si>
  <si>
    <t>在建（套用方法）</t>
  </si>
  <si>
    <t>多面临街</t>
  </si>
  <si>
    <t>估价对象周边居住用地比例大、居住小区规模大且社区发展完善程度较好，如北京晨浩花园、海德堡小区、柏林在线等住宅小区，综合评价居住社区成熟度好。</t>
    <phoneticPr fontId="41" type="noConversion"/>
  </si>
  <si>
    <t>较好</t>
  </si>
  <si>
    <t>好</t>
  </si>
  <si>
    <t>一般</t>
  </si>
  <si>
    <t>较差</t>
  </si>
  <si>
    <t>成本法</t>
  </si>
  <si>
    <t>假设开发法</t>
  </si>
  <si>
    <t>住宅、地下仓储、地下车库</t>
    <phoneticPr fontId="6" type="noConversion"/>
  </si>
  <si>
    <t>70</t>
    <phoneticPr fontId="3" type="noConversion"/>
  </si>
  <si>
    <t>住宅</t>
    <phoneticPr fontId="31" type="noConversion"/>
  </si>
  <si>
    <t>70</t>
    <phoneticPr fontId="3" type="noConversion"/>
  </si>
  <si>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</si>
  <si>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</si>
  <si>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</si>
  <si>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</si>
  <si>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</si>
  <si>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</si>
  <si>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</si>
  <si>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</si>
  <si>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</si>
  <si>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较不规则</t>
  </si>
  <si>
    <t>三通一平</t>
  </si>
  <si>
    <t>较规则</t>
  </si>
  <si>
    <t>七通一平</t>
  </si>
  <si>
    <t>五通一平</t>
  </si>
  <si>
    <t>无</t>
    <phoneticPr fontId="3" type="noConversion"/>
  </si>
  <si>
    <t>公租房</t>
    <phoneticPr fontId="3" type="noConversion"/>
  </si>
  <si>
    <t>限价房</t>
    <phoneticPr fontId="3" type="noConversion"/>
  </si>
  <si>
    <t>限价房、公租房</t>
    <phoneticPr fontId="3" type="noConversion"/>
  </si>
  <si>
    <t>国瑞熙墅东区</t>
    <phoneticPr fontId="3" type="noConversion"/>
  </si>
  <si>
    <t>昌平区北七家镇</t>
    <phoneticPr fontId="3" type="noConversion"/>
  </si>
  <si>
    <t>一致</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</si>
  <si>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</si>
  <si>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</si>
  <si>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</si>
  <si>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</si>
  <si>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</si>
  <si>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</si>
  <si>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</si>
  <si>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</si>
  <si>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</si>
  <si>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</si>
  <si>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</si>
  <si>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</si>
  <si>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</si>
  <si>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北京市延庆区延庆新城03街区会展中心东侧一期YQ00-0003-0002等地块二类居住、供电、环卫设施及基础教育用地</t>
  </si>
  <si>
    <t>综合用地(含住宅)</t>
  </si>
  <si>
    <t>综合容积率2.2,详情请见挂牌文件</t>
  </si>
  <si>
    <t>挂牌</t>
  </si>
  <si>
    <t>2017-12-14</t>
  </si>
  <si>
    <t>北京富力城房地产开发有限公司和中交地产股份有限公司联合体</t>
  </si>
  <si>
    <t>北京市房山区阎村镇LX14-0602等地块R2二类居住用地、S4社会停车场用地、A33基础教育用地</t>
  </si>
  <si>
    <t>2017-12-07</t>
  </si>
  <si>
    <t>北京金隅地产开发集团有限公司</t>
  </si>
  <si>
    <t>北京市房山区良乡镇中心区01-17-02等地块R2二类居住用地、B1商业用地</t>
  </si>
  <si>
    <t>北京金融街京西置业有限公司</t>
  </si>
  <si>
    <t>北京市大兴区魏善庄镇2016年世界月季大会周边配套(国家新媒体产业基地B组团)土地一级开发项目AA-43(DX07-0102-6011)地块R2二类居住用地</t>
  </si>
  <si>
    <t>住宅用地</t>
  </si>
  <si>
    <t>2017-11-07</t>
  </si>
  <si>
    <t>北京首都开发股份有限公司和保利(北京)房地产开发有限公司联合体</t>
  </si>
  <si>
    <t>北京市昌平区北七家镇(未来科技城南区)C-52地块R2二类居住用地</t>
  </si>
  <si>
    <t>北京未来科学城昌泰置业有限公司</t>
  </si>
  <si>
    <t>北京经济技术开发区河西区X90R1、X90S1地块R2二类居住用地、S4社会停车场用地</t>
  </si>
  <si>
    <t>2017-10-25</t>
  </si>
  <si>
    <t>北京博大新元房地产开发有限公司</t>
  </si>
  <si>
    <t>北京市通州区西集镇西集村TZ07-0103-0019、0029地块R2二类居住用地、TZ07-0103-0020地块B1商业用地</t>
  </si>
  <si>
    <t>2017-10-11</t>
  </si>
  <si>
    <t>北京德俊置业有限公司、北京房地置业发展有限公司、北京新奥集团有限公司和北京首都开发股份有限公司联合体</t>
  </si>
  <si>
    <t>北京市通州区通州新城0204街区TZ00-0024-0006、0007地块R2二类居住用地</t>
  </si>
  <si>
    <t>2017-09-21</t>
  </si>
  <si>
    <t>北京首都开发股份有限公司和北京新奥集团有限公司联合体</t>
  </si>
  <si>
    <t>怀柔区怀柔镇张各长村HR00-0004-6001地块F2公建混合住宅用地</t>
  </si>
  <si>
    <t>2017-08-11</t>
  </si>
  <si>
    <t>北京碧桂园阳光置业发展有限公司</t>
  </si>
  <si>
    <t>大兴区黄村镇DX00-0102-0802地块F1住宅混合公建用地</t>
  </si>
  <si>
    <t>2017-07-25</t>
  </si>
  <si>
    <t>保利(北京)房地产开发有限公司</t>
  </si>
  <si>
    <t>昌平区北七家镇009地块R2二类居住用地</t>
  </si>
  <si>
    <t>北京未来科技城昌远置业有限公司</t>
  </si>
  <si>
    <t>平谷区马坊镇梨羊村PG05-0108-0001地块R2二类居住用地</t>
  </si>
  <si>
    <t>顺义区后沙峪镇SY00-0019-6001、6003地块R2二类居住用地、SY00-0019-6004地块B1商业用地</t>
  </si>
  <si>
    <t>r2:1.8;b1:2</t>
  </si>
  <si>
    <t>2017-07-13</t>
  </si>
  <si>
    <t>中铁置业集团北京有限公司</t>
  </si>
  <si>
    <t>顺义区仁和镇第5街区05-03-04-3地块</t>
  </si>
  <si>
    <t>2017-04-27</t>
  </si>
  <si>
    <t>河南新筑置业有限公司</t>
  </si>
  <si>
    <t>顺义区天竺镇第22街区SY00-0022-6015、6016地块</t>
  </si>
  <si>
    <t>北京金隅大成开发有限公司和北京空港科技园区股份有限公司联合体</t>
  </si>
  <si>
    <t>门头沟区永定镇MC00-0015-0043地块</t>
  </si>
  <si>
    <t>居住2.5,教育0.7</t>
  </si>
  <si>
    <t>2017-04-25</t>
  </si>
  <si>
    <t>中铁房地产集团北方有限公司</t>
  </si>
  <si>
    <t>大兴区瀛海镇区C4组团YZ00-0803-0603地块</t>
  </si>
  <si>
    <t>北京国瑞兴业房地产控股有限公司</t>
  </si>
  <si>
    <t>平谷区山东庄镇西沥津村PG08-0401-0004等地块</t>
  </si>
  <si>
    <t>招标</t>
  </si>
  <si>
    <t>2017-04-12</t>
  </si>
  <si>
    <t>北京兆福房地产开发有限公司</t>
  </si>
  <si>
    <t>通州区台湖镇北神树村B-30地块</t>
  </si>
  <si>
    <t>2017-03-28</t>
  </si>
  <si>
    <t>北京天恒正同资产管理有限公司</t>
  </si>
  <si>
    <t>北京市延庆区延庆新城03街区会展中心东侧一期YQ00-0003-0002等地块二类居住、供电、环卫设施及基础教育用地</t>
    <phoneticPr fontId="3" type="noConversion"/>
  </si>
  <si>
    <t>延庆区延庆新城</t>
    <phoneticPr fontId="3" type="noConversion"/>
  </si>
  <si>
    <t>六通一平</t>
  </si>
  <si>
    <t>怀柔区怀柔镇张各长村HR00-0004-6001地块F2公建混合住宅用地</t>
    <phoneticPr fontId="3" type="noConversion"/>
  </si>
  <si>
    <t>怀柔区怀柔镇张各长村</t>
    <phoneticPr fontId="3" type="noConversion"/>
  </si>
  <si>
    <t>平谷区马坊镇梨羊村PG05-0108-0001地块R2二类居住用地</t>
    <phoneticPr fontId="3" type="noConversion"/>
  </si>
  <si>
    <t>平谷区马坊镇梨羊村</t>
    <phoneticPr fontId="3" type="noConversion"/>
  </si>
  <si>
    <t>估价对象多面临街，周边道路路网较为密集，公共交通通达情况较好，有417、533路等、停车便捷程度较好，综合评价交通便捷度较好。</t>
    <phoneticPr fontId="41" type="noConversion"/>
  </si>
  <si>
    <r>
      <rPr>
        <sz val="11"/>
        <rFont val="宋体"/>
        <family val="3"/>
        <charset val="134"/>
      </rPr>
      <t>周边道路路网较为密集，公共交通通达情况较好，有</t>
    </r>
    <r>
      <rPr>
        <sz val="11"/>
        <rFont val="Arial"/>
        <family val="2"/>
      </rPr>
      <t>y09</t>
    </r>
    <r>
      <rPr>
        <sz val="11"/>
        <rFont val="宋体"/>
        <family val="3"/>
        <charset val="134"/>
      </rPr>
      <t>、</t>
    </r>
    <r>
      <rPr>
        <sz val="11"/>
        <rFont val="Arial"/>
        <family val="2"/>
      </rPr>
      <t>y43</t>
    </r>
    <r>
      <rPr>
        <sz val="11"/>
        <rFont val="宋体"/>
        <family val="3"/>
        <charset val="134"/>
      </rPr>
      <t>路等、停车便捷程度较好，综合评价交通便捷度较好。</t>
    </r>
    <phoneticPr fontId="31" type="noConversion"/>
  </si>
  <si>
    <t>区域内多为住宅用地，对土地利用无不利影响。</t>
    <phoneticPr fontId="25" type="noConversion"/>
  </si>
  <si>
    <t>区域内多为住宅用地，对土地利用无不利影响。</t>
    <phoneticPr fontId="31" type="noConversion"/>
  </si>
  <si>
    <t>七通</t>
  </si>
  <si>
    <t>估价对象所在区域基础设施水平达到“七通”。</t>
    <phoneticPr fontId="25"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</si>
  <si>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</si>
  <si>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t>估价对象所在区域2公里范围内有：银行（中国银行、北京农村商业银行），购物（物联隆超市、超市发超市）、医院（北七家社区卫生服务中心），学校（北京市晨星学校、伊顿双语幼儿园），餐饮等，公共配套设施齐备情况较好。</t>
    <phoneticPr fontId="41" type="noConversion"/>
  </si>
  <si>
    <r>
      <rPr>
        <sz val="11"/>
        <rFont val="宋体"/>
        <family val="3"/>
        <charset val="134"/>
      </rPr>
      <t>所在区域</t>
    </r>
    <r>
      <rPr>
        <sz val="11"/>
        <rFont val="Arial"/>
        <family val="2"/>
      </rPr>
      <t>2</t>
    </r>
    <r>
      <rPr>
        <sz val="11"/>
        <rFont val="宋体"/>
        <family val="3"/>
        <charset val="134"/>
      </rPr>
      <t>公里范围内有：银行（中国邮政储蓄银行、中国工商银行），购物（环球新意百货、绿韵广场）、医院（延庆妇幼保健医院），学校（延庆区第三中学、首师大附属延庆中学），餐饮等，公共配套设施齐备情况较好。</t>
    </r>
    <phoneticPr fontId="31" type="noConversion"/>
  </si>
  <si>
    <t>区域自然环境：未来科技城滨河公园；人文环境：无展览馆、博物馆等；综合评价环境状况一般。</t>
    <phoneticPr fontId="41" type="noConversion"/>
  </si>
  <si>
    <t>区域自然环境：香水苑公园；人文环境：延庆博物馆；综合评价环境状况较好。</t>
    <phoneticPr fontId="31" type="noConversion"/>
  </si>
  <si>
    <t>双面临街</t>
  </si>
  <si>
    <t>城市次干道——庆隆街</t>
    <phoneticPr fontId="31" type="noConversion"/>
  </si>
  <si>
    <t>城市快速路</t>
    <phoneticPr fontId="31" type="noConversion"/>
  </si>
  <si>
    <t>城市主干道</t>
    <phoneticPr fontId="31" type="noConversion"/>
  </si>
  <si>
    <t>城市次干道</t>
  </si>
  <si>
    <t>城市次干道</t>
    <phoneticPr fontId="31" type="noConversion"/>
  </si>
  <si>
    <t>城市支路</t>
  </si>
  <si>
    <t>城市支路</t>
    <phoneticPr fontId="31" type="noConversion"/>
  </si>
  <si>
    <t>城市支路——沟自头街</t>
    <phoneticPr fontId="25" type="noConversion"/>
  </si>
  <si>
    <t>城市支路——沟自头街</t>
    <phoneticPr fontId="31" type="noConversion"/>
  </si>
  <si>
    <t>周边居住用地比例较大、居住小区规模较大且社区发展完善程度较好，如、南华园三区、府前东街1号院等住宅小区，综合评价居住社区成熟度较好。</t>
    <phoneticPr fontId="31" type="noConversion"/>
  </si>
  <si>
    <r>
      <rPr>
        <sz val="11"/>
        <rFont val="宋体"/>
        <family val="3"/>
        <charset val="134"/>
      </rPr>
      <t>周边道路路网较为密集，公共交通通达情况较好，有</t>
    </r>
    <r>
      <rPr>
        <sz val="11"/>
        <rFont val="Arial"/>
        <family val="2"/>
      </rPr>
      <t>h17</t>
    </r>
    <r>
      <rPr>
        <sz val="11"/>
        <rFont val="宋体"/>
        <family val="3"/>
        <charset val="134"/>
      </rPr>
      <t>、</t>
    </r>
    <r>
      <rPr>
        <sz val="11"/>
        <rFont val="Arial"/>
        <family val="2"/>
      </rPr>
      <t>h55</t>
    </r>
    <r>
      <rPr>
        <sz val="11"/>
        <rFont val="宋体"/>
        <family val="3"/>
        <charset val="134"/>
      </rPr>
      <t>路等、停车便捷程度较好，综合评价交通便捷度较好。</t>
    </r>
    <phoneticPr fontId="31" type="noConversion"/>
  </si>
  <si>
    <t>区域自然环境：唐自口公园；人文环境：红星二锅头博物馆；综合评价环境状况较好。</t>
    <phoneticPr fontId="31" type="noConversion"/>
  </si>
  <si>
    <r>
      <rPr>
        <sz val="11"/>
        <rFont val="宋体"/>
        <family val="3"/>
        <charset val="134"/>
      </rPr>
      <t>所在区域</t>
    </r>
    <r>
      <rPr>
        <sz val="11"/>
        <rFont val="Arial"/>
        <family val="2"/>
      </rPr>
      <t>2</t>
    </r>
    <r>
      <rPr>
        <sz val="11"/>
        <rFont val="宋体"/>
        <family val="3"/>
        <charset val="134"/>
      </rPr>
      <t>公里范围内有：银行（中国农业银行），购物（北京万通众信商贸中心、世纪华联超市）、医院（北京怀柔医院），学校（张各长中学、张各长小学），餐饮等，公共配套设施齐备情况较好。</t>
    </r>
    <phoneticPr fontId="31" type="noConversion"/>
  </si>
  <si>
    <t>城市次干道——永泰街</t>
    <phoneticPr fontId="31" type="noConversion"/>
  </si>
  <si>
    <t>周边居住用地比例大、居住小区规模大且社区发展完善程度较好，如延庆新兴小区、体育场小区、恒安小区等住宅小区，综合评价居住社区成熟度好。</t>
    <phoneticPr fontId="31" type="noConversion"/>
  </si>
  <si>
    <t>周边居住用地比例大、居住小区规模大且社区发展完善程度较好，如首城汇景湾、新农家园、惠民家园等住宅小区，综合评价居住社区成熟度好。</t>
    <phoneticPr fontId="31" type="noConversion"/>
  </si>
  <si>
    <r>
      <rPr>
        <sz val="11"/>
        <rFont val="宋体"/>
        <family val="3"/>
        <charset val="134"/>
      </rPr>
      <t>周边道路路网较为密集，公共交通通达情况较好，有平</t>
    </r>
    <r>
      <rPr>
        <sz val="11"/>
        <rFont val="Arial"/>
        <family val="2"/>
      </rPr>
      <t>13</t>
    </r>
    <r>
      <rPr>
        <sz val="11"/>
        <rFont val="宋体"/>
        <family val="3"/>
        <charset val="134"/>
      </rPr>
      <t>、平</t>
    </r>
    <r>
      <rPr>
        <sz val="11"/>
        <rFont val="Arial"/>
        <family val="2"/>
      </rPr>
      <t>15</t>
    </r>
    <r>
      <rPr>
        <sz val="11"/>
        <rFont val="宋体"/>
        <family val="3"/>
        <charset val="134"/>
      </rPr>
      <t>路等、停车便捷程度较好，综合评价交通便捷度较好。</t>
    </r>
    <phoneticPr fontId="31" type="noConversion"/>
  </si>
  <si>
    <t>区域自然环境：小龙河公园、小梨公园；人文环境：无展览馆、博物馆等；综合评价环境状况较好。</t>
    <phoneticPr fontId="31" type="noConversion"/>
  </si>
  <si>
    <r>
      <rPr>
        <sz val="11"/>
        <rFont val="宋体"/>
        <family val="3"/>
        <charset val="134"/>
      </rPr>
      <t>所在区域</t>
    </r>
    <r>
      <rPr>
        <sz val="11"/>
        <rFont val="Arial"/>
        <family val="2"/>
      </rPr>
      <t>2</t>
    </r>
    <r>
      <rPr>
        <sz val="11"/>
        <rFont val="宋体"/>
        <family val="3"/>
        <charset val="134"/>
      </rPr>
      <t>公里范围内有：银行（中国邮政储蓄银行），购物（鑫盛百货）、医院（马坊镇社区卫生服务中心），学校（师大附中平谷分校、东交民巷小学马坊分校），餐饮等，公共配套设施齐备情况好。</t>
    </r>
    <phoneticPr fontId="31" type="noConversion"/>
  </si>
  <si>
    <t>城市支路——东交路</t>
    <phoneticPr fontId="31" type="noConversion"/>
  </si>
  <si>
    <t>成本比率</t>
  </si>
  <si>
    <r>
      <rPr>
        <sz val="12"/>
        <color theme="9" tint="-0.249977111117893"/>
        <rFont val="宋体"/>
        <family val="3"/>
        <charset val="134"/>
      </rPr>
      <t>昌平区北七家镇</t>
    </r>
    <r>
      <rPr>
        <sz val="12"/>
        <color theme="9" tint="-0.249977111117893"/>
        <rFont val="Arial"/>
        <family val="2"/>
      </rPr>
      <t>GZT-05-2</t>
    </r>
    <r>
      <rPr>
        <sz val="12"/>
        <color theme="9" tint="-0.249977111117893"/>
        <rFont val="宋体"/>
        <family val="3"/>
        <charset val="134"/>
      </rPr>
      <t>地块</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</si>
</sst>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0" borderId="0" xfId="0" applyAlignment="1">
      <alignment horizontal="left"/>
    </xf>
    <xf numFmtId="0" fontId="0" fillId="0" borderId="0" xfId="0" applyAlignment="1">
      <alignment horizontal="center"/>
    </xf>
    <xf numFmtId="0" fontId="0" fillId="17" borderId="0" xfId="0" applyFill="1" applyAlignment="1">
      <alignment horizontal="left"/>
    </xf>
    <xf numFmtId="0" fontId="0" fillId="0" borderId="1"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100" fillId="0" borderId="13" xfId="0" applyFont="1" applyBorder="1" applyAlignment="1">
      <alignment horizontal="center"/>
    </xf>
    <xf numFmtId="0" fontId="100" fillId="0" borderId="1" xfId="0" applyFont="1" applyBorder="1" applyAlignment="1">
      <alignment horizontal="center"/>
    </xf>
    <xf numFmtId="0" fontId="100" fillId="5" borderId="1" xfId="0" applyFont="1" applyFill="1" applyBorder="1" applyAlignment="1">
      <alignment horizontal="center"/>
    </xf>
    <xf numFmtId="0" fontId="0" fillId="0" borderId="0" xfId="0" applyFill="1" applyBorder="1" applyAlignment="1">
      <alignment horizontal="center"/>
    </xf>
    <xf numFmtId="0" fontId="100" fillId="0" borderId="0" xfId="0" applyFont="1" applyFill="1" applyBorder="1" applyAlignment="1">
      <alignment horizontal="center"/>
    </xf>
    <xf numFmtId="0" fontId="0" fillId="17" borderId="0" xfId="0" applyFill="1" applyAlignment="1">
      <alignment horizontal="center"/>
    </xf>
    <xf numFmtId="0" fontId="0" fillId="0" borderId="1" xfId="0" applyFill="1" applyBorder="1" applyAlignment="1">
      <alignment horizontal="center"/>
    </xf>
    <xf numFmtId="0" fontId="0" fillId="0" borderId="1" xfId="0" applyBorder="1" applyAlignment="1"/>
    <xf numFmtId="0" fontId="100" fillId="0" borderId="0" xfId="0" applyFont="1" applyBorder="1" applyAlignment="1">
      <alignment horizontal="center"/>
    </xf>
    <xf numFmtId="0" fontId="99" fillId="0" borderId="1" xfId="0" applyFont="1" applyBorder="1" applyAlignment="1">
      <alignment horizontal="center"/>
    </xf>
    <xf numFmtId="0" fontId="99" fillId="0" borderId="0" xfId="0" applyFont="1" applyBorder="1" applyAlignment="1">
      <alignment horizontal="center"/>
    </xf>
    <xf numFmtId="0" fontId="100" fillId="0" borderId="0" xfId="0" applyFont="1" applyAlignment="1">
      <alignment horizont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99" fillId="0" borderId="0" xfId="0" applyFont="1" applyAlignment="1">
      <alignment horizontal="center"/>
    </xf>
    <xf numFmtId="0" fontId="100" fillId="5" borderId="0" xfId="0" applyFont="1" applyFill="1" applyBorder="1" applyAlignment="1">
      <alignment horizontal="center"/>
    </xf>
    <xf numFmtId="0" fontId="241" fillId="0" borderId="24" xfId="0" applyFont="1" applyFill="1" applyBorder="1" applyAlignment="1" applyProtection="1">
      <alignment horizontal="left" vertical="center" wrapText="1"/>
      <protection locked="0"/>
    </xf>
    <xf numFmtId="0" fontId="190" fillId="0" borderId="2" xfId="0" applyFont="1" applyBorder="1" applyAlignment="1" applyProtection="1">
      <alignment horizontal="left" vertical="center" wrapText="1"/>
      <protection locked="0"/>
    </xf>
    <xf numFmtId="0" fontId="99" fillId="0" borderId="0" xfId="0" applyFont="1" applyAlignment="1">
      <alignment horizontal="left"/>
    </xf>
    <xf numFmtId="0" fontId="50"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9" fontId="50" fillId="9" borderId="5" xfId="0" applyNumberFormat="1" applyFont="1" applyFill="1" applyBorder="1" applyAlignment="1" applyProtection="1">
      <alignment horizontal="center" vertical="center"/>
      <protection locked="0"/>
    </xf>
    <xf numFmtId="0" fontId="225" fillId="0" borderId="49" xfId="0" applyFont="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0" fillId="5" borderId="0" xfId="0" applyFill="1" applyAlignment="1"/>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0"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1" xfId="0" applyBorder="1" applyAlignment="1">
      <alignment horizontal="center"/>
    </xf>
    <xf numFmtId="0" fontId="100" fillId="0" borderId="1" xfId="0" applyFont="1" applyBorder="1" applyAlignment="1">
      <alignment horizontal="center"/>
    </xf>
    <xf numFmtId="0" fontId="100" fillId="0" borderId="36" xfId="0" applyFont="1" applyBorder="1" applyAlignment="1">
      <alignment horizontal="center"/>
    </xf>
    <xf numFmtId="0" fontId="0" fillId="0" borderId="46" xfId="0" applyBorder="1" applyAlignment="1">
      <alignment horizontal="center" vertical="center"/>
    </xf>
    <xf numFmtId="0" fontId="0" fillId="0" borderId="22"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1" xfId="0" applyBorder="1" applyAlignment="1">
      <alignment horizontal="center" vertical="center"/>
    </xf>
    <xf numFmtId="0" fontId="0" fillId="0" borderId="36" xfId="0" applyBorder="1" applyAlignment="1">
      <alignment horizontal="center"/>
    </xf>
    <xf numFmtId="0" fontId="0" fillId="0" borderId="22" xfId="0" applyBorder="1" applyAlignment="1">
      <alignment horizontal="center"/>
    </xf>
    <xf numFmtId="0" fontId="0" fillId="0" borderId="5" xfId="0" applyBorder="1" applyAlignment="1">
      <alignment horizontal="center"/>
    </xf>
    <xf numFmtId="0" fontId="0" fillId="0" borderId="3" xfId="0" applyBorder="1" applyAlignment="1">
      <alignment horizontal="center"/>
    </xf>
    <xf numFmtId="0" fontId="0" fillId="5" borderId="5" xfId="0" applyFill="1" applyBorder="1" applyAlignment="1">
      <alignment horizontal="center"/>
    </xf>
    <xf numFmtId="0" fontId="0" fillId="5" borderId="3" xfId="0"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152400</xdr:rowOff>
    </xdr:from>
    <xdr:to>
      <xdr:col>6</xdr:col>
      <xdr:colOff>81754</xdr:colOff>
      <xdr:row>48</xdr:row>
      <xdr:rowOff>123825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81400"/>
          <a:ext cx="7501729" cy="477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48</xdr:row>
      <xdr:rowOff>161926</xdr:rowOff>
    </xdr:from>
    <xdr:to>
      <xdr:col>6</xdr:col>
      <xdr:colOff>104775</xdr:colOff>
      <xdr:row>76</xdr:row>
      <xdr:rowOff>141365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8391526"/>
          <a:ext cx="7524749" cy="4780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77</xdr:row>
      <xdr:rowOff>19050</xdr:rowOff>
    </xdr:from>
    <xdr:to>
      <xdr:col>6</xdr:col>
      <xdr:colOff>152400</xdr:colOff>
      <xdr:row>105</xdr:row>
      <xdr:rowOff>30550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3220700"/>
          <a:ext cx="7572374" cy="481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152400</xdr:colOff>
      <xdr:row>21</xdr:row>
      <xdr:rowOff>47625</xdr:rowOff>
    </xdr:from>
    <xdr:to>
      <xdr:col>12</xdr:col>
      <xdr:colOff>2724150</xdr:colOff>
      <xdr:row>50</xdr:row>
      <xdr:rowOff>19050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72375" y="3648075"/>
          <a:ext cx="7324725"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5187;&#20943;&#23436;&#24050;&#21806;/&#21830;&#21697;&#25151;&#12289;&#38480;&#20215;&#25151;&#31614;&#32422;&#26126;&#32454;-&#25130;&#33267;20171231-&#22320;&#19978;&#22320;&#19979;&#25286;&#20998;&#292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96;&#21306;&#21830;&#21697;&#25151;&#65288;&#22303;&#22320;&#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96;&#21306;&#21830;&#21153;&#37329;&#34701;&#65288;&#22303;&#22320;&#12289;&#26080;&#35268;&#35777;&#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19996;&#21306;/&#21271;&#19971;&#23478;&#8212;&#8212;&#19996;&#21306;&#21830;&#21697;&#25151;&#65288;&#22303;&#2232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品房"/>
      <sheetName val="东地块-限价房"/>
      <sheetName val="西地块-限价房"/>
    </sheetNames>
    <sheetDataSet>
      <sheetData sheetId="0">
        <row r="18">
          <cell r="J18">
            <v>780.15</v>
          </cell>
        </row>
      </sheetData>
      <sheetData sheetId="1">
        <row r="1003">
          <cell r="J1003">
            <v>15324.859999999982</v>
          </cell>
        </row>
        <row r="1004">
          <cell r="J1004">
            <v>24730.080000000045</v>
          </cell>
        </row>
        <row r="1005">
          <cell r="J1005">
            <v>23231.66</v>
          </cell>
        </row>
        <row r="1006">
          <cell r="J1006">
            <v>13025.340000000002</v>
          </cell>
        </row>
      </sheetData>
      <sheetData sheetId="2">
        <row r="797">
          <cell r="J797">
            <v>28426.300000000047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基准地价修正"/>
      <sheetName val="地价"/>
      <sheetName val="假设开发法"/>
      <sheetName val="比较法-住宅"/>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修正"/>
      <sheetName val="容积率修正"/>
      <sheetName val="基准地价（汇总）"/>
      <sheetName val="收益法（车库）"/>
      <sheetName val="典型户型修正"/>
      <sheetName val="成本法（废）"/>
      <sheetName val="区片价"/>
      <sheetName val="因素修正幅度"/>
      <sheetName val="存贷款利率"/>
      <sheetName val="区片价（范围）"/>
      <sheetName val="收益法（仓储）"/>
      <sheetName val="规证清单"/>
      <sheetName val="住宅、仓储、车库案例"/>
      <sheetName val="土地案例及位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71225.760000000009</v>
          </cell>
          <cell r="C14">
            <v>19187.05</v>
          </cell>
          <cell r="D14">
            <v>146877</v>
          </cell>
          <cell r="G14">
            <v>146877</v>
          </cell>
        </row>
      </sheetData>
      <sheetData sheetId="17">
        <row r="19">
          <cell r="G19">
            <v>146877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地价"/>
      <sheetName val="假设开发法"/>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典型户型修正"/>
      <sheetName val="成本法（废）"/>
      <sheetName val="区片价"/>
      <sheetName val="因素修正幅度"/>
      <sheetName val="存贷款利率"/>
      <sheetName val="区片价（范围）"/>
      <sheetName val="收益法办公"/>
      <sheetName val="土地案例及位置"/>
      <sheetName val="Sheet3"/>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24351</v>
          </cell>
          <cell r="C14">
            <v>9740.4</v>
          </cell>
          <cell r="D14">
            <v>38118</v>
          </cell>
          <cell r="G14">
            <v>38118</v>
          </cell>
        </row>
      </sheetData>
      <sheetData sheetId="17">
        <row r="19">
          <cell r="G19">
            <v>38118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地价"/>
      <sheetName val="土地比较法-住宅、综合"/>
      <sheetName val="假设开发法"/>
      <sheetName val="比较法-住宅"/>
      <sheetName val="收益法（仓储）"/>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修正"/>
      <sheetName val="容积率修正"/>
      <sheetName val="基准地价（汇总）"/>
      <sheetName val="收益法（车库）"/>
      <sheetName val="典型户型修正"/>
      <sheetName val="成本法（废）"/>
      <sheetName val="区片价"/>
      <sheetName val="因素修正幅度"/>
      <sheetName val="存贷款利率"/>
      <sheetName val="区片价（范围）"/>
      <sheetName val="规证清单"/>
      <sheetName val="住宅案例位置"/>
      <sheetName val="土地案例及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5">
          <cell r="D15">
            <v>67.97</v>
          </cell>
        </row>
      </sheetData>
      <sheetData sheetId="11" refreshError="1"/>
      <sheetData sheetId="12" refreshError="1"/>
      <sheetData sheetId="13">
        <row r="4">
          <cell r="I4">
            <v>2.2000000000000002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北京市昌平区北七家镇GZT-05-2地块出让国有建设用地使用权及在建建筑物房地产抵押价值预评估</v>
      </c>
    </row>
    <row r="3" spans="1:2" s="1593" customFormat="1">
      <c r="A3" s="1591" t="s">
        <v>1221</v>
      </c>
      <c r="B3" s="1592" t="str">
        <f>'预评函-封皮'!B40</f>
        <v>国瑞兴业（北京）投资有限公司</v>
      </c>
    </row>
    <row r="4" spans="1:2" s="1593" customFormat="1">
      <c r="A4" s="1591" t="s">
        <v>1222</v>
      </c>
      <c r="B4" s="1592" t="str">
        <f ca="1">'预评函-封皮'!B46</f>
        <v>刘梅（注册号：1120140022)、吴薇（注册号：1419970001)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受贵公司委托，我公司对北京市昌平区北七家镇GZT-05-2地块出让国有建设用地使用权及在建建筑物房地产抵押价值进行了预评估。</v>
      </c>
    </row>
    <row r="7" spans="1:2" s="1593" customFormat="1">
      <c r="A7" s="1591" t="s">
        <v>1264</v>
      </c>
      <c r="B7" s="1592" t="str">
        <f>'预评函-1'!A7</f>
        <v>估价对象为北京市昌平区北七家镇GZT-05-2地块出让国有建设用地使用权及在建建筑物房地产，为国瑞兴业（北京）投资有限公司所有。根据《不动产权证书》[京（2017）昌不动产权第0000033号]，估价对象（分摊）出让国有建设用地使用权面积为22955.7平方米，建筑面积为85215.68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昌平区北七家镇GZT-05-2地块出让国有建设用地使用权及在建建筑物房地产,属国瑞兴业（北京）投资有限公司开发建设的居住项目，该项目尚在开发建设中。根据《不动产权证书》[京（2017）昌不动产权第0000033号]，估价对象（分摊）出让国有建设用地使用权面积为22955.7平方米，规划建筑面积为85215.68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为估价委托人在向民生信托办理贷款手续过程中，确定房地产抵押贷款额度提供参考依据而评估房地产抵押价值。</v>
      </c>
    </row>
    <row r="12" spans="1:2" s="1593" customFormat="1">
      <c r="A12" s="1591" t="s">
        <v>1226</v>
      </c>
      <c r="B12" s="1592" t="str">
        <f>'预评函-1'!A15</f>
        <v>2018年1月11日（评估专业人员实地查勘之日）</v>
      </c>
    </row>
    <row r="13" spans="1:2" s="1593" customFormat="1">
      <c r="A13" s="1591" t="s">
        <v>1227</v>
      </c>
      <c r="B13" s="1592" t="str">
        <f>'预评函-1'!A18</f>
        <v>本次估价的“房地产价值”是指在正常市场情况下，在价值时点2018年1月11日，估价对象规划用途为住宅、地下仓储、地下车库，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住宅、地下仓储、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66986</v>
      </c>
    </row>
    <row r="21" spans="1:2" s="1593" customFormat="1">
      <c r="A21" s="1591" t="s">
        <v>1235</v>
      </c>
      <c r="B21" s="1592">
        <f ca="1">'预评函-2'!D7</f>
        <v>7861</v>
      </c>
    </row>
    <row r="22" spans="1:2" s="1593" customFormat="1">
      <c r="A22" s="1591" t="s">
        <v>1236</v>
      </c>
      <c r="B22" s="1592" t="str">
        <f ca="1">'预评函-2'!D6</f>
        <v>陆亿陆仟玖佰捌拾陆万元整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66986</v>
      </c>
    </row>
    <row r="31" spans="1:2" s="1593" customFormat="1">
      <c r="A31" s="1591" t="s">
        <v>1274</v>
      </c>
      <c r="B31" s="1592">
        <f ca="1">'预评函-2'!D15</f>
        <v>7861</v>
      </c>
    </row>
    <row r="32" spans="1:2" s="1593" customFormat="1">
      <c r="A32" s="1591" t="s">
        <v>1241</v>
      </c>
      <c r="B32" s="1592" t="str">
        <f ca="1">'预评函-2'!D14</f>
        <v>陆亿陆仟玖佰捌拾陆万元整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北京市昌平区北七家镇GZT-05-2地块出让国有建设用地使用权及在建建筑物房地产</v>
      </c>
    </row>
    <row r="42" spans="1:2" s="1593" customFormat="1">
      <c r="A42" s="1591" t="s">
        <v>1288</v>
      </c>
      <c r="B42" s="1592" t="str">
        <f>'预评函-3'!B2</f>
        <v>建筑面积</v>
      </c>
    </row>
    <row r="43" spans="1:2" s="1593" customFormat="1">
      <c r="A43" s="1591" t="s">
        <v>1289</v>
      </c>
      <c r="B43" s="1592">
        <f>'预评函-3'!B4</f>
        <v>85215.679999999964</v>
      </c>
    </row>
    <row r="44" spans="1:2" s="1593" customFormat="1">
      <c r="A44" s="1591" t="s">
        <v>1273</v>
      </c>
      <c r="B44" s="1592" t="str">
        <f>'预评函-3'!C2</f>
        <v>(分摊)土地面积</v>
      </c>
    </row>
    <row r="45" spans="1:2" s="1593" customFormat="1">
      <c r="A45" s="1591" t="s">
        <v>1245</v>
      </c>
      <c r="B45" s="1592">
        <f>'预评函-3'!C4</f>
        <v>22955.7</v>
      </c>
    </row>
    <row r="46" spans="1:2" s="1593" customFormat="1">
      <c r="A46" s="1591" t="s">
        <v>1271</v>
      </c>
      <c r="B46" s="1592" t="str">
        <f>'预评函-3'!D2</f>
        <v>出让国有建设用地使用权价值</v>
      </c>
    </row>
    <row r="47" spans="1:2" s="1593" customFormat="1">
      <c r="A47" s="1591" t="s">
        <v>1246</v>
      </c>
      <c r="B47" s="1592">
        <f ca="1">'预评函-3'!D4</f>
        <v>46689</v>
      </c>
    </row>
    <row r="48" spans="1:2" s="1593" customFormat="1">
      <c r="A48" s="1591" t="s">
        <v>1247</v>
      </c>
      <c r="B48" s="1592">
        <f ca="1">'预评函-3'!E4</f>
        <v>5479</v>
      </c>
    </row>
    <row r="49" spans="1:2" s="1593" customFormat="1">
      <c r="A49" s="1591" t="s">
        <v>1248</v>
      </c>
      <c r="B49" s="1592" t="str">
        <f ca="1">'预评函-3'!D5</f>
        <v>肆亿陆仟陆佰捌拾玖万元整</v>
      </c>
    </row>
    <row r="50" spans="1:2" s="1593" customFormat="1">
      <c r="A50" s="1591" t="s">
        <v>1272</v>
      </c>
      <c r="B50" s="1592" t="str">
        <f>'预评函-3'!F2</f>
        <v>在建建筑物价值</v>
      </c>
    </row>
    <row r="51" spans="1:2" s="1593" customFormat="1">
      <c r="A51" s="1591" t="s">
        <v>1249</v>
      </c>
      <c r="B51" s="1592">
        <f ca="1">'预评函-3'!F4</f>
        <v>20297</v>
      </c>
    </row>
    <row r="52" spans="1:2" s="1593" customFormat="1">
      <c r="A52" s="1591" t="s">
        <v>1250</v>
      </c>
      <c r="B52" s="1592">
        <f ca="1">'预评函-3'!G4</f>
        <v>2382</v>
      </c>
    </row>
    <row r="53" spans="1:2" s="1593" customFormat="1">
      <c r="A53" s="1591" t="s">
        <v>1278</v>
      </c>
      <c r="B53" s="1592" t="str">
        <f ca="1">'预评函-3'!F5</f>
        <v>贰亿零贰佰玖拾柒万元整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（1）根据估价对象《不动产权证书》原件、，截至价值时点，估价对象已设定抵押。上述抵押权设定日期为2017年7月5日，权利人为渤海银行股份有限公司北京分行，权利范围为，权利价值为。</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刘梅</v>
      </c>
    </row>
    <row r="71" spans="1:2">
      <c r="A71" s="1591" t="s">
        <v>1261</v>
      </c>
      <c r="B71" s="1592">
        <f ca="1">'预评函-4'!B4</f>
        <v>1120140022</v>
      </c>
    </row>
    <row r="72" spans="1:2">
      <c r="A72" s="1591" t="s">
        <v>1262</v>
      </c>
      <c r="B72" s="1600" t="str">
        <f>'预评函-4'!A5</f>
        <v>吴薇</v>
      </c>
    </row>
    <row r="73" spans="1:2" s="1587" customFormat="1" ht="15" thickBot="1">
      <c r="A73" s="1594" t="s">
        <v>1263</v>
      </c>
      <c r="B73" s="1595">
        <f ca="1">'预评函-4'!B5</f>
        <v>1419970001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20" sqref="AB20"/>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1691</v>
      </c>
      <c r="C1" s="2009" t="s">
        <v>759</v>
      </c>
      <c r="D1" s="2010" t="s">
        <v>1692</v>
      </c>
      <c r="E1" s="2010" t="s">
        <v>1693</v>
      </c>
      <c r="F1" s="2010" t="s">
        <v>1694</v>
      </c>
      <c r="G1" s="2010" t="s">
        <v>1695</v>
      </c>
      <c r="H1" s="2010" t="s">
        <v>1696</v>
      </c>
      <c r="I1" s="2010" t="s">
        <v>1697</v>
      </c>
      <c r="J1" s="2010" t="s">
        <v>1698</v>
      </c>
      <c r="K1" s="2010" t="s">
        <v>1699</v>
      </c>
      <c r="L1" s="2010" t="s">
        <v>1700</v>
      </c>
      <c r="M1" s="2010" t="s">
        <v>1701</v>
      </c>
      <c r="N1" s="2010" t="s">
        <v>1702</v>
      </c>
      <c r="O1" s="2010" t="s">
        <v>1703</v>
      </c>
      <c r="P1" s="2011" t="s">
        <v>753</v>
      </c>
      <c r="Q1" s="2011" t="s">
        <v>1144</v>
      </c>
      <c r="R1" s="2010" t="s">
        <v>1138</v>
      </c>
      <c r="S1" s="2010" t="s">
        <v>1704</v>
      </c>
      <c r="T1" s="2012" t="s">
        <v>1705</v>
      </c>
      <c r="U1" s="2010" t="s">
        <v>1706</v>
      </c>
      <c r="V1" s="2010" t="s">
        <v>1707</v>
      </c>
      <c r="W1" s="2010" t="s">
        <v>755</v>
      </c>
    </row>
    <row r="2" spans="1:23">
      <c r="A2" s="2014" t="s">
        <v>22</v>
      </c>
      <c r="B2" s="2014" t="s">
        <v>1708</v>
      </c>
      <c r="C2" s="2015" t="s">
        <v>760</v>
      </c>
      <c r="D2" s="2016" t="s">
        <v>1709</v>
      </c>
      <c r="E2" s="2016" t="s">
        <v>1710</v>
      </c>
      <c r="F2" s="2016" t="s">
        <v>1711</v>
      </c>
      <c r="G2" s="2016">
        <v>40</v>
      </c>
      <c r="H2" s="2016" t="s">
        <v>1711</v>
      </c>
      <c r="I2" s="2016" t="s">
        <v>1712</v>
      </c>
      <c r="J2" s="2016" t="s">
        <v>1713</v>
      </c>
      <c r="K2" s="2016" t="s">
        <v>1714</v>
      </c>
      <c r="L2" s="2016" t="s">
        <v>1714</v>
      </c>
      <c r="M2" s="2016" t="s">
        <v>1714</v>
      </c>
      <c r="N2" s="2016" t="s">
        <v>1714</v>
      </c>
      <c r="O2" s="2016" t="s">
        <v>1714</v>
      </c>
      <c r="P2" s="2016" t="s">
        <v>1714</v>
      </c>
      <c r="Q2" s="2016" t="s">
        <v>1714</v>
      </c>
      <c r="R2" s="2016" t="s">
        <v>1140</v>
      </c>
      <c r="S2" s="2016" t="s">
        <v>1714</v>
      </c>
      <c r="T2" s="2016" t="s">
        <v>1715</v>
      </c>
      <c r="U2" s="2016" t="s">
        <v>1714</v>
      </c>
      <c r="V2" s="2016" t="s">
        <v>1716</v>
      </c>
      <c r="W2" s="2016" t="s">
        <v>1714</v>
      </c>
    </row>
    <row r="3" spans="1:23">
      <c r="A3" s="2014" t="s">
        <v>1717</v>
      </c>
      <c r="B3" s="2017" t="s">
        <v>1145</v>
      </c>
      <c r="C3" s="2018" t="s">
        <v>761</v>
      </c>
      <c r="D3" s="2016" t="s">
        <v>1718</v>
      </c>
      <c r="E3" s="2016" t="s">
        <v>16</v>
      </c>
      <c r="F3" s="2016" t="s">
        <v>1719</v>
      </c>
      <c r="G3" s="2016">
        <v>50</v>
      </c>
      <c r="H3" s="2016" t="s">
        <v>1719</v>
      </c>
      <c r="I3" s="2016" t="s">
        <v>1720</v>
      </c>
      <c r="J3" s="2016" t="s">
        <v>1721</v>
      </c>
      <c r="K3" s="2016" t="s">
        <v>1722</v>
      </c>
      <c r="L3" s="2016" t="s">
        <v>1722</v>
      </c>
      <c r="M3" s="2016" t="s">
        <v>1722</v>
      </c>
      <c r="N3" s="2016" t="s">
        <v>1722</v>
      </c>
      <c r="O3" s="2016" t="s">
        <v>1722</v>
      </c>
      <c r="P3" s="2016" t="s">
        <v>1722</v>
      </c>
      <c r="Q3" s="2016" t="s">
        <v>1722</v>
      </c>
      <c r="R3" s="2016" t="s">
        <v>1139</v>
      </c>
      <c r="S3" s="2016" t="s">
        <v>1722</v>
      </c>
      <c r="T3" s="2016" t="s">
        <v>1723</v>
      </c>
      <c r="U3" s="2016" t="s">
        <v>1722</v>
      </c>
      <c r="V3" s="2016" t="s">
        <v>1724</v>
      </c>
      <c r="W3" s="2016" t="s">
        <v>1722</v>
      </c>
    </row>
    <row r="4" spans="1:23">
      <c r="A4" s="2014" t="s">
        <v>1725</v>
      </c>
      <c r="B4" s="2014" t="s">
        <v>1726</v>
      </c>
      <c r="C4" s="2015" t="s">
        <v>762</v>
      </c>
      <c r="D4" s="2016" t="s">
        <v>868</v>
      </c>
      <c r="E4" s="2016" t="s">
        <v>1727</v>
      </c>
      <c r="F4" s="2016" t="s">
        <v>1728</v>
      </c>
      <c r="G4" s="2016">
        <v>70</v>
      </c>
      <c r="H4" s="2016" t="s">
        <v>1728</v>
      </c>
      <c r="I4" s="2016" t="s">
        <v>1729</v>
      </c>
      <c r="K4" s="2016" t="s">
        <v>1730</v>
      </c>
      <c r="L4" s="2016" t="s">
        <v>1730</v>
      </c>
      <c r="M4" s="2016" t="s">
        <v>1730</v>
      </c>
      <c r="N4" s="2016" t="s">
        <v>1730</v>
      </c>
      <c r="O4" s="2016" t="s">
        <v>1730</v>
      </c>
      <c r="P4" s="2016" t="s">
        <v>1730</v>
      </c>
      <c r="Q4" s="2016" t="s">
        <v>1730</v>
      </c>
      <c r="R4" s="2016" t="s">
        <v>1141</v>
      </c>
      <c r="S4" s="2016" t="s">
        <v>1730</v>
      </c>
      <c r="T4" s="2016" t="s">
        <v>1731</v>
      </c>
      <c r="U4" s="2016" t="s">
        <v>1730</v>
      </c>
      <c r="W4" s="2016" t="s">
        <v>1730</v>
      </c>
    </row>
    <row r="5" spans="1:23">
      <c r="A5" s="2014" t="s">
        <v>1732</v>
      </c>
      <c r="B5" s="2014" t="s">
        <v>1733</v>
      </c>
      <c r="C5" s="2015" t="s">
        <v>763</v>
      </c>
      <c r="F5" s="2016" t="s">
        <v>1734</v>
      </c>
      <c r="H5" s="2016" t="s">
        <v>1735</v>
      </c>
      <c r="I5" s="2016" t="s">
        <v>1736</v>
      </c>
      <c r="K5" s="2016" t="s">
        <v>1737</v>
      </c>
      <c r="L5" s="2016" t="s">
        <v>1737</v>
      </c>
      <c r="M5" s="2016" t="s">
        <v>1737</v>
      </c>
      <c r="N5" s="2016" t="s">
        <v>1737</v>
      </c>
      <c r="O5" s="2016" t="s">
        <v>1737</v>
      </c>
      <c r="P5" s="2016" t="s">
        <v>1737</v>
      </c>
      <c r="Q5" s="2016" t="s">
        <v>1737</v>
      </c>
      <c r="R5" s="2016" t="s">
        <v>1142</v>
      </c>
      <c r="S5" s="2016" t="s">
        <v>1737</v>
      </c>
      <c r="T5" s="2016" t="s">
        <v>1738</v>
      </c>
      <c r="U5" s="2016" t="s">
        <v>1737</v>
      </c>
      <c r="W5" s="2016" t="s">
        <v>1737</v>
      </c>
    </row>
    <row r="6" spans="1:23">
      <c r="A6" s="2014" t="s">
        <v>1739</v>
      </c>
      <c r="B6" s="2017" t="s">
        <v>1146</v>
      </c>
      <c r="C6" s="2020" t="s">
        <v>30</v>
      </c>
      <c r="F6" s="2016" t="s">
        <v>1735</v>
      </c>
      <c r="H6" s="2016" t="s">
        <v>1740</v>
      </c>
      <c r="I6" s="2016" t="s">
        <v>1741</v>
      </c>
      <c r="K6" s="2016" t="s">
        <v>1742</v>
      </c>
      <c r="L6" s="2016" t="s">
        <v>1742</v>
      </c>
      <c r="M6" s="2016" t="s">
        <v>1742</v>
      </c>
      <c r="N6" s="2016" t="s">
        <v>1742</v>
      </c>
      <c r="O6" s="2016" t="s">
        <v>1742</v>
      </c>
      <c r="P6" s="2016" t="s">
        <v>1742</v>
      </c>
      <c r="Q6" s="2016" t="s">
        <v>1742</v>
      </c>
      <c r="R6" s="2016" t="s">
        <v>1143</v>
      </c>
      <c r="S6" s="2016" t="s">
        <v>1742</v>
      </c>
      <c r="T6" s="2016"/>
      <c r="U6" s="2016" t="s">
        <v>1742</v>
      </c>
      <c r="W6" s="2016" t="s">
        <v>1742</v>
      </c>
    </row>
    <row r="7" spans="1:23">
      <c r="A7" s="2014" t="s">
        <v>1743</v>
      </c>
      <c r="B7" s="2017" t="s">
        <v>1147</v>
      </c>
      <c r="C7" s="2015" t="s">
        <v>31</v>
      </c>
      <c r="F7" s="2016" t="s">
        <v>1744</v>
      </c>
      <c r="H7" s="2016" t="s">
        <v>1745</v>
      </c>
      <c r="I7" s="2016" t="s">
        <v>1746</v>
      </c>
    </row>
    <row r="8" spans="1:23">
      <c r="A8" s="2014" t="s">
        <v>1747</v>
      </c>
      <c r="B8" s="2014" t="s">
        <v>1748</v>
      </c>
      <c r="C8" s="2015" t="s">
        <v>764</v>
      </c>
      <c r="F8" s="2016" t="s">
        <v>1749</v>
      </c>
      <c r="H8" s="2016"/>
      <c r="I8" s="2016" t="s">
        <v>1750</v>
      </c>
    </row>
    <row r="9" spans="1:23">
      <c r="A9" s="2014" t="s">
        <v>1751</v>
      </c>
      <c r="B9" s="2014" t="s">
        <v>1752</v>
      </c>
      <c r="C9" s="2015" t="s">
        <v>765</v>
      </c>
      <c r="F9" s="2016" t="s">
        <v>1753</v>
      </c>
      <c r="H9" s="2016"/>
    </row>
    <row r="10" spans="1:23">
      <c r="A10" s="2014" t="s">
        <v>1754</v>
      </c>
      <c r="B10" s="2014" t="s">
        <v>1755</v>
      </c>
      <c r="C10" s="2015" t="s">
        <v>766</v>
      </c>
      <c r="F10" s="2016" t="s">
        <v>16</v>
      </c>
    </row>
    <row r="11" spans="1:23">
      <c r="A11" s="2014" t="s">
        <v>1756</v>
      </c>
      <c r="B11" s="2014" t="s">
        <v>1757</v>
      </c>
      <c r="C11" s="2015" t="s">
        <v>767</v>
      </c>
    </row>
    <row r="12" spans="1:23">
      <c r="A12" s="2014" t="s">
        <v>1758</v>
      </c>
      <c r="B12" s="2014" t="s">
        <v>1759</v>
      </c>
      <c r="C12" s="2015" t="s">
        <v>768</v>
      </c>
    </row>
    <row r="13" spans="1:23">
      <c r="A13" s="2014" t="s">
        <v>1760</v>
      </c>
      <c r="B13" s="2014" t="s">
        <v>1761</v>
      </c>
      <c r="C13" s="2015" t="s">
        <v>769</v>
      </c>
    </row>
    <row r="14" spans="1:23">
      <c r="A14" s="2014" t="s">
        <v>1762</v>
      </c>
      <c r="B14" s="2014" t="s">
        <v>1763</v>
      </c>
      <c r="C14" s="2016" t="s">
        <v>16</v>
      </c>
    </row>
    <row r="15" spans="1:23">
      <c r="A15" s="2014" t="s">
        <v>1764</v>
      </c>
      <c r="B15" s="2014" t="s">
        <v>1765</v>
      </c>
      <c r="C15" s="2015"/>
    </row>
    <row r="16" spans="1:23">
      <c r="A16" s="2014" t="s">
        <v>1766</v>
      </c>
      <c r="B16" s="2014" t="s">
        <v>756</v>
      </c>
      <c r="C16" s="2015"/>
    </row>
    <row r="17" spans="1:3">
      <c r="A17" s="2014" t="s">
        <v>1767</v>
      </c>
      <c r="B17" s="2014" t="s">
        <v>3147</v>
      </c>
      <c r="C17" s="2015"/>
    </row>
    <row r="18" spans="1:3">
      <c r="A18" s="2014" t="s">
        <v>1768</v>
      </c>
      <c r="B18" s="2014" t="s">
        <v>3148</v>
      </c>
      <c r="C18" s="2015"/>
    </row>
    <row r="19" spans="1:3">
      <c r="A19" s="2014" t="s">
        <v>1769</v>
      </c>
      <c r="B19" s="2014" t="s">
        <v>757</v>
      </c>
      <c r="C19" s="2015"/>
    </row>
    <row r="20" spans="1:3">
      <c r="A20" s="2014" t="s">
        <v>1770</v>
      </c>
      <c r="B20" s="2014" t="s">
        <v>757</v>
      </c>
      <c r="C20" s="2015"/>
    </row>
    <row r="21" spans="1:3">
      <c r="A21" s="2014" t="s">
        <v>1771</v>
      </c>
      <c r="B21" s="2014" t="s">
        <v>757</v>
      </c>
      <c r="C21" s="2015"/>
    </row>
    <row r="22" spans="1:3">
      <c r="A22" s="2014" t="s">
        <v>1772</v>
      </c>
      <c r="B22" s="2014" t="s">
        <v>757</v>
      </c>
      <c r="C22" s="2015"/>
    </row>
    <row r="23" spans="1:3">
      <c r="A23" s="2014" t="s">
        <v>1773</v>
      </c>
      <c r="B23" s="2014" t="s">
        <v>757</v>
      </c>
      <c r="C23" s="2015"/>
    </row>
    <row r="24" spans="1:3">
      <c r="A24" s="2014" t="s">
        <v>1774</v>
      </c>
      <c r="B24" s="2014" t="s">
        <v>757</v>
      </c>
      <c r="C24" s="2015"/>
    </row>
    <row r="25" spans="1:3">
      <c r="A25" s="2014" t="s">
        <v>1775</v>
      </c>
      <c r="B25" s="2014" t="s">
        <v>757</v>
      </c>
      <c r="C25" s="2015"/>
    </row>
    <row r="26" spans="1:3">
      <c r="A26" s="2014" t="s">
        <v>1776</v>
      </c>
      <c r="B26" s="2014" t="s">
        <v>757</v>
      </c>
      <c r="C26" s="2015"/>
    </row>
    <row r="27" spans="1:3">
      <c r="A27" s="2014" t="s">
        <v>3128</v>
      </c>
      <c r="B27" s="2014" t="s">
        <v>757</v>
      </c>
      <c r="C27" s="2015"/>
    </row>
    <row r="28" spans="1:3">
      <c r="A28" s="2014" t="s">
        <v>3130</v>
      </c>
      <c r="B28" s="2014" t="s">
        <v>757</v>
      </c>
      <c r="C28" s="2015"/>
    </row>
    <row r="29" spans="1:3">
      <c r="A29" s="2014" t="s">
        <v>3132</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为估价委托人在向民生信托办理贷款手续过程中，确定房地产抵押贷款额度提供参考依据而评估房地产抵押价值。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国瑞兴业（北京）投资有限公司拟使用北京市昌平区北七家镇GZT-05-2地块出让国有建设用地使用权及在建建筑物房地产作为抵押担保物，向民生信托办理贷款手续。民生信托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31"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11日，估价对象规划用途为住宅、地下仓储、地下车库土地取得方式为出让，出让国有建设用地使用权剩余土地使用年限为XX年(多用途剩余年限尾数不同时，可只体现小数点后一位)，假定未设立法定优先受偿款下的房地产市场价值。</v>
      </c>
    </row>
    <row r="54" spans="1:4">
      <c r="A54" s="3031"/>
      <c r="B54" s="2022" t="s">
        <v>864</v>
      </c>
      <c r="C54" s="2019" t="s">
        <v>1281</v>
      </c>
    </row>
    <row r="55" spans="1:4">
      <c r="A55" s="3031"/>
      <c r="B55" s="2022" t="s">
        <v>865</v>
      </c>
      <c r="C55" s="2019" t="s">
        <v>1282</v>
      </c>
    </row>
    <row r="56" spans="1:4">
      <c r="A56" s="3031"/>
      <c r="B56" s="2022" t="s">
        <v>866</v>
      </c>
      <c r="C56" s="2019" t="s">
        <v>1286</v>
      </c>
    </row>
    <row r="57" spans="1:4">
      <c r="A57" s="3031"/>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H21" sqref="H21"/>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1777</v>
      </c>
      <c r="B1" s="3032" t="str">
        <f>IF(B10="北京市","北京市",C10)&amp;F10&amp;IF(结果表!G1="在建","出让国有建设用地使用权及在建建筑物",IF(结果表!G1="土地","出让国有建设用地使用权",))&amp;B9&amp;"预评估"</f>
        <v>北京市昌平区北七家镇GZT-05-2地块出让国有建设用地使用权及在建建筑物房地产抵押价值预评估</v>
      </c>
      <c r="C1" s="3033"/>
      <c r="D1" s="3033"/>
      <c r="E1" s="3033"/>
      <c r="F1" s="3033"/>
      <c r="G1" s="3033"/>
      <c r="H1" s="3033"/>
      <c r="I1" s="303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北京市昌平区北七家镇GZT-05-2地块出让国有建设用地使用权及在建建筑物房地产抵押价值</v>
      </c>
    </row>
    <row r="2" spans="1:19" ht="18" customHeight="1">
      <c r="A2" s="2026" t="s">
        <v>1778</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北京市昌平区北七家镇GZT-05-2地块出让国有建设用地使用权及在建建筑物房地产</v>
      </c>
    </row>
    <row r="3" spans="1:19" ht="18" customHeight="1">
      <c r="A3" s="2035" t="s">
        <v>1779</v>
      </c>
      <c r="B3" s="2036">
        <v>43111</v>
      </c>
      <c r="C3" s="2037" t="s">
        <v>1780</v>
      </c>
      <c r="D3" s="2036">
        <v>43111</v>
      </c>
      <c r="E3" s="2026"/>
      <c r="F3" s="2026"/>
      <c r="G3" s="2026"/>
      <c r="H3" s="2026"/>
      <c r="I3" s="2026"/>
      <c r="J3" s="2026"/>
      <c r="K3" s="2027"/>
      <c r="L3" s="2028"/>
      <c r="M3" s="2028"/>
      <c r="N3" s="2029"/>
      <c r="O3" s="2030"/>
      <c r="P3" s="2029"/>
      <c r="Q3" s="2029"/>
      <c r="R3" s="2029"/>
      <c r="S3" s="2031"/>
    </row>
    <row r="4" spans="1:19" ht="18" customHeight="1" thickBot="1">
      <c r="A4" s="2038" t="s">
        <v>1781</v>
      </c>
      <c r="B4" s="2039" t="s">
        <v>3101</v>
      </c>
      <c r="C4" s="1037">
        <f ca="1">SUMIF(注册房地产估价师,B4,估价师及机构信息!B3:B24)</f>
        <v>1120140022</v>
      </c>
      <c r="D4" s="2039" t="s">
        <v>3102</v>
      </c>
      <c r="E4" s="1038">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1782</v>
      </c>
      <c r="B5" s="2962" t="s">
        <v>3103</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1783</v>
      </c>
      <c r="B6" s="2963" t="s">
        <v>3104</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1784</v>
      </c>
      <c r="B7" s="2962" t="s">
        <v>3103</v>
      </c>
      <c r="C7" s="2048"/>
      <c r="D7" s="2049"/>
      <c r="E7" s="2034"/>
      <c r="F7" s="2042"/>
      <c r="G7" s="2042"/>
      <c r="H7" s="2042"/>
      <c r="I7" s="2042"/>
      <c r="J7" s="2042"/>
      <c r="K7" s="2051"/>
      <c r="L7" s="2028"/>
      <c r="M7" s="2028"/>
      <c r="N7" s="2029"/>
      <c r="O7" s="2030"/>
      <c r="P7" s="2029"/>
      <c r="Q7" s="2029"/>
      <c r="R7" s="2029"/>
    </row>
    <row r="8" spans="1:19" ht="18" customHeight="1">
      <c r="A8" s="2047" t="s">
        <v>1785</v>
      </c>
      <c r="B8" s="2052" t="s">
        <v>3106</v>
      </c>
      <c r="C8" s="2053"/>
      <c r="D8" s="3035" t="s">
        <v>1786</v>
      </c>
      <c r="E8" s="2054" t="s">
        <v>3105</v>
      </c>
      <c r="F8" s="2055"/>
      <c r="G8" s="2026"/>
      <c r="H8" s="2026"/>
      <c r="I8" s="2026"/>
      <c r="J8" s="2042"/>
      <c r="K8" s="2043"/>
      <c r="L8" s="2028"/>
      <c r="M8" s="2028"/>
      <c r="N8" s="2029"/>
      <c r="O8" s="2030"/>
      <c r="P8" s="2029"/>
      <c r="Q8" s="2029"/>
      <c r="R8" s="2029"/>
    </row>
    <row r="9" spans="1:19" ht="18" customHeight="1" thickBot="1">
      <c r="A9" s="2040" t="s">
        <v>1787</v>
      </c>
      <c r="B9" s="2056" t="s">
        <v>3105</v>
      </c>
      <c r="C9" s="2057"/>
      <c r="D9" s="3036"/>
      <c r="E9" s="2056" t="s">
        <v>70</v>
      </c>
      <c r="F9" s="2058"/>
      <c r="G9" s="2059"/>
      <c r="H9" s="2059"/>
      <c r="I9" s="2059"/>
      <c r="J9" s="2042"/>
      <c r="K9" s="2051"/>
      <c r="L9" s="2028"/>
      <c r="M9" s="2028"/>
      <c r="N9" s="2029"/>
      <c r="O9" s="2030"/>
      <c r="P9" s="2029"/>
      <c r="Q9" s="2029"/>
      <c r="R9" s="2029"/>
    </row>
    <row r="10" spans="1:19" ht="18" customHeight="1" thickTop="1" thickBot="1">
      <c r="A10" s="2060" t="s">
        <v>1788</v>
      </c>
      <c r="B10" s="2061" t="s">
        <v>3107</v>
      </c>
      <c r="C10" s="2062"/>
      <c r="D10" s="2046"/>
      <c r="E10" s="2063" t="s">
        <v>1789</v>
      </c>
      <c r="F10" s="2064" t="s">
        <v>3293</v>
      </c>
      <c r="G10" s="2065"/>
      <c r="H10" s="2066"/>
      <c r="I10" s="2046"/>
      <c r="J10" s="2042"/>
      <c r="K10" s="2051"/>
      <c r="L10" s="2028"/>
      <c r="M10" s="2028"/>
      <c r="N10" s="2029"/>
      <c r="O10" s="2030"/>
      <c r="P10" s="2029"/>
      <c r="Q10" s="2029"/>
      <c r="R10" s="2029"/>
    </row>
    <row r="11" spans="1:19" ht="18" customHeight="1" thickTop="1">
      <c r="A11" s="2067" t="s">
        <v>1790</v>
      </c>
      <c r="B11" s="2068" t="s">
        <v>3108</v>
      </c>
      <c r="C11" s="2962" t="s">
        <v>3103</v>
      </c>
      <c r="D11" s="2069"/>
      <c r="E11" s="2042"/>
      <c r="F11" s="2042"/>
      <c r="G11" s="2042"/>
      <c r="H11" s="2042"/>
      <c r="I11" s="2042"/>
      <c r="J11" s="2042"/>
      <c r="K11" s="2051"/>
      <c r="L11" s="2028"/>
      <c r="M11" s="2028"/>
      <c r="N11" s="2029"/>
      <c r="O11" s="2030"/>
      <c r="P11" s="2029"/>
      <c r="Q11" s="2029"/>
      <c r="R11" s="2029"/>
    </row>
    <row r="12" spans="1:19" ht="18" customHeight="1">
      <c r="A12" s="2070" t="s">
        <v>1791</v>
      </c>
      <c r="B12" s="2068" t="s">
        <v>3112</v>
      </c>
      <c r="C12" s="2071" t="s">
        <v>1792</v>
      </c>
      <c r="D12" s="2072" t="s">
        <v>1793</v>
      </c>
      <c r="E12" s="2072" t="s">
        <v>1794</v>
      </c>
      <c r="F12" s="2072" t="s">
        <v>1795</v>
      </c>
      <c r="G12" s="2072" t="s">
        <v>1796</v>
      </c>
      <c r="H12" s="2072" t="s">
        <v>1797</v>
      </c>
      <c r="I12" s="2072" t="s">
        <v>1798</v>
      </c>
      <c r="J12" s="2042"/>
      <c r="K12" s="2051"/>
      <c r="L12" s="2028"/>
      <c r="M12" s="2028"/>
      <c r="N12" s="2029"/>
      <c r="O12" s="2030"/>
      <c r="P12" s="2029"/>
      <c r="Q12" s="2029"/>
      <c r="R12" s="2029"/>
    </row>
    <row r="13" spans="1:19" ht="18" customHeight="1">
      <c r="A13" s="2073"/>
      <c r="B13" s="2074"/>
      <c r="C13" s="2075" t="s">
        <v>1799</v>
      </c>
      <c r="D13" s="2076">
        <v>67921</v>
      </c>
      <c r="E13" s="2076">
        <v>56963</v>
      </c>
      <c r="F13" s="2076"/>
      <c r="G13" s="2076">
        <v>60616</v>
      </c>
      <c r="H13" s="2076">
        <v>60616</v>
      </c>
      <c r="I13" s="1047"/>
      <c r="J13" s="2042"/>
      <c r="K13" s="2051"/>
      <c r="L13" s="2028"/>
      <c r="M13" s="2028"/>
      <c r="N13" s="2029"/>
      <c r="O13" s="2030"/>
      <c r="P13" s="2029"/>
      <c r="Q13" s="2029"/>
      <c r="R13" s="2029"/>
    </row>
    <row r="14" spans="1:19" ht="18" customHeight="1">
      <c r="A14" s="2073"/>
      <c r="B14" s="2074"/>
      <c r="C14" s="2075" t="s">
        <v>1800</v>
      </c>
      <c r="D14" s="1050">
        <v>70</v>
      </c>
      <c r="E14" s="1050">
        <v>40</v>
      </c>
      <c r="F14" s="1050"/>
      <c r="G14" s="1050">
        <v>50</v>
      </c>
      <c r="H14" s="1050">
        <v>50</v>
      </c>
      <c r="I14" s="1050"/>
      <c r="J14" s="2042"/>
      <c r="K14" s="2077"/>
      <c r="L14" s="2028"/>
      <c r="M14" s="2028"/>
      <c r="N14" s="2029"/>
      <c r="O14" s="2030"/>
      <c r="P14" s="2029"/>
      <c r="Q14" s="2029"/>
      <c r="R14" s="2029"/>
    </row>
    <row r="15" spans="1:19" ht="18" customHeight="1">
      <c r="A15" s="2060"/>
      <c r="B15" s="2078"/>
      <c r="C15" s="2075" t="s">
        <v>1801</v>
      </c>
      <c r="D15" s="1049">
        <f>IF(B12="出让",IF(D13="","",ROUNDDOWN(MIN((D13-$D$3)/365,D14),2)),D14)</f>
        <v>67.97</v>
      </c>
      <c r="E15" s="1049">
        <f>IF(B12="出让",IF(E13="","",ROUNDDOWN(MIN((E13-$D$3)/365,E14),2)),E14)</f>
        <v>37.950000000000003</v>
      </c>
      <c r="F15" s="1049" t="str">
        <f>IF(B12="出让",IF(F13="","",ROUNDDOWN(MIN((F13-$D$3)/365,F14),2)),F14)</f>
        <v/>
      </c>
      <c r="G15" s="1049">
        <f>IF(B12="出让",IF(G13="","",ROUNDDOWN(MIN((G13-$D$3)/365,G14),2)),G14)</f>
        <v>47.95</v>
      </c>
      <c r="H15" s="1049">
        <f>IF(B12="出让",IF(H13="","",ROUNDDOWN(MIN((H13-$D$3)/365,H14),2)),H14)</f>
        <v>47.95</v>
      </c>
      <c r="I15" s="1049" t="str">
        <f>IF(B12="出让",IF(I13="","",ROUNDDOWN(MIN((I13-$D$3)/365,I14),2)),I14)</f>
        <v/>
      </c>
      <c r="J15" s="2042"/>
      <c r="K15" s="2079"/>
      <c r="L15" s="2080"/>
      <c r="M15" s="2080"/>
      <c r="N15" s="2081"/>
      <c r="O15" s="2080"/>
      <c r="P15" s="2081"/>
      <c r="Q15" s="2029"/>
      <c r="R15" s="2029"/>
    </row>
    <row r="16" spans="1:19" ht="30.75" customHeight="1">
      <c r="A16" s="2063" t="s">
        <v>1802</v>
      </c>
      <c r="B16" s="3042" t="s">
        <v>3158</v>
      </c>
      <c r="C16" s="3043"/>
      <c r="D16" s="3044"/>
      <c r="E16" s="2082" t="s">
        <v>1803</v>
      </c>
      <c r="F16" s="3045"/>
      <c r="G16" s="3046"/>
      <c r="H16" s="3046"/>
      <c r="I16" s="3047"/>
      <c r="J16" s="2029"/>
      <c r="K16" s="2079"/>
      <c r="L16" s="2080"/>
      <c r="M16" s="2080"/>
      <c r="N16" s="2081"/>
      <c r="O16" s="2080"/>
      <c r="P16" s="2081"/>
      <c r="Q16" s="2029"/>
      <c r="R16" s="2029"/>
    </row>
    <row r="17" spans="1:22" ht="18" customHeight="1">
      <c r="A17" s="2083" t="s">
        <v>1804</v>
      </c>
      <c r="B17" s="2035" t="s">
        <v>1805</v>
      </c>
      <c r="C17" s="1054">
        <f>'数据-汇总表'!E3</f>
        <v>85215.679999999964</v>
      </c>
      <c r="D17" s="2084" t="s">
        <v>1806</v>
      </c>
      <c r="E17" s="3048" t="s">
        <v>3114</v>
      </c>
      <c r="F17" s="3049"/>
      <c r="G17" s="3049"/>
      <c r="H17" s="3049"/>
      <c r="I17" s="3050"/>
      <c r="J17" s="2029"/>
      <c r="K17" s="2085"/>
      <c r="L17" s="2080"/>
      <c r="M17" s="2080"/>
      <c r="N17" s="2081"/>
      <c r="O17" s="2080"/>
      <c r="P17" s="2081"/>
      <c r="Q17" s="2029"/>
      <c r="R17" s="2029"/>
      <c r="S17" s="2029"/>
      <c r="T17" s="2029"/>
      <c r="U17" s="2029"/>
      <c r="V17" s="2029"/>
    </row>
    <row r="18" spans="1:22" ht="36" customHeight="1" thickBot="1">
      <c r="A18" s="2086" t="s">
        <v>1807</v>
      </c>
      <c r="B18" s="2038" t="s">
        <v>1808</v>
      </c>
      <c r="C18" s="1444">
        <f>'数据-汇总表'!D3</f>
        <v>22955.7</v>
      </c>
      <c r="D18" s="2087" t="s">
        <v>1806</v>
      </c>
      <c r="E18" s="3051" t="s">
        <v>3113</v>
      </c>
      <c r="F18" s="3049"/>
      <c r="G18" s="3049"/>
      <c r="H18" s="3049"/>
      <c r="I18" s="3050"/>
      <c r="J18" s="2029"/>
      <c r="K18" s="2085"/>
      <c r="L18" s="2080"/>
      <c r="M18" s="2080"/>
      <c r="N18" s="2081"/>
      <c r="O18" s="2080"/>
      <c r="P18" s="2081"/>
      <c r="Q18" s="2029"/>
      <c r="R18" s="2029"/>
      <c r="S18" s="2029"/>
      <c r="T18" s="2029"/>
      <c r="U18" s="2029"/>
      <c r="V18" s="2029"/>
    </row>
    <row r="19" spans="1:22" ht="37.5" customHeight="1" thickTop="1" thickBot="1">
      <c r="A19" s="373" t="s">
        <v>1809</v>
      </c>
      <c r="B19" s="352" t="s">
        <v>1810</v>
      </c>
      <c r="C19" s="2088" t="s">
        <v>3115</v>
      </c>
      <c r="D19" s="2089" t="s">
        <v>1811</v>
      </c>
      <c r="E19" s="2090" t="s">
        <v>3115</v>
      </c>
      <c r="F19" s="2091" t="str">
        <f>IF(AND(C19="是",E19="否"),"是否提供他项权证或相关说明","")</f>
        <v/>
      </c>
      <c r="G19" s="2092"/>
      <c r="H19" s="2042"/>
      <c r="I19" s="2042"/>
      <c r="J19" s="2042"/>
      <c r="K19" s="2051"/>
      <c r="L19" s="2028"/>
      <c r="M19" s="2028"/>
      <c r="N19" s="2081"/>
      <c r="O19" s="2080"/>
      <c r="P19" s="2081"/>
      <c r="Q19" s="2029"/>
      <c r="R19" s="2029"/>
      <c r="S19" s="2029"/>
      <c r="T19" s="2029"/>
      <c r="U19" s="2029"/>
      <c r="V19" s="2029"/>
    </row>
    <row r="20" spans="1:22" ht="18" customHeight="1">
      <c r="A20" s="2093" t="s">
        <v>1812</v>
      </c>
      <c r="B20" s="3038" t="s">
        <v>1813</v>
      </c>
      <c r="C20" s="3039"/>
      <c r="D20" s="3040" t="s">
        <v>1814</v>
      </c>
      <c r="E20" s="3041"/>
      <c r="F20" s="2094" t="s">
        <v>1815</v>
      </c>
      <c r="G20" s="2042"/>
      <c r="H20" s="2042"/>
      <c r="I20" s="2042"/>
      <c r="J20" s="2042"/>
      <c r="K20" s="3037" t="s">
        <v>1816</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8"/>
      <c r="N20" s="2081"/>
      <c r="O20" s="2080"/>
      <c r="P20" s="2081"/>
      <c r="Q20" s="2029"/>
      <c r="R20" s="2029"/>
      <c r="S20" s="2029"/>
      <c r="T20" s="2029"/>
      <c r="U20" s="2029"/>
      <c r="V20" s="2029"/>
    </row>
    <row r="21" spans="1:22" ht="24.75" customHeight="1">
      <c r="A21" s="2093"/>
      <c r="B21" s="2095" t="s">
        <v>3116</v>
      </c>
      <c r="C21" s="2096" t="s">
        <v>1817</v>
      </c>
      <c r="D21" s="2097"/>
      <c r="E21" s="2098"/>
      <c r="F21" s="2099"/>
      <c r="G21" s="2042"/>
      <c r="H21" s="2042"/>
      <c r="I21" s="2042"/>
      <c r="J21" s="2042"/>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上述抵押权设定日期为2017年7月5日，权利人为渤海银行股份有限公司北京分行，权利范围为，权利价值为。</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1818</v>
      </c>
      <c r="B23" s="183" t="s">
        <v>1819</v>
      </c>
      <c r="C23" s="2103">
        <v>42921</v>
      </c>
      <c r="D23" s="2104" t="s">
        <v>1819</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1820</v>
      </c>
      <c r="C24" s="2966" t="s">
        <v>3117</v>
      </c>
      <c r="D24" s="2102" t="s">
        <v>1820</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1821</v>
      </c>
      <c r="C25" s="2108"/>
      <c r="D25" s="2102" t="s">
        <v>1821</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1822</v>
      </c>
      <c r="C26" s="2112"/>
      <c r="D26" s="2113" t="s">
        <v>1823</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53" t="s">
        <v>1824</v>
      </c>
      <c r="B27" s="2060" t="s">
        <v>1825</v>
      </c>
      <c r="C27" s="2116" t="s">
        <v>3118</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53"/>
      <c r="B28" s="2035" t="s">
        <v>1826</v>
      </c>
      <c r="C28" s="2118"/>
      <c r="D28" s="2967"/>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53"/>
      <c r="B29" s="2035" t="s">
        <v>1827</v>
      </c>
      <c r="C29" s="2120" t="s">
        <v>3119</v>
      </c>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54"/>
      <c r="B30" s="2035" t="s">
        <v>1828</v>
      </c>
      <c r="C30" s="3055" t="s">
        <v>3120</v>
      </c>
      <c r="D30" s="3056"/>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57" t="s">
        <v>1829</v>
      </c>
      <c r="B31" s="2122" t="s">
        <v>3121</v>
      </c>
      <c r="C31" s="2123" t="str">
        <f>IF(B31="现房","成新及维护状况正常否",IF(B31="在建","工程状态是否正常",IF(B31="土地","是否闲置","-")))</f>
        <v>工程状态是否正常</v>
      </c>
      <c r="D31" s="2124"/>
      <c r="E31" s="2125"/>
      <c r="F31" s="2042"/>
      <c r="G31" s="2042"/>
      <c r="H31" s="2042"/>
      <c r="I31" s="2042"/>
      <c r="J31" s="2042"/>
      <c r="K31" s="2050"/>
      <c r="L31" s="2028"/>
      <c r="M31" s="2028"/>
      <c r="N31" s="2029"/>
      <c r="O31" s="2030"/>
      <c r="P31" s="2029"/>
      <c r="Q31" s="2029"/>
      <c r="R31" s="2029"/>
      <c r="S31" s="2029"/>
      <c r="T31" s="2029"/>
      <c r="U31" s="2029"/>
      <c r="V31" s="2029"/>
    </row>
    <row r="32" spans="1:22" ht="18" customHeight="1">
      <c r="A32" s="3058"/>
      <c r="B32" s="2122"/>
      <c r="C32" s="2123" t="str">
        <f>IF(B32="现房","成新及维护状况是否正常",IF(B32="在建","工程状态是否正常",IF(B32="土地","是否闲置","-")))</f>
        <v>-</v>
      </c>
      <c r="D32" s="2124"/>
      <c r="E32" s="2125"/>
      <c r="F32" s="2042"/>
      <c r="G32" s="2042"/>
      <c r="H32" s="2042"/>
      <c r="I32" s="2042"/>
      <c r="J32" s="2042"/>
      <c r="K32" s="2051"/>
      <c r="L32" s="2028"/>
      <c r="M32" s="2028"/>
      <c r="N32" s="2029"/>
      <c r="O32" s="2030"/>
      <c r="P32" s="2029"/>
      <c r="Q32" s="2029"/>
      <c r="R32" s="2029"/>
      <c r="S32" s="2029"/>
      <c r="T32" s="2029"/>
      <c r="U32" s="2029"/>
      <c r="V32" s="2029"/>
    </row>
    <row r="33" spans="1:22" ht="18" customHeight="1">
      <c r="A33" s="3058"/>
      <c r="B33" s="2126"/>
      <c r="C33" s="2067" t="str">
        <f>IF(B33="现房","成新及维护状况是否正常",IF(B33="在建","工程状态是否正常",IF(B33="土地","是否闲置","-")))</f>
        <v>-</v>
      </c>
      <c r="D33" s="2127"/>
      <c r="E33" s="2128"/>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1830</v>
      </c>
      <c r="B34" s="2129"/>
      <c r="C34" s="2129"/>
      <c r="D34" s="2129"/>
      <c r="E34" s="2129"/>
      <c r="F34" s="2129"/>
      <c r="G34" s="2129"/>
      <c r="H34" s="2129"/>
      <c r="I34" s="2042"/>
      <c r="J34" s="2042"/>
      <c r="K34" s="1795">
        <f>COUNTIF(B34:H34,"——")</f>
        <v>0</v>
      </c>
      <c r="L34" s="2071" t="s">
        <v>1831</v>
      </c>
      <c r="M34" s="2071" t="s">
        <v>1832</v>
      </c>
      <c r="N34" s="2071" t="s">
        <v>1833</v>
      </c>
      <c r="O34" s="2071" t="s">
        <v>1834</v>
      </c>
      <c r="P34" s="2071" t="s">
        <v>1835</v>
      </c>
      <c r="Q34" s="2071" t="s">
        <v>1836</v>
      </c>
      <c r="R34" s="2071" t="s">
        <v>1837</v>
      </c>
      <c r="S34" s="3052" t="s">
        <v>1838</v>
      </c>
      <c r="T34" s="2130" t="str">
        <f>NUMBERSTRING(7-K34,1)&amp;"通"</f>
        <v>七通</v>
      </c>
      <c r="U34" s="2029"/>
      <c r="V34" s="2029"/>
    </row>
    <row r="35" spans="1:22" ht="18" customHeight="1">
      <c r="A35" s="2131"/>
      <c r="B35" s="3059" t="s">
        <v>1839</v>
      </c>
      <c r="C35" s="3059"/>
      <c r="D35" s="3059"/>
      <c r="E35" s="3059"/>
      <c r="F35" s="2132">
        <f>C10</f>
        <v>0</v>
      </c>
      <c r="G35" s="2042"/>
      <c r="H35" s="2042"/>
      <c r="I35" s="2042"/>
      <c r="J35" s="2042"/>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2"/>
      <c r="T35" s="48" t="str">
        <f>IF(T34="一通",L35,IF(T34="二通",M35,IF(T34="三通",N35,IF(T34="四通",O35,IF(T34="五通",P35,IF(T34="六通",Q35,R35))))))</f>
        <v>、、、、、、</v>
      </c>
      <c r="U35" s="2029"/>
      <c r="V35" s="2029"/>
    </row>
    <row r="36" spans="1:22" ht="18" customHeight="1">
      <c r="A36" s="2133"/>
      <c r="B36" s="2132" t="s">
        <v>1840</v>
      </c>
      <c r="C36" s="2132" t="s">
        <v>1841</v>
      </c>
      <c r="D36" s="2132" t="s">
        <v>1842</v>
      </c>
      <c r="E36" s="2132" t="s">
        <v>1843</v>
      </c>
      <c r="F36" s="2134"/>
      <c r="G36" s="2042"/>
      <c r="H36" s="2042"/>
      <c r="I36" s="2042"/>
      <c r="J36" s="2042"/>
      <c r="K36" s="2051"/>
      <c r="L36" s="2028"/>
      <c r="M36" s="2028"/>
      <c r="N36" s="2029"/>
      <c r="O36" s="2030"/>
      <c r="P36" s="2029"/>
      <c r="Q36" s="2029"/>
      <c r="R36" s="2029"/>
      <c r="S36" s="2029"/>
      <c r="T36" s="2029"/>
      <c r="U36" s="2029"/>
      <c r="V36" s="2029"/>
    </row>
    <row r="37" spans="1:22" ht="18" customHeight="1">
      <c r="A37" s="2135" t="s">
        <v>1844</v>
      </c>
      <c r="B37" s="2136" t="s">
        <v>526</v>
      </c>
      <c r="C37" s="2136" t="s">
        <v>526</v>
      </c>
      <c r="D37" s="2136" t="s">
        <v>526</v>
      </c>
      <c r="E37" s="2136"/>
      <c r="F37" s="2134"/>
      <c r="G37" s="2042"/>
      <c r="H37" s="2042"/>
      <c r="I37" s="2042"/>
      <c r="J37" s="2042"/>
      <c r="K37" s="2051"/>
      <c r="L37" s="2028"/>
      <c r="M37" s="2028"/>
      <c r="N37" s="2029"/>
      <c r="O37" s="2030"/>
      <c r="P37" s="2029"/>
      <c r="Q37" s="2029"/>
      <c r="R37" s="2029"/>
      <c r="S37" s="2029"/>
      <c r="T37" s="2029"/>
      <c r="U37" s="2029"/>
      <c r="V37" s="2029"/>
    </row>
    <row r="38" spans="1:22" ht="18" customHeight="1" thickBot="1">
      <c r="A38" s="2137" t="s">
        <v>1845</v>
      </c>
      <c r="B38" s="2138" t="s">
        <v>439</v>
      </c>
      <c r="C38" s="2138" t="s">
        <v>439</v>
      </c>
      <c r="D38" s="2138" t="s">
        <v>439</v>
      </c>
      <c r="E38" s="2138"/>
      <c r="F38" s="2139"/>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1846</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1"/>
      <c r="K40" s="666"/>
      <c r="L40" s="2080"/>
      <c r="M40" s="2080"/>
      <c r="N40" s="2081"/>
      <c r="O40" s="2080"/>
      <c r="P40" s="2029"/>
      <c r="Q40" s="2029"/>
      <c r="R40" s="2029"/>
      <c r="S40" s="2029"/>
      <c r="T40" s="2029"/>
      <c r="U40" s="2029"/>
      <c r="V40" s="2029"/>
    </row>
    <row r="41" spans="1:22" ht="18" customHeight="1">
      <c r="A41" s="8" t="s">
        <v>1847</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1" t="s">
        <v>1848</v>
      </c>
      <c r="B42" s="1795" t="s">
        <v>1849</v>
      </c>
      <c r="C42" s="1795" t="s">
        <v>1850</v>
      </c>
      <c r="D42" s="1795" t="s">
        <v>1851</v>
      </c>
      <c r="E42" s="1795" t="s">
        <v>1852</v>
      </c>
      <c r="F42" s="1795" t="s">
        <v>1853</v>
      </c>
      <c r="G42" s="1795" t="s">
        <v>1854</v>
      </c>
      <c r="H42" s="1795" t="s">
        <v>1855</v>
      </c>
      <c r="I42" s="1795" t="s">
        <v>1856</v>
      </c>
      <c r="J42" s="2148" t="s">
        <v>1857</v>
      </c>
      <c r="K42" s="2072" t="s">
        <v>1858</v>
      </c>
      <c r="L42" s="2072" t="s">
        <v>1859</v>
      </c>
      <c r="M42" s="2072" t="s">
        <v>1860</v>
      </c>
      <c r="N42" s="1795" t="s">
        <v>1861</v>
      </c>
      <c r="O42" s="1795" t="s">
        <v>1862</v>
      </c>
      <c r="P42" s="1795" t="s">
        <v>1863</v>
      </c>
      <c r="Q42" s="2071" t="s">
        <v>1864</v>
      </c>
      <c r="R42" s="2071" t="s">
        <v>1865</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8"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1868</v>
      </c>
      <c r="B2" s="11" t="s">
        <v>1869</v>
      </c>
      <c r="C2" s="11" t="s">
        <v>1870</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1871</v>
      </c>
      <c r="AZ2" s="1270" t="s">
        <v>1872</v>
      </c>
      <c r="BA2" s="11" t="s">
        <v>1873</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B3/246030.44*66276.55</f>
        <v>45719.369729920414</v>
      </c>
      <c r="B3" s="14">
        <f>IF(C3="否",G5-AT5,G5)</f>
        <v>169718.5</v>
      </c>
      <c r="C3" s="2164" t="s">
        <v>3115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3"/>
      <c r="C5" s="1803"/>
      <c r="D5" s="1806"/>
      <c r="E5" s="16" t="s">
        <v>1</v>
      </c>
      <c r="F5" s="16">
        <f>SUM(F13:F587)</f>
        <v>0</v>
      </c>
      <c r="G5" s="16">
        <f>SUM(G13:G587)</f>
        <v>169718.5</v>
      </c>
      <c r="H5" s="16">
        <f t="shared" ref="H5:AT5" si="0">SUM(H13:H656)</f>
        <v>149599.18999999997</v>
      </c>
      <c r="I5" s="16">
        <f t="shared" si="0"/>
        <v>29836.260000000002</v>
      </c>
      <c r="J5" s="16">
        <f t="shared" si="0"/>
        <v>0</v>
      </c>
      <c r="K5" s="16">
        <f t="shared" si="0"/>
        <v>42790.939999999995</v>
      </c>
      <c r="L5" s="16">
        <f t="shared" si="0"/>
        <v>0</v>
      </c>
      <c r="M5" s="16">
        <f t="shared" si="0"/>
        <v>38995.660000000003</v>
      </c>
      <c r="N5" s="16">
        <f t="shared" si="0"/>
        <v>0</v>
      </c>
      <c r="O5" s="16">
        <f t="shared" si="0"/>
        <v>29549.379999999997</v>
      </c>
      <c r="P5" s="16">
        <f t="shared" si="0"/>
        <v>0</v>
      </c>
      <c r="Q5" s="16">
        <f t="shared" si="0"/>
        <v>8358.5999999999676</v>
      </c>
      <c r="R5" s="16">
        <f t="shared" si="0"/>
        <v>0</v>
      </c>
      <c r="S5" s="16">
        <f t="shared" si="0"/>
        <v>68.349999999999994</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6842.2499999999991</v>
      </c>
      <c r="AD5" s="16">
        <f t="shared" si="0"/>
        <v>1163.8000000000002</v>
      </c>
      <c r="AE5" s="16">
        <f t="shared" si="0"/>
        <v>0</v>
      </c>
      <c r="AF5" s="16">
        <f t="shared" si="0"/>
        <v>830.96</v>
      </c>
      <c r="AG5" s="16">
        <f t="shared" si="0"/>
        <v>0</v>
      </c>
      <c r="AH5" s="16">
        <f t="shared" si="0"/>
        <v>0</v>
      </c>
      <c r="AI5" s="16">
        <f t="shared" si="0"/>
        <v>0</v>
      </c>
      <c r="AJ5" s="16">
        <f t="shared" si="0"/>
        <v>0</v>
      </c>
      <c r="AK5" s="16">
        <f t="shared" si="0"/>
        <v>0</v>
      </c>
      <c r="AL5" s="16">
        <f t="shared" si="0"/>
        <v>285.61</v>
      </c>
      <c r="AM5" s="16">
        <f t="shared" si="0"/>
        <v>0</v>
      </c>
      <c r="AN5" s="16">
        <f t="shared" si="0"/>
        <v>4561.88</v>
      </c>
      <c r="AO5" s="16">
        <f t="shared" si="0"/>
        <v>0</v>
      </c>
      <c r="AP5" s="16">
        <f t="shared" si="0"/>
        <v>0</v>
      </c>
      <c r="AQ5" s="16">
        <f t="shared" si="0"/>
        <v>0</v>
      </c>
      <c r="AR5" s="16">
        <f t="shared" si="0"/>
        <v>0</v>
      </c>
      <c r="AS5" s="16">
        <f t="shared" si="0"/>
        <v>0</v>
      </c>
      <c r="AT5" s="16">
        <f t="shared" si="0"/>
        <v>13277.06</v>
      </c>
      <c r="AU5" s="1802"/>
      <c r="AV5" s="15" t="s">
        <v>1874</v>
      </c>
      <c r="AW5" s="1803"/>
      <c r="AX5" s="1803"/>
      <c r="AY5" s="17" t="s">
        <v>3</v>
      </c>
      <c r="AZ5" s="18">
        <f t="shared" ref="AZ5:BT5" si="1">SUM(AZ13:AZ656)</f>
        <v>85215.679999999964</v>
      </c>
      <c r="BA5" s="18">
        <f t="shared" si="1"/>
        <v>78727.759999999966</v>
      </c>
      <c r="BB5" s="18">
        <f t="shared" si="1"/>
        <v>0</v>
      </c>
      <c r="BC5" s="18">
        <f t="shared" si="1"/>
        <v>14071.829999999998</v>
      </c>
      <c r="BD5" s="18">
        <f t="shared" si="1"/>
        <v>26679.599999999999</v>
      </c>
      <c r="BE5" s="18">
        <f t="shared" si="1"/>
        <v>29549.379999999997</v>
      </c>
      <c r="BF5" s="18">
        <f t="shared" si="1"/>
        <v>8358.5999999999676</v>
      </c>
      <c r="BG5" s="18">
        <f t="shared" si="1"/>
        <v>68.349999999999994</v>
      </c>
      <c r="BH5" s="18">
        <f t="shared" si="1"/>
        <v>0</v>
      </c>
      <c r="BI5" s="18">
        <f t="shared" si="1"/>
        <v>0</v>
      </c>
      <c r="BJ5" s="18">
        <f t="shared" si="1"/>
        <v>0</v>
      </c>
      <c r="BK5" s="18">
        <f t="shared" si="1"/>
        <v>0</v>
      </c>
      <c r="BL5" s="18">
        <f t="shared" si="1"/>
        <v>6487.9199999999992</v>
      </c>
      <c r="BM5" s="18">
        <f t="shared" si="1"/>
        <v>1163.8000000000002</v>
      </c>
      <c r="BN5" s="18">
        <f t="shared" si="1"/>
        <v>830.96</v>
      </c>
      <c r="BO5" s="18">
        <f t="shared" si="1"/>
        <v>0</v>
      </c>
      <c r="BP5" s="18">
        <f t="shared" si="1"/>
        <v>0</v>
      </c>
      <c r="BQ5" s="18">
        <f t="shared" si="1"/>
        <v>285.61</v>
      </c>
      <c r="BR5" s="18">
        <f t="shared" si="1"/>
        <v>4207.55</v>
      </c>
      <c r="BS5" s="18">
        <f t="shared" si="1"/>
        <v>0</v>
      </c>
      <c r="BT5" s="19">
        <f t="shared" si="1"/>
        <v>0</v>
      </c>
    </row>
    <row r="6" spans="1:72" s="2173" customFormat="1" ht="12.75">
      <c r="A6" s="15" t="s">
        <v>1875</v>
      </c>
      <c r="B6" s="2170"/>
      <c r="C6" s="2170"/>
      <c r="D6" s="2171"/>
      <c r="E6" s="16">
        <f>H6+AC6+AT6</f>
        <v>45719.380000000005</v>
      </c>
      <c r="F6" s="16" t="s">
        <v>1</v>
      </c>
      <c r="G6" s="16" t="s">
        <v>2</v>
      </c>
      <c r="H6" s="20">
        <f>SUMIF(I$12:AB$12,"总值",I6:AB6)</f>
        <v>40299.560000000005</v>
      </c>
      <c r="I6" s="16">
        <f t="shared" ref="I6:AB6" si="2">ROUND($A$3*I5/$B$3,2)</f>
        <v>8037.4</v>
      </c>
      <c r="J6" s="16">
        <f t="shared" si="2"/>
        <v>0</v>
      </c>
      <c r="K6" s="16">
        <f t="shared" si="2"/>
        <v>11527.17</v>
      </c>
      <c r="L6" s="16">
        <f t="shared" si="2"/>
        <v>0</v>
      </c>
      <c r="M6" s="16">
        <f t="shared" si="2"/>
        <v>10504.79</v>
      </c>
      <c r="N6" s="16">
        <f t="shared" si="2"/>
        <v>0</v>
      </c>
      <c r="O6" s="16">
        <f t="shared" si="2"/>
        <v>7960.12</v>
      </c>
      <c r="P6" s="16">
        <f t="shared" si="2"/>
        <v>0</v>
      </c>
      <c r="Q6" s="16">
        <f t="shared" si="2"/>
        <v>2251.67</v>
      </c>
      <c r="R6" s="16">
        <f t="shared" si="2"/>
        <v>0</v>
      </c>
      <c r="S6" s="16">
        <f t="shared" si="2"/>
        <v>18.41</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1843.2</v>
      </c>
      <c r="AD6" s="16">
        <f t="shared" ref="AD6:AS6" si="3">ROUND($A$3*AD5/$B$3,2)</f>
        <v>313.51</v>
      </c>
      <c r="AE6" s="16">
        <f t="shared" si="3"/>
        <v>0</v>
      </c>
      <c r="AF6" s="16">
        <f t="shared" si="3"/>
        <v>223.85</v>
      </c>
      <c r="AG6" s="16">
        <f t="shared" si="3"/>
        <v>0</v>
      </c>
      <c r="AH6" s="16">
        <f t="shared" si="3"/>
        <v>0</v>
      </c>
      <c r="AI6" s="16">
        <f t="shared" si="3"/>
        <v>0</v>
      </c>
      <c r="AJ6" s="16">
        <f t="shared" si="3"/>
        <v>0</v>
      </c>
      <c r="AK6" s="16">
        <f t="shared" si="3"/>
        <v>0</v>
      </c>
      <c r="AL6" s="16">
        <f t="shared" si="3"/>
        <v>76.94</v>
      </c>
      <c r="AM6" s="16">
        <f t="shared" si="3"/>
        <v>0</v>
      </c>
      <c r="AN6" s="16">
        <f t="shared" si="3"/>
        <v>1228.9000000000001</v>
      </c>
      <c r="AO6" s="16">
        <f t="shared" si="3"/>
        <v>0</v>
      </c>
      <c r="AP6" s="16">
        <f t="shared" si="3"/>
        <v>0</v>
      </c>
      <c r="AQ6" s="16">
        <f t="shared" si="3"/>
        <v>0</v>
      </c>
      <c r="AR6" s="16">
        <f t="shared" si="3"/>
        <v>0</v>
      </c>
      <c r="AS6" s="16">
        <f t="shared" si="3"/>
        <v>0</v>
      </c>
      <c r="AT6" s="20">
        <f>IF(C3="是",ROUND($A$3*AT5/$B$3,2),0)</f>
        <v>3576.62</v>
      </c>
      <c r="AU6" s="2172"/>
      <c r="AV6" s="15" t="s">
        <v>1875</v>
      </c>
      <c r="AW6" s="2170"/>
      <c r="AX6" s="2170"/>
      <c r="AY6" s="21">
        <f>IF(AY3&gt;0,AY3,ROUND($A$3*AZ5/$B$3,2))</f>
        <v>22955.7</v>
      </c>
      <c r="AZ6" s="16" t="s">
        <v>3</v>
      </c>
      <c r="BA6" s="16">
        <f>ROUND($AY$6*BA5/$AZ$5,2)</f>
        <v>21207.96</v>
      </c>
      <c r="BB6" s="16">
        <f>ROUND($AY$6*BB5/$AZ$5,2)</f>
        <v>0</v>
      </c>
      <c r="BC6" s="16">
        <f t="shared" ref="BC6:BH6" si="4">ROUND($AY$6*BC5/$AZ$5,2)</f>
        <v>3790.72</v>
      </c>
      <c r="BD6" s="16">
        <f t="shared" si="4"/>
        <v>7187.04</v>
      </c>
      <c r="BE6" s="16">
        <f t="shared" si="4"/>
        <v>7960.12</v>
      </c>
      <c r="BF6" s="16">
        <f t="shared" si="4"/>
        <v>2251.67</v>
      </c>
      <c r="BG6" s="16">
        <f t="shared" si="4"/>
        <v>18.41</v>
      </c>
      <c r="BH6" s="16">
        <f t="shared" si="4"/>
        <v>0</v>
      </c>
      <c r="BI6" s="16">
        <f t="shared" ref="BI6:BT6" si="5">ROUND($AY$6*BI5/$AZ$5,2)</f>
        <v>0</v>
      </c>
      <c r="BJ6" s="16">
        <f t="shared" si="5"/>
        <v>0</v>
      </c>
      <c r="BK6" s="16">
        <f t="shared" si="5"/>
        <v>0</v>
      </c>
      <c r="BL6" s="16">
        <f t="shared" si="5"/>
        <v>1747.74</v>
      </c>
      <c r="BM6" s="16">
        <f t="shared" si="5"/>
        <v>313.51</v>
      </c>
      <c r="BN6" s="16">
        <f t="shared" si="5"/>
        <v>223.85</v>
      </c>
      <c r="BO6" s="16">
        <f t="shared" si="5"/>
        <v>0</v>
      </c>
      <c r="BP6" s="16">
        <f t="shared" si="5"/>
        <v>0</v>
      </c>
      <c r="BQ6" s="16">
        <f t="shared" si="5"/>
        <v>76.94</v>
      </c>
      <c r="BR6" s="16">
        <f t="shared" si="5"/>
        <v>1133.44</v>
      </c>
      <c r="BS6" s="16">
        <f t="shared" si="5"/>
        <v>0</v>
      </c>
      <c r="BT6" s="22">
        <f t="shared" si="5"/>
        <v>0</v>
      </c>
    </row>
    <row r="7" spans="1:72" s="2163" customFormat="1" ht="24.75">
      <c r="A7" s="2106" t="s">
        <v>1876</v>
      </c>
      <c r="B7" s="2106" t="s">
        <v>1877</v>
      </c>
      <c r="C7" s="2106" t="s">
        <v>1878</v>
      </c>
      <c r="D7" s="2106" t="s">
        <v>1879</v>
      </c>
      <c r="E7" s="2106" t="s">
        <v>1880</v>
      </c>
      <c r="F7" s="2106"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1883</v>
      </c>
      <c r="AV7" s="23" t="s">
        <v>1884</v>
      </c>
      <c r="AW7" s="2162" t="s">
        <v>1885</v>
      </c>
      <c r="AX7" s="23" t="s">
        <v>1878</v>
      </c>
      <c r="AY7" s="1803"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8"/>
      <c r="K8" s="1818"/>
      <c r="L8" s="1818"/>
      <c r="M8" s="1818"/>
      <c r="N8" s="1818"/>
      <c r="O8" s="1818"/>
      <c r="P8" s="1818"/>
      <c r="Q8" s="1818"/>
      <c r="R8" s="1818"/>
      <c r="S8" s="1818"/>
      <c r="T8" s="1818"/>
      <c r="U8" s="1818"/>
      <c r="V8" s="2182"/>
      <c r="W8" s="1818"/>
      <c r="X8" s="1818"/>
      <c r="Y8" s="1818"/>
      <c r="Z8" s="1818"/>
      <c r="AA8" s="2182"/>
      <c r="AB8" s="2183"/>
      <c r="AC8" s="981" t="s">
        <v>1889</v>
      </c>
      <c r="AD8" s="2184"/>
      <c r="AE8" s="2176"/>
      <c r="AF8" s="1818"/>
      <c r="AG8" s="1818"/>
      <c r="AH8" s="1818"/>
      <c r="AI8" s="1818"/>
      <c r="AJ8" s="1818"/>
      <c r="AK8" s="1818"/>
      <c r="AL8" s="1818"/>
      <c r="AM8" s="1818"/>
      <c r="AN8" s="1818"/>
      <c r="AO8" s="1818"/>
      <c r="AP8" s="1818"/>
      <c r="AQ8" s="1818"/>
      <c r="AR8" s="1818"/>
      <c r="AS8" s="1818"/>
      <c r="AT8" s="1292" t="s">
        <v>1890</v>
      </c>
      <c r="AU8" s="2178" t="s">
        <v>1891</v>
      </c>
      <c r="AV8" s="1292"/>
      <c r="AW8" s="2161"/>
      <c r="AX8" s="1292"/>
      <c r="AY8" s="2162"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1894</v>
      </c>
      <c r="I9" s="2187" t="s">
        <v>3123</v>
      </c>
      <c r="J9" s="981"/>
      <c r="K9" s="2187" t="s">
        <v>3126</v>
      </c>
      <c r="L9" s="981"/>
      <c r="M9" s="2187" t="s">
        <v>3126</v>
      </c>
      <c r="N9" s="981"/>
      <c r="O9" s="2187" t="s">
        <v>3123</v>
      </c>
      <c r="P9" s="981"/>
      <c r="Q9" s="2187" t="s">
        <v>3123</v>
      </c>
      <c r="R9" s="981"/>
      <c r="S9" s="2187" t="s">
        <v>3123</v>
      </c>
      <c r="T9" s="981"/>
      <c r="U9" s="2187"/>
      <c r="V9" s="981"/>
      <c r="W9" s="2187"/>
      <c r="X9" s="2188"/>
      <c r="Y9" s="2187"/>
      <c r="Z9" s="981"/>
      <c r="AA9" s="2187"/>
      <c r="AB9" s="981"/>
      <c r="AC9" s="2179"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9"/>
      <c r="AT9" s="2178"/>
      <c r="AU9" s="2178" t="s">
        <v>1897</v>
      </c>
      <c r="AV9" s="1292"/>
      <c r="AW9" s="2161"/>
      <c r="AX9" s="1292"/>
      <c r="AY9" s="28"/>
      <c r="AZ9" s="28" t="s">
        <v>1887</v>
      </c>
      <c r="BA9" s="2190" t="s">
        <v>1898</v>
      </c>
      <c r="BB9" s="2191"/>
      <c r="BC9" s="1338"/>
      <c r="BD9" s="1338"/>
      <c r="BE9" s="1338"/>
      <c r="BF9" s="1338"/>
      <c r="BG9" s="1338"/>
      <c r="BH9" s="1338"/>
      <c r="BI9" s="1338"/>
      <c r="BJ9" s="1338"/>
      <c r="BK9" s="2192"/>
      <c r="BL9" s="15" t="s">
        <v>1899</v>
      </c>
      <c r="BM9" s="1818"/>
      <c r="BN9" s="2181"/>
      <c r="BO9" s="1818"/>
      <c r="BP9" s="1818"/>
      <c r="BQ9" s="1818"/>
      <c r="BR9" s="1818"/>
      <c r="BS9" s="1818"/>
      <c r="BT9" s="26"/>
    </row>
    <row r="10" spans="1:72" s="2185" customFormat="1" ht="12.75">
      <c r="A10" s="2178"/>
      <c r="B10" s="2178"/>
      <c r="C10" s="2178"/>
      <c r="D10" s="2178"/>
      <c r="E10" s="2178"/>
      <c r="F10" s="2178"/>
      <c r="G10" s="1292"/>
      <c r="H10" s="28"/>
      <c r="I10" s="2187" t="s">
        <v>3124</v>
      </c>
      <c r="J10" s="981"/>
      <c r="K10" s="2193" t="s">
        <v>3124</v>
      </c>
      <c r="L10" s="981"/>
      <c r="M10" s="2193" t="s">
        <v>3133</v>
      </c>
      <c r="N10" s="981"/>
      <c r="O10" s="2193" t="s">
        <v>3124</v>
      </c>
      <c r="P10" s="981"/>
      <c r="Q10" s="2193" t="s">
        <v>3124</v>
      </c>
      <c r="R10" s="981"/>
      <c r="S10" s="2193" t="s">
        <v>3133</v>
      </c>
      <c r="T10" s="981"/>
      <c r="U10" s="2193"/>
      <c r="V10" s="981"/>
      <c r="W10" s="2193"/>
      <c r="X10" s="981"/>
      <c r="Y10" s="2193"/>
      <c r="Z10" s="981"/>
      <c r="AA10" s="2193"/>
      <c r="AB10" s="981"/>
      <c r="AC10" s="1292"/>
      <c r="AD10" s="15" t="s">
        <v>1900</v>
      </c>
      <c r="AE10" s="2194"/>
      <c r="AF10" s="15" t="s">
        <v>1900</v>
      </c>
      <c r="AG10" s="2194"/>
      <c r="AH10" s="15" t="s">
        <v>1901</v>
      </c>
      <c r="AI10" s="2194"/>
      <c r="AJ10" s="15" t="s">
        <v>1901</v>
      </c>
      <c r="AK10" s="2194"/>
      <c r="AL10" s="15" t="s">
        <v>1902</v>
      </c>
      <c r="AM10" s="1298"/>
      <c r="AN10" s="15" t="s">
        <v>1902</v>
      </c>
      <c r="AO10" s="1298"/>
      <c r="AP10" s="15" t="s">
        <v>1903</v>
      </c>
      <c r="AQ10" s="1298"/>
      <c r="AR10" s="15" t="s">
        <v>1903</v>
      </c>
      <c r="AS10" s="1298"/>
      <c r="AT10" s="2178"/>
      <c r="AU10" s="2178"/>
      <c r="AV10" s="1292"/>
      <c r="AW10" s="2161"/>
      <c r="AX10" s="1292"/>
      <c r="AY10" s="28"/>
      <c r="AZ10" s="28"/>
      <c r="BA10" s="2195" t="s">
        <v>1894</v>
      </c>
      <c r="BB10" s="2196" t="str">
        <f>I9</f>
        <v>地上</v>
      </c>
      <c r="BC10" s="29" t="str">
        <f>K9</f>
        <v>地下</v>
      </c>
      <c r="BD10" s="29" t="str">
        <f>M9</f>
        <v>地下</v>
      </c>
      <c r="BE10" s="29" t="str">
        <f>O9</f>
        <v>地上</v>
      </c>
      <c r="BF10" s="29" t="str">
        <f>Q9</f>
        <v>地上</v>
      </c>
      <c r="BG10" s="29" t="str">
        <f>S9</f>
        <v>地上</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3125</v>
      </c>
      <c r="J11" s="2199"/>
      <c r="K11" s="2198" t="s">
        <v>3127</v>
      </c>
      <c r="L11" s="2199"/>
      <c r="M11" s="2198"/>
      <c r="N11" s="2199"/>
      <c r="O11" s="2198" t="s">
        <v>3129</v>
      </c>
      <c r="P11" s="2199"/>
      <c r="Q11" s="2198" t="s">
        <v>3131</v>
      </c>
      <c r="R11" s="2199"/>
      <c r="S11" s="2198"/>
      <c r="T11" s="2199"/>
      <c r="U11" s="2198"/>
      <c r="V11" s="2199"/>
      <c r="W11" s="2198"/>
      <c r="X11" s="2199"/>
      <c r="Y11" s="2198"/>
      <c r="Z11" s="2199"/>
      <c r="AA11" s="2198"/>
      <c r="AB11" s="2199"/>
      <c r="AC11" s="1292"/>
      <c r="AD11" s="2200" t="s">
        <v>1904</v>
      </c>
      <c r="AE11" s="1819"/>
      <c r="AF11" s="2200" t="s">
        <v>1904</v>
      </c>
      <c r="AG11" s="1819"/>
      <c r="AH11" s="2200" t="s">
        <v>1905</v>
      </c>
      <c r="AI11" s="2201"/>
      <c r="AJ11" s="2200" t="s">
        <v>1905</v>
      </c>
      <c r="AK11" s="1819"/>
      <c r="AL11" s="1817"/>
      <c r="AM11" s="1819"/>
      <c r="AN11" s="1817"/>
      <c r="AO11" s="1819"/>
      <c r="AP11" s="1817"/>
      <c r="AQ11" s="1819"/>
      <c r="AR11" s="1817"/>
      <c r="AS11" s="1819"/>
      <c r="AT11" s="2161"/>
      <c r="AU11" s="2178"/>
      <c r="AV11" s="1292"/>
      <c r="AW11" s="2161"/>
      <c r="AX11" s="1292"/>
      <c r="AY11" s="28"/>
      <c r="AZ11" s="28"/>
      <c r="BA11" s="28"/>
      <c r="BB11" s="2183" t="str">
        <f>I10</f>
        <v>住宅</v>
      </c>
      <c r="BC11" s="2183" t="str">
        <f>K10</f>
        <v>住宅</v>
      </c>
      <c r="BD11" s="2183" t="str">
        <f>M10</f>
        <v>车库</v>
      </c>
      <c r="BE11" s="2183" t="str">
        <f>O10</f>
        <v>住宅</v>
      </c>
      <c r="BF11" s="2183" t="str">
        <f>Q10</f>
        <v>住宅</v>
      </c>
      <c r="BG11" s="2183" t="str">
        <f>S10</f>
        <v>车库</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5"/>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叠拼</v>
      </c>
      <c r="BC12" s="2208" t="str">
        <f>K11</f>
        <v>储藏</v>
      </c>
      <c r="BD12" s="2208">
        <f>M11</f>
        <v>0</v>
      </c>
      <c r="BE12" s="2183" t="str">
        <f>O11</f>
        <v>公租房</v>
      </c>
      <c r="BF12" s="2183" t="str">
        <f>Q11</f>
        <v>限价房</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70.5" customHeight="1">
      <c r="A13" s="1272" t="str">
        <f>Sheet1!A3</f>
        <v>《不动产权证书》证号：京（2016）昌平区不动产权第0000033号</v>
      </c>
      <c r="B13" s="1272" t="str">
        <f>Sheet1!A4</f>
        <v>《工程规划许可证》证号：建字第110114201700039号</v>
      </c>
      <c r="C13" s="1272" t="str">
        <f>Sheet1!B8</f>
        <v>1#住宅楼</v>
      </c>
      <c r="D13" s="2209" t="s">
        <v>3143</v>
      </c>
      <c r="E13" s="16">
        <f>IF($C$3="是",ROUND($A$3*G13/$B$3,2),ROUND($A$3*(G13-AT13)/$B$3,2))</f>
        <v>1211.5</v>
      </c>
      <c r="F13" s="32"/>
      <c r="G13" s="33">
        <f>H13+AC13+AT13</f>
        <v>4497.3200000000006</v>
      </c>
      <c r="H13" s="20">
        <f>SUMIF(I$12:AB$12,"总值",I13:AB13)</f>
        <v>4468.5300000000007</v>
      </c>
      <c r="I13" s="2210">
        <f>Sheet1!H8</f>
        <v>2409.2800000000002</v>
      </c>
      <c r="J13" s="2210"/>
      <c r="K13" s="2210">
        <f>Sheet1!I8</f>
        <v>2059.25</v>
      </c>
      <c r="L13" s="2210"/>
      <c r="M13" s="2210"/>
      <c r="N13" s="2210"/>
      <c r="O13" s="2210"/>
      <c r="P13" s="2210"/>
      <c r="Q13" s="2210"/>
      <c r="R13" s="2210"/>
      <c r="S13" s="2210"/>
      <c r="T13" s="2210"/>
      <c r="U13" s="2210"/>
      <c r="V13" s="2210"/>
      <c r="W13" s="2210"/>
      <c r="X13" s="2210"/>
      <c r="Y13" s="2210"/>
      <c r="Z13" s="2210"/>
      <c r="AA13" s="2210"/>
      <c r="AB13" s="2210"/>
      <c r="AC13" s="16">
        <f>SUMIF(AD$12:AS$12,"总值",AD13:AS13)</f>
        <v>28.79</v>
      </c>
      <c r="AD13" s="2211"/>
      <c r="AE13" s="2211"/>
      <c r="AF13" s="2211"/>
      <c r="AG13" s="2211"/>
      <c r="AH13" s="2211"/>
      <c r="AI13" s="2211"/>
      <c r="AJ13" s="2211"/>
      <c r="AK13" s="2211"/>
      <c r="AL13" s="2211"/>
      <c r="AM13" s="2211"/>
      <c r="AN13" s="2211">
        <f>Sheet1!J8</f>
        <v>28.79</v>
      </c>
      <c r="AO13" s="2211"/>
      <c r="AP13" s="2211"/>
      <c r="AQ13" s="2211"/>
      <c r="AR13" s="2211"/>
      <c r="AS13" s="2211"/>
      <c r="AT13" s="2212"/>
      <c r="AU13" s="2213"/>
      <c r="AV13" s="11" t="str">
        <f t="shared" ref="AV13:AX17" si="6">A13</f>
        <v>《不动产权证书》证号：京（2016）昌平区不动产权第0000033号</v>
      </c>
      <c r="AW13" s="11" t="str">
        <f t="shared" si="6"/>
        <v>《工程规划许可证》证号：建字第110114201700039号</v>
      </c>
      <c r="AX13" s="11" t="str">
        <f t="shared" si="6"/>
        <v>1#住宅楼</v>
      </c>
      <c r="AY13" s="180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1272" t="str">
        <f>Sheet1!B9</f>
        <v>2#住宅楼</v>
      </c>
      <c r="D14" s="2209" t="s">
        <v>3143</v>
      </c>
      <c r="E14" s="16">
        <f>IF($C$3="是",ROUND($A$3*G14/$B$3,2),ROUND($A$3*(G14-AT14)/$B$3,2))</f>
        <v>784.61</v>
      </c>
      <c r="F14" s="32"/>
      <c r="G14" s="33">
        <f>H14+AC14+AT14</f>
        <v>2912.62</v>
      </c>
      <c r="H14" s="20">
        <f>SUMIF(I$12:AB$12,"总值",I14:AB14)</f>
        <v>2888.83</v>
      </c>
      <c r="I14" s="2210">
        <f>Sheet1!H9</f>
        <v>1599.06</v>
      </c>
      <c r="J14" s="2210"/>
      <c r="K14" s="2210">
        <f>Sheet1!I9</f>
        <v>1289.77</v>
      </c>
      <c r="L14" s="2210"/>
      <c r="M14" s="2210"/>
      <c r="N14" s="2210"/>
      <c r="O14" s="2210"/>
      <c r="P14" s="2210"/>
      <c r="Q14" s="2210"/>
      <c r="R14" s="2210"/>
      <c r="S14" s="2210"/>
      <c r="T14" s="2210"/>
      <c r="U14" s="2210"/>
      <c r="V14" s="2210"/>
      <c r="W14" s="2210"/>
      <c r="X14" s="2210"/>
      <c r="Y14" s="2210"/>
      <c r="Z14" s="2210"/>
      <c r="AA14" s="2210"/>
      <c r="AB14" s="2210"/>
      <c r="AC14" s="16">
        <f>SUMIF(AD$12:AS$12,"总值",AD14:AS14)</f>
        <v>23.79</v>
      </c>
      <c r="AD14" s="2211"/>
      <c r="AE14" s="2211"/>
      <c r="AF14" s="2211"/>
      <c r="AG14" s="2211"/>
      <c r="AH14" s="2211"/>
      <c r="AI14" s="2211"/>
      <c r="AJ14" s="2211"/>
      <c r="AK14" s="2211"/>
      <c r="AL14" s="2211"/>
      <c r="AM14" s="2211"/>
      <c r="AN14" s="2211">
        <f>Sheet1!J9</f>
        <v>23.79</v>
      </c>
      <c r="AO14" s="2211"/>
      <c r="AP14" s="2211"/>
      <c r="AQ14" s="2211"/>
      <c r="AR14" s="2211"/>
      <c r="AS14" s="2211"/>
      <c r="AT14" s="2212"/>
      <c r="AU14" s="2213"/>
      <c r="AV14" s="11">
        <f t="shared" si="6"/>
        <v>0</v>
      </c>
      <c r="AW14" s="11">
        <f t="shared" si="6"/>
        <v>0</v>
      </c>
      <c r="AX14" s="11" t="str">
        <f t="shared" si="6"/>
        <v>2#住宅楼</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1272" t="str">
        <f>Sheet1!B10</f>
        <v>3#住宅楼</v>
      </c>
      <c r="D15" s="2209" t="s">
        <v>3143</v>
      </c>
      <c r="E15" s="16">
        <f>IF($C$3="是",ROUND($A$3*G15/$B$3,2),ROUND($A$3*(G15-AT15)/$B$3,2))</f>
        <v>711.54</v>
      </c>
      <c r="F15" s="32"/>
      <c r="G15" s="33">
        <f>H15+AC15+AT15</f>
        <v>2641.3799999999997</v>
      </c>
      <c r="H15" s="20">
        <f>SUMIF(I$12:AB$12,"总值",I15:AB15)</f>
        <v>2626.0699999999997</v>
      </c>
      <c r="I15" s="2210">
        <f>Sheet1!H10</f>
        <v>1215.2</v>
      </c>
      <c r="J15" s="2210"/>
      <c r="K15" s="2210">
        <f>Sheet1!I10</f>
        <v>1410.87</v>
      </c>
      <c r="L15" s="2210"/>
      <c r="M15" s="2210"/>
      <c r="N15" s="2210"/>
      <c r="O15" s="2210"/>
      <c r="P15" s="2210"/>
      <c r="Q15" s="2210"/>
      <c r="R15" s="2210"/>
      <c r="S15" s="2210"/>
      <c r="T15" s="2210"/>
      <c r="U15" s="2210"/>
      <c r="V15" s="2210"/>
      <c r="W15" s="2210"/>
      <c r="X15" s="2210"/>
      <c r="Y15" s="2210"/>
      <c r="Z15" s="2210"/>
      <c r="AA15" s="2210"/>
      <c r="AB15" s="2210"/>
      <c r="AC15" s="16">
        <f>SUMIF(AD$12:AS$12,"总值",AD15:AS15)</f>
        <v>15.31</v>
      </c>
      <c r="AD15" s="2211"/>
      <c r="AE15" s="2211"/>
      <c r="AF15" s="2211"/>
      <c r="AG15" s="2211"/>
      <c r="AH15" s="2211"/>
      <c r="AI15" s="2211"/>
      <c r="AJ15" s="2211"/>
      <c r="AK15" s="2211"/>
      <c r="AL15" s="2211"/>
      <c r="AM15" s="2211"/>
      <c r="AN15" s="2211">
        <f>Sheet1!J10</f>
        <v>15.31</v>
      </c>
      <c r="AO15" s="2211"/>
      <c r="AP15" s="2211"/>
      <c r="AQ15" s="2211"/>
      <c r="AR15" s="2211"/>
      <c r="AS15" s="2211"/>
      <c r="AT15" s="2212"/>
      <c r="AU15" s="2213"/>
      <c r="AV15" s="11">
        <f t="shared" si="6"/>
        <v>0</v>
      </c>
      <c r="AW15" s="11">
        <f t="shared" si="6"/>
        <v>0</v>
      </c>
      <c r="AX15" s="11" t="str">
        <f t="shared" si="6"/>
        <v>3#住宅楼</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1272" t="str">
        <f>Sheet1!B11</f>
        <v>4#住宅楼</v>
      </c>
      <c r="D16" s="2209" t="s">
        <v>3143</v>
      </c>
      <c r="E16" s="16">
        <f>IF($C$3="是",ROUND($A$3*G16/$B$3,2),ROUND($A$3*(G16-AT16)/$B$3,2))</f>
        <v>1243.72</v>
      </c>
      <c r="F16" s="32"/>
      <c r="G16" s="33">
        <f>H16+AC16+AT16</f>
        <v>4616.92</v>
      </c>
      <c r="H16" s="20">
        <f>SUMIF(I$12:AB$12,"总值",I16:AB16)</f>
        <v>4601.5</v>
      </c>
      <c r="I16" s="2210">
        <f>Sheet1!H11</f>
        <v>2409.2800000000002</v>
      </c>
      <c r="J16" s="2210"/>
      <c r="K16" s="2210">
        <f>Sheet1!I11</f>
        <v>2192.2199999999998</v>
      </c>
      <c r="L16" s="2210"/>
      <c r="M16" s="2210"/>
      <c r="N16" s="2210"/>
      <c r="O16" s="2210"/>
      <c r="P16" s="2210"/>
      <c r="Q16" s="2210"/>
      <c r="R16" s="2210"/>
      <c r="S16" s="2210"/>
      <c r="T16" s="2210"/>
      <c r="U16" s="2210"/>
      <c r="V16" s="2210"/>
      <c r="W16" s="2210"/>
      <c r="X16" s="2210"/>
      <c r="Y16" s="2210"/>
      <c r="Z16" s="2210"/>
      <c r="AA16" s="2210"/>
      <c r="AB16" s="2210"/>
      <c r="AC16" s="16">
        <f>SUMIF(AD$12:AS$12,"总值",AD16:AS16)</f>
        <v>15.42</v>
      </c>
      <c r="AD16" s="2211"/>
      <c r="AE16" s="2211"/>
      <c r="AF16" s="2211"/>
      <c r="AG16" s="2211"/>
      <c r="AH16" s="2211"/>
      <c r="AI16" s="2211"/>
      <c r="AJ16" s="2211"/>
      <c r="AK16" s="2211"/>
      <c r="AL16" s="2211"/>
      <c r="AM16" s="2211"/>
      <c r="AN16" s="2211">
        <f>Sheet1!J11</f>
        <v>15.42</v>
      </c>
      <c r="AO16" s="2211"/>
      <c r="AP16" s="2211"/>
      <c r="AQ16" s="2211"/>
      <c r="AR16" s="2211"/>
      <c r="AS16" s="2211"/>
      <c r="AT16" s="2212"/>
      <c r="AU16" s="2213"/>
      <c r="AV16" s="11">
        <f t="shared" si="6"/>
        <v>0</v>
      </c>
      <c r="AW16" s="11">
        <f t="shared" si="6"/>
        <v>0</v>
      </c>
      <c r="AX16" s="11" t="str">
        <f t="shared" si="6"/>
        <v>4#住宅楼</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1272" t="str">
        <f>Sheet1!B12</f>
        <v>5#住宅楼</v>
      </c>
      <c r="D17" s="2209" t="s">
        <v>3143</v>
      </c>
      <c r="E17" s="16">
        <f>IF($C$3="是",ROUND($A$3*G17/$B$3,2),ROUND($A$3*(G17-AT17)/$B$3,2))</f>
        <v>1218.75</v>
      </c>
      <c r="F17" s="32"/>
      <c r="G17" s="33">
        <f>H17+AC17+AT17</f>
        <v>4524.2300000000005</v>
      </c>
      <c r="H17" s="20">
        <f>SUMIF(I$12:AB$12,"总值",I17:AB17)</f>
        <v>4508.8100000000004</v>
      </c>
      <c r="I17" s="2210">
        <f>Sheet1!H12</f>
        <v>2409.2800000000002</v>
      </c>
      <c r="J17" s="2210"/>
      <c r="K17" s="2210">
        <f>Sheet1!I12</f>
        <v>2099.5300000000002</v>
      </c>
      <c r="L17" s="2210"/>
      <c r="M17" s="2210"/>
      <c r="N17" s="2210"/>
      <c r="O17" s="2210"/>
      <c r="P17" s="2210"/>
      <c r="Q17" s="2210"/>
      <c r="R17" s="2210"/>
      <c r="S17" s="2210"/>
      <c r="T17" s="2210"/>
      <c r="U17" s="2210"/>
      <c r="V17" s="2210"/>
      <c r="W17" s="2210"/>
      <c r="X17" s="2210"/>
      <c r="Y17" s="2210"/>
      <c r="Z17" s="2210"/>
      <c r="AA17" s="2210"/>
      <c r="AB17" s="2210"/>
      <c r="AC17" s="16">
        <f>SUMIF(AD$12:AS$12,"总值",AD17:AS17)</f>
        <v>15.42</v>
      </c>
      <c r="AD17" s="2211"/>
      <c r="AE17" s="2211"/>
      <c r="AF17" s="2211"/>
      <c r="AG17" s="2211"/>
      <c r="AH17" s="2211"/>
      <c r="AI17" s="2211"/>
      <c r="AJ17" s="2211"/>
      <c r="AK17" s="2211"/>
      <c r="AL17" s="2211"/>
      <c r="AM17" s="2211"/>
      <c r="AN17" s="2211">
        <f>Sheet1!J12</f>
        <v>15.42</v>
      </c>
      <c r="AO17" s="2211"/>
      <c r="AP17" s="2211"/>
      <c r="AQ17" s="2211"/>
      <c r="AR17" s="2211"/>
      <c r="AS17" s="2211"/>
      <c r="AT17" s="2212"/>
      <c r="AU17" s="2213"/>
      <c r="AV17" s="11">
        <f t="shared" si="6"/>
        <v>0</v>
      </c>
      <c r="AW17" s="11">
        <f t="shared" si="6"/>
        <v>0</v>
      </c>
      <c r="AX17" s="11" t="str">
        <f t="shared" si="6"/>
        <v>5#住宅楼</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2" t="str">
        <f>Sheet1!B13</f>
        <v>6#住宅楼</v>
      </c>
      <c r="D18" s="2209" t="s">
        <v>3143</v>
      </c>
      <c r="E18" s="35">
        <f t="shared" ref="E18:E112" si="7">IF($C$3="是",ROUND($A$3*G18/$B$3,2),ROUND($A$3*(G18-AT18)/$B$3,2))</f>
        <v>711.54</v>
      </c>
      <c r="F18" s="36"/>
      <c r="G18" s="37">
        <f t="shared" ref="G18:G109" si="8">H18+AC18+AT18</f>
        <v>2641.3799999999997</v>
      </c>
      <c r="H18" s="38">
        <f t="shared" ref="H18:H109" si="9">SUMIF(I$12:AB$12,"总值",I18:AB18)</f>
        <v>2626.0699999999997</v>
      </c>
      <c r="I18" s="2210">
        <f>Sheet1!H13</f>
        <v>1215.2</v>
      </c>
      <c r="J18" s="39"/>
      <c r="K18" s="2210">
        <f>Sheet1!I13</f>
        <v>1410.87</v>
      </c>
      <c r="L18" s="39"/>
      <c r="M18" s="39"/>
      <c r="N18" s="39"/>
      <c r="O18" s="39"/>
      <c r="P18" s="39"/>
      <c r="Q18" s="39"/>
      <c r="R18" s="39"/>
      <c r="S18" s="39"/>
      <c r="T18" s="39"/>
      <c r="U18" s="39"/>
      <c r="V18" s="39"/>
      <c r="W18" s="39"/>
      <c r="X18" s="39"/>
      <c r="Y18" s="39"/>
      <c r="Z18" s="39"/>
      <c r="AA18" s="39"/>
      <c r="AB18" s="39"/>
      <c r="AC18" s="35">
        <f t="shared" ref="AC18:AC109" si="10">SUMIF(AD$12:AS$12,"总值",AD18:AS18)</f>
        <v>15.31</v>
      </c>
      <c r="AD18" s="40"/>
      <c r="AE18" s="40"/>
      <c r="AF18" s="40"/>
      <c r="AG18" s="40"/>
      <c r="AH18" s="40"/>
      <c r="AI18" s="40"/>
      <c r="AJ18" s="40"/>
      <c r="AK18" s="40"/>
      <c r="AL18" s="40"/>
      <c r="AM18" s="40"/>
      <c r="AN18" s="2211">
        <f>Sheet1!J13</f>
        <v>15.31</v>
      </c>
      <c r="AO18" s="40"/>
      <c r="AP18" s="40"/>
      <c r="AQ18" s="40"/>
      <c r="AR18" s="40"/>
      <c r="AS18" s="40"/>
      <c r="AT18" s="41"/>
      <c r="AU18" s="2215"/>
      <c r="AV18" s="1795">
        <f t="shared" ref="AV18:AV112" si="11">A18</f>
        <v>0</v>
      </c>
      <c r="AW18" s="1795">
        <f t="shared" ref="AW18:AW112" si="12">B18</f>
        <v>0</v>
      </c>
      <c r="AX18" s="1795" t="str">
        <f t="shared" ref="AX18:AX112" si="13">C18</f>
        <v>6#住宅楼</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2" t="str">
        <f>Sheet1!B14</f>
        <v>7#住宅楼</v>
      </c>
      <c r="D19" s="2209" t="s">
        <v>3143</v>
      </c>
      <c r="E19" s="35">
        <f t="shared" si="7"/>
        <v>711.54</v>
      </c>
      <c r="F19" s="36"/>
      <c r="G19" s="37">
        <f t="shared" si="8"/>
        <v>2641.3799999999997</v>
      </c>
      <c r="H19" s="38">
        <f t="shared" si="9"/>
        <v>2626.0699999999997</v>
      </c>
      <c r="I19" s="2210">
        <f>Sheet1!H14</f>
        <v>1215.2</v>
      </c>
      <c r="J19" s="39"/>
      <c r="K19" s="2210">
        <f>Sheet1!I14</f>
        <v>1410.87</v>
      </c>
      <c r="L19" s="39"/>
      <c r="M19" s="39"/>
      <c r="N19" s="39"/>
      <c r="O19" s="39"/>
      <c r="P19" s="39"/>
      <c r="Q19" s="39"/>
      <c r="R19" s="39"/>
      <c r="S19" s="39"/>
      <c r="T19" s="39"/>
      <c r="U19" s="39"/>
      <c r="V19" s="39"/>
      <c r="W19" s="39"/>
      <c r="X19" s="39"/>
      <c r="Y19" s="39"/>
      <c r="Z19" s="39"/>
      <c r="AA19" s="39"/>
      <c r="AB19" s="39"/>
      <c r="AC19" s="35">
        <f t="shared" si="10"/>
        <v>15.31</v>
      </c>
      <c r="AD19" s="40"/>
      <c r="AE19" s="40"/>
      <c r="AF19" s="40"/>
      <c r="AG19" s="40"/>
      <c r="AH19" s="40"/>
      <c r="AI19" s="40"/>
      <c r="AJ19" s="40"/>
      <c r="AK19" s="40"/>
      <c r="AL19" s="40"/>
      <c r="AM19" s="40"/>
      <c r="AN19" s="2211">
        <f>Sheet1!J14</f>
        <v>15.31</v>
      </c>
      <c r="AO19" s="40"/>
      <c r="AP19" s="40"/>
      <c r="AQ19" s="40"/>
      <c r="AR19" s="40"/>
      <c r="AS19" s="40"/>
      <c r="AT19" s="41"/>
      <c r="AU19" s="2215"/>
      <c r="AV19" s="1795">
        <f t="shared" si="11"/>
        <v>0</v>
      </c>
      <c r="AW19" s="1795">
        <f t="shared" si="12"/>
        <v>0</v>
      </c>
      <c r="AX19" s="1795" t="str">
        <f t="shared" si="13"/>
        <v>7#住宅楼</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2" t="str">
        <f>Sheet1!B15</f>
        <v>8#住宅楼</v>
      </c>
      <c r="D20" s="2209" t="s">
        <v>3143</v>
      </c>
      <c r="E20" s="35">
        <f t="shared" si="7"/>
        <v>1220.07</v>
      </c>
      <c r="F20" s="36"/>
      <c r="G20" s="37">
        <f t="shared" si="8"/>
        <v>4529.1100000000006</v>
      </c>
      <c r="H20" s="38">
        <f t="shared" si="9"/>
        <v>4513.6900000000005</v>
      </c>
      <c r="I20" s="2210">
        <f>Sheet1!H15</f>
        <v>2409.2800000000002</v>
      </c>
      <c r="J20" s="39"/>
      <c r="K20" s="2210">
        <f>Sheet1!I15</f>
        <v>2104.41</v>
      </c>
      <c r="L20" s="39"/>
      <c r="M20" s="39"/>
      <c r="N20" s="39"/>
      <c r="O20" s="39"/>
      <c r="P20" s="39"/>
      <c r="Q20" s="39"/>
      <c r="R20" s="39"/>
      <c r="S20" s="39"/>
      <c r="T20" s="39"/>
      <c r="U20" s="39"/>
      <c r="V20" s="39"/>
      <c r="W20" s="39"/>
      <c r="X20" s="39"/>
      <c r="Y20" s="39"/>
      <c r="Z20" s="39"/>
      <c r="AA20" s="39"/>
      <c r="AB20" s="39"/>
      <c r="AC20" s="35">
        <f t="shared" si="10"/>
        <v>15.42</v>
      </c>
      <c r="AD20" s="40"/>
      <c r="AE20" s="40"/>
      <c r="AF20" s="40"/>
      <c r="AG20" s="40"/>
      <c r="AH20" s="40"/>
      <c r="AI20" s="40"/>
      <c r="AJ20" s="40"/>
      <c r="AK20" s="40"/>
      <c r="AL20" s="40"/>
      <c r="AM20" s="40"/>
      <c r="AN20" s="2211">
        <f>Sheet1!J15</f>
        <v>15.42</v>
      </c>
      <c r="AO20" s="40"/>
      <c r="AP20" s="40"/>
      <c r="AQ20" s="40"/>
      <c r="AR20" s="40"/>
      <c r="AS20" s="40"/>
      <c r="AT20" s="41"/>
      <c r="AU20" s="2215"/>
      <c r="AV20" s="1795">
        <f t="shared" si="11"/>
        <v>0</v>
      </c>
      <c r="AW20" s="1795">
        <f t="shared" si="12"/>
        <v>0</v>
      </c>
      <c r="AX20" s="1795" t="str">
        <f t="shared" si="13"/>
        <v>8#住宅楼</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2" t="str">
        <f>Sheet1!B16</f>
        <v>9#住宅楼</v>
      </c>
      <c r="D21" s="2209" t="s">
        <v>3143</v>
      </c>
      <c r="E21" s="35">
        <f t="shared" si="7"/>
        <v>1219.6300000000001</v>
      </c>
      <c r="F21" s="36"/>
      <c r="G21" s="37">
        <f t="shared" si="8"/>
        <v>4527.5</v>
      </c>
      <c r="H21" s="38">
        <f t="shared" si="9"/>
        <v>4512.08</v>
      </c>
      <c r="I21" s="2210">
        <f>Sheet1!H16</f>
        <v>2409.2800000000002</v>
      </c>
      <c r="J21" s="39"/>
      <c r="K21" s="2210">
        <f>Sheet1!I16</f>
        <v>2102.8000000000002</v>
      </c>
      <c r="L21" s="39"/>
      <c r="M21" s="39"/>
      <c r="N21" s="39"/>
      <c r="O21" s="39"/>
      <c r="P21" s="39"/>
      <c r="Q21" s="39"/>
      <c r="R21" s="39"/>
      <c r="S21" s="39"/>
      <c r="T21" s="39"/>
      <c r="U21" s="39"/>
      <c r="V21" s="39"/>
      <c r="W21" s="39"/>
      <c r="X21" s="39"/>
      <c r="Y21" s="39"/>
      <c r="Z21" s="39"/>
      <c r="AA21" s="39"/>
      <c r="AB21" s="39"/>
      <c r="AC21" s="35">
        <f t="shared" si="10"/>
        <v>15.42</v>
      </c>
      <c r="AD21" s="40"/>
      <c r="AE21" s="40"/>
      <c r="AF21" s="40"/>
      <c r="AG21" s="40"/>
      <c r="AH21" s="40"/>
      <c r="AI21" s="40"/>
      <c r="AJ21" s="40"/>
      <c r="AK21" s="40"/>
      <c r="AL21" s="40"/>
      <c r="AM21" s="40"/>
      <c r="AN21" s="2211">
        <f>Sheet1!J16</f>
        <v>15.42</v>
      </c>
      <c r="AO21" s="40"/>
      <c r="AP21" s="40"/>
      <c r="AQ21" s="40"/>
      <c r="AR21" s="40"/>
      <c r="AS21" s="40"/>
      <c r="AT21" s="41"/>
      <c r="AU21" s="2215"/>
      <c r="AV21" s="1795">
        <f t="shared" si="11"/>
        <v>0</v>
      </c>
      <c r="AW21" s="1795">
        <f t="shared" si="12"/>
        <v>0</v>
      </c>
      <c r="AX21" s="1795" t="str">
        <f t="shared" si="13"/>
        <v>9#住宅楼</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2" t="str">
        <f>Sheet1!B17</f>
        <v>10#住宅楼</v>
      </c>
      <c r="D22" s="2209" t="s">
        <v>3143</v>
      </c>
      <c r="E22" s="35">
        <f t="shared" si="7"/>
        <v>711.54</v>
      </c>
      <c r="F22" s="36"/>
      <c r="G22" s="37">
        <f t="shared" si="8"/>
        <v>2641.3799999999997</v>
      </c>
      <c r="H22" s="38">
        <f t="shared" si="9"/>
        <v>2626.0699999999997</v>
      </c>
      <c r="I22" s="2210">
        <f>Sheet1!H17</f>
        <v>1215.2</v>
      </c>
      <c r="J22" s="39"/>
      <c r="K22" s="2210">
        <f>Sheet1!I17</f>
        <v>1410.87</v>
      </c>
      <c r="L22" s="39"/>
      <c r="M22" s="39"/>
      <c r="N22" s="39"/>
      <c r="O22" s="39"/>
      <c r="P22" s="39"/>
      <c r="Q22" s="39"/>
      <c r="R22" s="39"/>
      <c r="S22" s="39"/>
      <c r="T22" s="39"/>
      <c r="U22" s="39"/>
      <c r="V22" s="39"/>
      <c r="W22" s="39"/>
      <c r="X22" s="39"/>
      <c r="Y22" s="39"/>
      <c r="Z22" s="39"/>
      <c r="AA22" s="39"/>
      <c r="AB22" s="39"/>
      <c r="AC22" s="35">
        <f t="shared" si="10"/>
        <v>15.31</v>
      </c>
      <c r="AD22" s="40"/>
      <c r="AE22" s="40"/>
      <c r="AF22" s="40"/>
      <c r="AG22" s="40"/>
      <c r="AH22" s="40"/>
      <c r="AI22" s="40"/>
      <c r="AJ22" s="40"/>
      <c r="AK22" s="40"/>
      <c r="AL22" s="40"/>
      <c r="AM22" s="40"/>
      <c r="AN22" s="2211">
        <f>Sheet1!J17</f>
        <v>15.31</v>
      </c>
      <c r="AO22" s="40"/>
      <c r="AP22" s="40"/>
      <c r="AQ22" s="40"/>
      <c r="AR22" s="40"/>
      <c r="AS22" s="40"/>
      <c r="AT22" s="41"/>
      <c r="AU22" s="2215"/>
      <c r="AV22" s="1795">
        <f t="shared" si="11"/>
        <v>0</v>
      </c>
      <c r="AW22" s="1795">
        <f t="shared" si="12"/>
        <v>0</v>
      </c>
      <c r="AX22" s="1795" t="str">
        <f t="shared" si="13"/>
        <v>10#住宅楼</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2" t="str">
        <f>Sheet1!B18</f>
        <v>11#住宅楼</v>
      </c>
      <c r="D23" s="2209" t="s">
        <v>3143</v>
      </c>
      <c r="E23" s="35">
        <f t="shared" si="7"/>
        <v>665.65</v>
      </c>
      <c r="F23" s="36"/>
      <c r="G23" s="37">
        <f t="shared" si="8"/>
        <v>2471.0099999999998</v>
      </c>
      <c r="H23" s="38">
        <f t="shared" si="9"/>
        <v>2455.6999999999998</v>
      </c>
      <c r="I23" s="2210">
        <f>Sheet1!H18</f>
        <v>1215.2</v>
      </c>
      <c r="J23" s="39"/>
      <c r="K23" s="2210">
        <f>Sheet1!I18</f>
        <v>1240.5</v>
      </c>
      <c r="L23" s="39"/>
      <c r="M23" s="39"/>
      <c r="N23" s="39"/>
      <c r="O23" s="39"/>
      <c r="P23" s="39"/>
      <c r="Q23" s="39"/>
      <c r="R23" s="39"/>
      <c r="S23" s="39"/>
      <c r="T23" s="39"/>
      <c r="U23" s="39"/>
      <c r="V23" s="39"/>
      <c r="W23" s="39"/>
      <c r="X23" s="39"/>
      <c r="Y23" s="39"/>
      <c r="Z23" s="39"/>
      <c r="AA23" s="39"/>
      <c r="AB23" s="39"/>
      <c r="AC23" s="35">
        <f t="shared" si="10"/>
        <v>15.31</v>
      </c>
      <c r="AD23" s="40"/>
      <c r="AE23" s="40"/>
      <c r="AF23" s="40"/>
      <c r="AG23" s="40"/>
      <c r="AH23" s="40"/>
      <c r="AI23" s="40"/>
      <c r="AJ23" s="40"/>
      <c r="AK23" s="40"/>
      <c r="AL23" s="40"/>
      <c r="AM23" s="40"/>
      <c r="AN23" s="2211">
        <f>Sheet1!J18</f>
        <v>15.31</v>
      </c>
      <c r="AO23" s="40"/>
      <c r="AP23" s="40"/>
      <c r="AQ23" s="40"/>
      <c r="AR23" s="40"/>
      <c r="AS23" s="40"/>
      <c r="AT23" s="41"/>
      <c r="AU23" s="2215"/>
      <c r="AV23" s="1795">
        <f t="shared" si="11"/>
        <v>0</v>
      </c>
      <c r="AW23" s="1795">
        <f t="shared" si="12"/>
        <v>0</v>
      </c>
      <c r="AX23" s="1795" t="str">
        <f t="shared" si="13"/>
        <v>11#住宅楼</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2" t="str">
        <f>Sheet1!B19</f>
        <v>12#住宅楼</v>
      </c>
      <c r="D24" s="2209" t="s">
        <v>3143</v>
      </c>
      <c r="E24" s="35">
        <f t="shared" si="7"/>
        <v>818.44</v>
      </c>
      <c r="F24" s="36"/>
      <c r="G24" s="37">
        <f t="shared" si="8"/>
        <v>3038.19</v>
      </c>
      <c r="H24" s="38">
        <f t="shared" si="9"/>
        <v>3014.54</v>
      </c>
      <c r="I24" s="2210">
        <f>Sheet1!H19</f>
        <v>1617.3</v>
      </c>
      <c r="J24" s="39"/>
      <c r="K24" s="2210">
        <f>Sheet1!I19</f>
        <v>1397.24</v>
      </c>
      <c r="L24" s="39"/>
      <c r="M24" s="39"/>
      <c r="N24" s="39"/>
      <c r="O24" s="39"/>
      <c r="P24" s="39"/>
      <c r="Q24" s="39"/>
      <c r="R24" s="39"/>
      <c r="S24" s="39"/>
      <c r="T24" s="39"/>
      <c r="U24" s="39"/>
      <c r="V24" s="39"/>
      <c r="W24" s="39"/>
      <c r="X24" s="39"/>
      <c r="Y24" s="39"/>
      <c r="Z24" s="39"/>
      <c r="AA24" s="39"/>
      <c r="AB24" s="39"/>
      <c r="AC24" s="35">
        <f t="shared" si="10"/>
        <v>23.65</v>
      </c>
      <c r="AD24" s="40"/>
      <c r="AE24" s="40"/>
      <c r="AF24" s="40"/>
      <c r="AG24" s="40"/>
      <c r="AH24" s="40"/>
      <c r="AI24" s="40"/>
      <c r="AJ24" s="40"/>
      <c r="AK24" s="40"/>
      <c r="AL24" s="40"/>
      <c r="AM24" s="40"/>
      <c r="AN24" s="2211">
        <f>Sheet1!J19</f>
        <v>23.65</v>
      </c>
      <c r="AO24" s="40"/>
      <c r="AP24" s="40"/>
      <c r="AQ24" s="40"/>
      <c r="AR24" s="40"/>
      <c r="AS24" s="40"/>
      <c r="AT24" s="41"/>
      <c r="AU24" s="2215"/>
      <c r="AV24" s="1795">
        <f t="shared" si="11"/>
        <v>0</v>
      </c>
      <c r="AW24" s="1795">
        <f t="shared" si="12"/>
        <v>0</v>
      </c>
      <c r="AX24" s="1795" t="str">
        <f t="shared" si="13"/>
        <v>12#住宅楼</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2" t="str">
        <f>Sheet1!B20</f>
        <v>13#住宅楼</v>
      </c>
      <c r="D25" s="2209" t="s">
        <v>3143</v>
      </c>
      <c r="E25" s="35">
        <f t="shared" si="7"/>
        <v>858.71</v>
      </c>
      <c r="F25" s="36"/>
      <c r="G25" s="37">
        <f t="shared" si="8"/>
        <v>3187.67</v>
      </c>
      <c r="H25" s="38">
        <f t="shared" si="9"/>
        <v>3164.02</v>
      </c>
      <c r="I25" s="2210">
        <f>Sheet1!H20</f>
        <v>1617.3</v>
      </c>
      <c r="J25" s="39"/>
      <c r="K25" s="2210">
        <f>Sheet1!I20</f>
        <v>1546.72</v>
      </c>
      <c r="L25" s="39"/>
      <c r="M25" s="39"/>
      <c r="N25" s="39"/>
      <c r="O25" s="39"/>
      <c r="P25" s="39"/>
      <c r="Q25" s="39"/>
      <c r="R25" s="39"/>
      <c r="S25" s="39"/>
      <c r="T25" s="39"/>
      <c r="U25" s="39"/>
      <c r="V25" s="39"/>
      <c r="W25" s="39"/>
      <c r="X25" s="39"/>
      <c r="Y25" s="39"/>
      <c r="Z25" s="39"/>
      <c r="AA25" s="39"/>
      <c r="AB25" s="39"/>
      <c r="AC25" s="35">
        <f t="shared" si="10"/>
        <v>23.65</v>
      </c>
      <c r="AD25" s="40"/>
      <c r="AE25" s="40"/>
      <c r="AF25" s="40"/>
      <c r="AG25" s="40"/>
      <c r="AH25" s="40"/>
      <c r="AI25" s="40"/>
      <c r="AJ25" s="40"/>
      <c r="AK25" s="40"/>
      <c r="AL25" s="40"/>
      <c r="AM25" s="40"/>
      <c r="AN25" s="2211">
        <f>Sheet1!J20</f>
        <v>23.65</v>
      </c>
      <c r="AO25" s="40"/>
      <c r="AP25" s="40"/>
      <c r="AQ25" s="40"/>
      <c r="AR25" s="40"/>
      <c r="AS25" s="40"/>
      <c r="AT25" s="41"/>
      <c r="AU25" s="2215"/>
      <c r="AV25" s="1795">
        <f t="shared" si="11"/>
        <v>0</v>
      </c>
      <c r="AW25" s="1795">
        <f t="shared" si="12"/>
        <v>0</v>
      </c>
      <c r="AX25" s="1795" t="str">
        <f t="shared" si="13"/>
        <v>13#住宅楼</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2" t="str">
        <f>Sheet1!B21</f>
        <v>14#住宅楼</v>
      </c>
      <c r="D26" s="2209" t="s">
        <v>3143</v>
      </c>
      <c r="E26" s="35">
        <f t="shared" si="7"/>
        <v>738.26</v>
      </c>
      <c r="F26" s="36"/>
      <c r="G26" s="37">
        <f t="shared" si="8"/>
        <v>2740.57</v>
      </c>
      <c r="H26" s="38">
        <f t="shared" si="9"/>
        <v>2712.48</v>
      </c>
      <c r="I26" s="2210">
        <f>Sheet1!H21</f>
        <v>1215.2</v>
      </c>
      <c r="J26" s="39"/>
      <c r="K26" s="2210">
        <f>Sheet1!I21</f>
        <v>1497.28</v>
      </c>
      <c r="L26" s="39"/>
      <c r="M26" s="39"/>
      <c r="N26" s="39"/>
      <c r="O26" s="39"/>
      <c r="P26" s="39"/>
      <c r="Q26" s="39"/>
      <c r="R26" s="39"/>
      <c r="S26" s="39"/>
      <c r="T26" s="39"/>
      <c r="U26" s="39"/>
      <c r="V26" s="39"/>
      <c r="W26" s="39"/>
      <c r="X26" s="39"/>
      <c r="Y26" s="39"/>
      <c r="Z26" s="39"/>
      <c r="AA26" s="39"/>
      <c r="AB26" s="39"/>
      <c r="AC26" s="35">
        <f t="shared" si="10"/>
        <v>28.09</v>
      </c>
      <c r="AD26" s="40"/>
      <c r="AE26" s="40"/>
      <c r="AF26" s="40"/>
      <c r="AG26" s="40"/>
      <c r="AH26" s="40"/>
      <c r="AI26" s="40"/>
      <c r="AJ26" s="40"/>
      <c r="AK26" s="40"/>
      <c r="AL26" s="40"/>
      <c r="AM26" s="40"/>
      <c r="AN26" s="2211">
        <f>Sheet1!J21</f>
        <v>28.09</v>
      </c>
      <c r="AO26" s="40"/>
      <c r="AP26" s="40"/>
      <c r="AQ26" s="40"/>
      <c r="AR26" s="40"/>
      <c r="AS26" s="40"/>
      <c r="AT26" s="41"/>
      <c r="AU26" s="2215"/>
      <c r="AV26" s="1795">
        <f t="shared" si="11"/>
        <v>0</v>
      </c>
      <c r="AW26" s="1795">
        <f t="shared" si="12"/>
        <v>0</v>
      </c>
      <c r="AX26" s="1795" t="str">
        <f t="shared" si="13"/>
        <v>14#住宅楼</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2" t="str">
        <f>Sheet1!B22</f>
        <v>15#住宅楼</v>
      </c>
      <c r="D27" s="2209" t="s">
        <v>3143</v>
      </c>
      <c r="E27" s="35">
        <f t="shared" si="7"/>
        <v>665.65</v>
      </c>
      <c r="F27" s="36"/>
      <c r="G27" s="37">
        <f t="shared" si="8"/>
        <v>2471.0099999999998</v>
      </c>
      <c r="H27" s="38">
        <f t="shared" si="9"/>
        <v>2455.6999999999998</v>
      </c>
      <c r="I27" s="2210">
        <f>Sheet1!H22</f>
        <v>1215.2</v>
      </c>
      <c r="J27" s="39"/>
      <c r="K27" s="2210">
        <f>Sheet1!I22</f>
        <v>1240.5</v>
      </c>
      <c r="L27" s="39"/>
      <c r="M27" s="39"/>
      <c r="N27" s="39"/>
      <c r="O27" s="39"/>
      <c r="P27" s="39"/>
      <c r="Q27" s="39"/>
      <c r="R27" s="39"/>
      <c r="S27" s="39"/>
      <c r="T27" s="39"/>
      <c r="U27" s="39"/>
      <c r="V27" s="39"/>
      <c r="W27" s="39"/>
      <c r="X27" s="39"/>
      <c r="Y27" s="39"/>
      <c r="Z27" s="39"/>
      <c r="AA27" s="39"/>
      <c r="AB27" s="39"/>
      <c r="AC27" s="35">
        <f t="shared" si="10"/>
        <v>15.31</v>
      </c>
      <c r="AD27" s="40"/>
      <c r="AE27" s="40"/>
      <c r="AF27" s="40"/>
      <c r="AG27" s="40"/>
      <c r="AH27" s="40"/>
      <c r="AI27" s="40"/>
      <c r="AJ27" s="40"/>
      <c r="AK27" s="40"/>
      <c r="AL27" s="40"/>
      <c r="AM27" s="40"/>
      <c r="AN27" s="2211">
        <f>Sheet1!J22</f>
        <v>15.31</v>
      </c>
      <c r="AO27" s="40"/>
      <c r="AP27" s="40"/>
      <c r="AQ27" s="40"/>
      <c r="AR27" s="40"/>
      <c r="AS27" s="40"/>
      <c r="AT27" s="41"/>
      <c r="AU27" s="2215"/>
      <c r="AV27" s="1795">
        <f t="shared" si="11"/>
        <v>0</v>
      </c>
      <c r="AW27" s="1795">
        <f t="shared" si="12"/>
        <v>0</v>
      </c>
      <c r="AX27" s="1795" t="str">
        <f t="shared" si="13"/>
        <v>15#住宅楼</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2" t="str">
        <f>Sheet1!B23</f>
        <v>16#住宅楼</v>
      </c>
      <c r="D28" s="2209" t="s">
        <v>3143</v>
      </c>
      <c r="E28" s="35">
        <f t="shared" si="7"/>
        <v>858.71</v>
      </c>
      <c r="F28" s="36"/>
      <c r="G28" s="37">
        <f t="shared" si="8"/>
        <v>3187.67</v>
      </c>
      <c r="H28" s="38">
        <f t="shared" si="9"/>
        <v>3164.02</v>
      </c>
      <c r="I28" s="2210">
        <f>Sheet1!H23</f>
        <v>1617.3</v>
      </c>
      <c r="J28" s="39"/>
      <c r="K28" s="2210">
        <f>Sheet1!I23</f>
        <v>1546.72</v>
      </c>
      <c r="L28" s="39"/>
      <c r="M28" s="39"/>
      <c r="N28" s="39"/>
      <c r="O28" s="39"/>
      <c r="P28" s="39"/>
      <c r="Q28" s="39"/>
      <c r="R28" s="39"/>
      <c r="S28" s="39"/>
      <c r="T28" s="39"/>
      <c r="U28" s="39"/>
      <c r="V28" s="39"/>
      <c r="W28" s="39"/>
      <c r="X28" s="39"/>
      <c r="Y28" s="39"/>
      <c r="Z28" s="39"/>
      <c r="AA28" s="39"/>
      <c r="AB28" s="39"/>
      <c r="AC28" s="35">
        <f t="shared" si="10"/>
        <v>23.65</v>
      </c>
      <c r="AD28" s="40"/>
      <c r="AE28" s="40"/>
      <c r="AF28" s="40"/>
      <c r="AG28" s="40"/>
      <c r="AH28" s="40"/>
      <c r="AI28" s="40"/>
      <c r="AJ28" s="40"/>
      <c r="AK28" s="40"/>
      <c r="AL28" s="40"/>
      <c r="AM28" s="40"/>
      <c r="AN28" s="2211">
        <f>Sheet1!J23</f>
        <v>23.65</v>
      </c>
      <c r="AO28" s="40"/>
      <c r="AP28" s="40"/>
      <c r="AQ28" s="40"/>
      <c r="AR28" s="40"/>
      <c r="AS28" s="40"/>
      <c r="AT28" s="41"/>
      <c r="AU28" s="2215"/>
      <c r="AV28" s="1795">
        <f t="shared" si="11"/>
        <v>0</v>
      </c>
      <c r="AW28" s="1795">
        <f t="shared" si="12"/>
        <v>0</v>
      </c>
      <c r="AX28" s="1795" t="str">
        <f t="shared" si="13"/>
        <v>16#住宅楼</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2" t="str">
        <f>Sheet1!B24</f>
        <v>17#住宅楼</v>
      </c>
      <c r="D29" s="2209" t="s">
        <v>3143</v>
      </c>
      <c r="E29" s="35">
        <f t="shared" si="7"/>
        <v>823.61</v>
      </c>
      <c r="F29" s="36"/>
      <c r="G29" s="37">
        <f t="shared" si="8"/>
        <v>3057.39</v>
      </c>
      <c r="H29" s="38">
        <f t="shared" si="9"/>
        <v>3036.31</v>
      </c>
      <c r="I29" s="2210">
        <f>Sheet1!H24</f>
        <v>1617.3</v>
      </c>
      <c r="J29" s="39"/>
      <c r="K29" s="2210">
        <f>Sheet1!I24</f>
        <v>1419.01</v>
      </c>
      <c r="L29" s="39"/>
      <c r="M29" s="39"/>
      <c r="N29" s="39"/>
      <c r="O29" s="39"/>
      <c r="P29" s="39"/>
      <c r="Q29" s="39"/>
      <c r="R29" s="39"/>
      <c r="S29" s="39"/>
      <c r="T29" s="39"/>
      <c r="U29" s="39"/>
      <c r="V29" s="39"/>
      <c r="W29" s="39"/>
      <c r="X29" s="39"/>
      <c r="Y29" s="39"/>
      <c r="Z29" s="39"/>
      <c r="AA29" s="39"/>
      <c r="AB29" s="39"/>
      <c r="AC29" s="35">
        <f t="shared" si="10"/>
        <v>21.08</v>
      </c>
      <c r="AD29" s="40"/>
      <c r="AE29" s="40"/>
      <c r="AF29" s="40"/>
      <c r="AG29" s="40"/>
      <c r="AH29" s="40"/>
      <c r="AI29" s="40"/>
      <c r="AJ29" s="40"/>
      <c r="AK29" s="40"/>
      <c r="AL29" s="40"/>
      <c r="AM29" s="40"/>
      <c r="AN29" s="2211">
        <f>Sheet1!J24</f>
        <v>21.08</v>
      </c>
      <c r="AO29" s="40"/>
      <c r="AP29" s="40"/>
      <c r="AQ29" s="40"/>
      <c r="AR29" s="40"/>
      <c r="AS29" s="40"/>
      <c r="AT29" s="41"/>
      <c r="AU29" s="2215"/>
      <c r="AV29" s="1795">
        <f t="shared" si="11"/>
        <v>0</v>
      </c>
      <c r="AW29" s="1795">
        <f t="shared" si="12"/>
        <v>0</v>
      </c>
      <c r="AX29" s="1795" t="str">
        <f t="shared" si="13"/>
        <v>17#住宅楼</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72" t="str">
        <f>Sheet1!B25</f>
        <v>18#住宅楼</v>
      </c>
      <c r="D30" s="2209" t="s">
        <v>3143</v>
      </c>
      <c r="E30" s="35">
        <f t="shared" si="7"/>
        <v>695.81</v>
      </c>
      <c r="F30" s="36"/>
      <c r="G30" s="37">
        <f t="shared" si="8"/>
        <v>2582.9700000000003</v>
      </c>
      <c r="H30" s="38">
        <f t="shared" si="9"/>
        <v>2554.88</v>
      </c>
      <c r="I30" s="2210">
        <f>Sheet1!H25</f>
        <v>1215.2</v>
      </c>
      <c r="J30" s="39"/>
      <c r="K30" s="2210">
        <f>Sheet1!I25</f>
        <v>1339.68</v>
      </c>
      <c r="L30" s="39"/>
      <c r="M30" s="39"/>
      <c r="N30" s="39"/>
      <c r="O30" s="39"/>
      <c r="P30" s="39"/>
      <c r="Q30" s="39"/>
      <c r="R30" s="39"/>
      <c r="S30" s="39"/>
      <c r="T30" s="39"/>
      <c r="U30" s="39"/>
      <c r="V30" s="39"/>
      <c r="W30" s="39"/>
      <c r="X30" s="39"/>
      <c r="Y30" s="39"/>
      <c r="Z30" s="39"/>
      <c r="AA30" s="39"/>
      <c r="AB30" s="39"/>
      <c r="AC30" s="35">
        <f t="shared" si="10"/>
        <v>28.09</v>
      </c>
      <c r="AD30" s="40"/>
      <c r="AE30" s="40"/>
      <c r="AF30" s="40"/>
      <c r="AG30" s="40"/>
      <c r="AH30" s="40"/>
      <c r="AI30" s="40"/>
      <c r="AJ30" s="40"/>
      <c r="AK30" s="40"/>
      <c r="AL30" s="40"/>
      <c r="AM30" s="40"/>
      <c r="AN30" s="2211">
        <f>Sheet1!J25</f>
        <v>28.09</v>
      </c>
      <c r="AO30" s="40"/>
      <c r="AP30" s="40"/>
      <c r="AQ30" s="40"/>
      <c r="AR30" s="40"/>
      <c r="AS30" s="40"/>
      <c r="AT30" s="41"/>
      <c r="AU30" s="2215"/>
      <c r="AV30" s="1795">
        <f t="shared" si="11"/>
        <v>0</v>
      </c>
      <c r="AW30" s="1795">
        <f t="shared" si="12"/>
        <v>0</v>
      </c>
      <c r="AX30" s="1795" t="str">
        <f t="shared" si="13"/>
        <v>18#住宅楼</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4.25" customHeight="1">
      <c r="A31" s="1272"/>
      <c r="B31" s="2969"/>
      <c r="C31" s="1272" t="str">
        <f>Sheet1!B27</f>
        <v>地下车库</v>
      </c>
      <c r="D31" s="2209" t="s">
        <v>3143</v>
      </c>
      <c r="E31" s="35">
        <f t="shared" si="7"/>
        <v>3317.74</v>
      </c>
      <c r="F31" s="36"/>
      <c r="G31" s="37">
        <f t="shared" si="8"/>
        <v>12316.06</v>
      </c>
      <c r="H31" s="38">
        <f t="shared" si="9"/>
        <v>12316.06</v>
      </c>
      <c r="I31" s="39"/>
      <c r="J31" s="39"/>
      <c r="K31" s="2210"/>
      <c r="L31" s="39"/>
      <c r="M31" s="2210">
        <f>Sheet1!E28</f>
        <v>12316.06</v>
      </c>
      <c r="N31" s="2210"/>
      <c r="O31" s="2210"/>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2211"/>
      <c r="AO31" s="40"/>
      <c r="AP31" s="40"/>
      <c r="AQ31" s="40"/>
      <c r="AR31" s="40"/>
      <c r="AS31" s="40"/>
      <c r="AT31" s="2212"/>
      <c r="AU31" s="2215"/>
      <c r="AV31" s="1795">
        <f t="shared" ref="AV31:AV40" si="36">A31</f>
        <v>0</v>
      </c>
      <c r="AW31" s="1795">
        <f t="shared" si="12"/>
        <v>0</v>
      </c>
      <c r="AX31" s="1795" t="str">
        <f t="shared" si="13"/>
        <v>地下车库</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72" customHeight="1">
      <c r="A32" s="1272" t="str">
        <f>Sheet1!A3</f>
        <v>《不动产权证书》证号：京（2016）昌平区不动产权第0000033号</v>
      </c>
      <c r="B32" s="2969" t="str">
        <f>Sheet1!A31</f>
        <v>《工程规划许可证》证号：建字第110114201600097号</v>
      </c>
      <c r="C32" s="1272" t="str">
        <f>Sheet1!B35</f>
        <v>19#住宅楼</v>
      </c>
      <c r="D32" s="2209" t="s">
        <v>3115</v>
      </c>
      <c r="E32" s="35">
        <f t="shared" si="7"/>
        <v>1648.77</v>
      </c>
      <c r="F32" s="36"/>
      <c r="G32" s="37">
        <f t="shared" si="8"/>
        <v>6120.5200000000168</v>
      </c>
      <c r="H32" s="38">
        <f t="shared" si="9"/>
        <v>5499.530000000017</v>
      </c>
      <c r="I32" s="39"/>
      <c r="J32" s="39"/>
      <c r="K32" s="2210">
        <f>Sheet1!M35</f>
        <v>3567.61</v>
      </c>
      <c r="L32" s="39"/>
      <c r="M32" s="2210">
        <f>Sheet1!Q35</f>
        <v>0</v>
      </c>
      <c r="N32" s="2210"/>
      <c r="O32" s="2210">
        <f>Sheet1!G35</f>
        <v>0</v>
      </c>
      <c r="P32" s="39"/>
      <c r="Q32" s="2210">
        <f>Sheet1!H35-'[1]东地块-限价房'!$J$1003</f>
        <v>1931.9200000000164</v>
      </c>
      <c r="R32" s="39"/>
      <c r="S32" s="39"/>
      <c r="T32" s="39"/>
      <c r="U32" s="39"/>
      <c r="V32" s="39"/>
      <c r="W32" s="39"/>
      <c r="X32" s="39"/>
      <c r="Y32" s="39"/>
      <c r="Z32" s="39"/>
      <c r="AA32" s="39"/>
      <c r="AB32" s="39"/>
      <c r="AC32" s="35">
        <f t="shared" si="10"/>
        <v>620.99</v>
      </c>
      <c r="AD32" s="2211">
        <f>Sheet1!I35</f>
        <v>155.69</v>
      </c>
      <c r="AE32" s="2211"/>
      <c r="AF32" s="2211">
        <f>Sheet1!L35</f>
        <v>75.739999999999995</v>
      </c>
      <c r="AG32" s="40"/>
      <c r="AH32" s="40"/>
      <c r="AI32" s="40"/>
      <c r="AJ32" s="40"/>
      <c r="AK32" s="40"/>
      <c r="AL32" s="40"/>
      <c r="AM32" s="40"/>
      <c r="AN32" s="2211">
        <f>Sheet1!N35</f>
        <v>389.56</v>
      </c>
      <c r="AO32" s="40"/>
      <c r="AP32" s="40"/>
      <c r="AQ32" s="40"/>
      <c r="AR32" s="40"/>
      <c r="AS32" s="40"/>
      <c r="AT32" s="2212">
        <f>Sheet1!J35+Sheet1!K35+Sheet1!O35+Sheet1!P35</f>
        <v>0</v>
      </c>
      <c r="AU32" s="2215"/>
      <c r="AV32" s="1795" t="str">
        <f t="shared" si="36"/>
        <v>《不动产权证书》证号：京（2016）昌平区不动产权第0000033号</v>
      </c>
      <c r="AW32" s="1795" t="str">
        <f t="shared" si="12"/>
        <v>《工程规划许可证》证号：建字第110114201600097号</v>
      </c>
      <c r="AX32" s="1795" t="str">
        <f t="shared" si="13"/>
        <v>19#住宅楼</v>
      </c>
      <c r="AY32" s="42">
        <f t="shared" si="14"/>
        <v>1648.77</v>
      </c>
      <c r="AZ32" s="35">
        <f t="shared" si="15"/>
        <v>6120.5200000000168</v>
      </c>
      <c r="BA32" s="35">
        <f t="shared" si="16"/>
        <v>5499.530000000017</v>
      </c>
      <c r="BB32" s="35">
        <f t="shared" si="17"/>
        <v>0</v>
      </c>
      <c r="BC32" s="35">
        <f t="shared" si="18"/>
        <v>3567.61</v>
      </c>
      <c r="BD32" s="35">
        <f t="shared" si="19"/>
        <v>0</v>
      </c>
      <c r="BE32" s="35">
        <f t="shared" si="20"/>
        <v>0</v>
      </c>
      <c r="BF32" s="35">
        <f t="shared" si="21"/>
        <v>1931.9200000000164</v>
      </c>
      <c r="BG32" s="35">
        <f t="shared" si="22"/>
        <v>0</v>
      </c>
      <c r="BH32" s="35">
        <f t="shared" si="23"/>
        <v>0</v>
      </c>
      <c r="BI32" s="35">
        <f t="shared" si="24"/>
        <v>0</v>
      </c>
      <c r="BJ32" s="35">
        <f t="shared" si="25"/>
        <v>0</v>
      </c>
      <c r="BK32" s="35">
        <f t="shared" si="26"/>
        <v>0</v>
      </c>
      <c r="BL32" s="35">
        <f t="shared" si="27"/>
        <v>620.99</v>
      </c>
      <c r="BM32" s="35">
        <f t="shared" si="28"/>
        <v>155.69</v>
      </c>
      <c r="BN32" s="35">
        <f t="shared" si="29"/>
        <v>75.739999999999995</v>
      </c>
      <c r="BO32" s="35">
        <f t="shared" si="30"/>
        <v>0</v>
      </c>
      <c r="BP32" s="35">
        <f t="shared" si="31"/>
        <v>0</v>
      </c>
      <c r="BQ32" s="35">
        <f t="shared" si="32"/>
        <v>0</v>
      </c>
      <c r="BR32" s="35">
        <f t="shared" si="33"/>
        <v>389.56</v>
      </c>
      <c r="BS32" s="35">
        <f t="shared" si="34"/>
        <v>0</v>
      </c>
      <c r="BT32" s="43">
        <f t="shared" si="35"/>
        <v>0</v>
      </c>
    </row>
    <row r="33" spans="1:72">
      <c r="A33" s="9"/>
      <c r="B33" s="34"/>
      <c r="C33" s="1272" t="str">
        <f>Sheet1!B36</f>
        <v>20#住宅楼</v>
      </c>
      <c r="D33" s="2209" t="s">
        <v>3115</v>
      </c>
      <c r="E33" s="35">
        <f t="shared" si="7"/>
        <v>2301.54</v>
      </c>
      <c r="F33" s="36"/>
      <c r="G33" s="37">
        <f t="shared" si="8"/>
        <v>8543.7399999999543</v>
      </c>
      <c r="H33" s="38">
        <f t="shared" si="9"/>
        <v>7250.9799999999532</v>
      </c>
      <c r="I33" s="39"/>
      <c r="J33" s="39"/>
      <c r="K33" s="2210">
        <f>Sheet1!M36</f>
        <v>5062.28</v>
      </c>
      <c r="L33" s="39"/>
      <c r="M33" s="2210">
        <f>Sheet1!Q36</f>
        <v>0</v>
      </c>
      <c r="N33" s="2210"/>
      <c r="O33" s="2210">
        <f>Sheet1!G36</f>
        <v>0</v>
      </c>
      <c r="P33" s="39"/>
      <c r="Q33" s="2210">
        <f>Sheet1!H36-'[1]东地块-限价房'!$J$1004</f>
        <v>2188.6999999999534</v>
      </c>
      <c r="R33" s="39"/>
      <c r="S33" s="39"/>
      <c r="T33" s="39"/>
      <c r="U33" s="39"/>
      <c r="V33" s="39"/>
      <c r="W33" s="39"/>
      <c r="X33" s="39"/>
      <c r="Y33" s="39"/>
      <c r="Z33" s="39"/>
      <c r="AA33" s="39"/>
      <c r="AB33" s="39"/>
      <c r="AC33" s="35">
        <f t="shared" si="10"/>
        <v>1264.0700000000002</v>
      </c>
      <c r="AD33" s="2211">
        <f>Sheet1!I36</f>
        <v>622.69000000000005</v>
      </c>
      <c r="AE33" s="2211"/>
      <c r="AF33" s="2211">
        <f>Sheet1!L36</f>
        <v>99.3</v>
      </c>
      <c r="AG33" s="40"/>
      <c r="AH33" s="40"/>
      <c r="AI33" s="40"/>
      <c r="AJ33" s="40"/>
      <c r="AK33" s="40"/>
      <c r="AL33" s="40"/>
      <c r="AM33" s="40"/>
      <c r="AN33" s="2211">
        <f>Sheet1!N36</f>
        <v>542.08000000000004</v>
      </c>
      <c r="AO33" s="40"/>
      <c r="AP33" s="40"/>
      <c r="AQ33" s="40"/>
      <c r="AR33" s="40"/>
      <c r="AS33" s="40"/>
      <c r="AT33" s="2212">
        <f>Sheet1!J36+Sheet1!K36+Sheet1!O36+Sheet1!P36</f>
        <v>28.69</v>
      </c>
      <c r="AU33" s="2215"/>
      <c r="AV33" s="1795">
        <f t="shared" si="36"/>
        <v>0</v>
      </c>
      <c r="AW33" s="1795">
        <f t="shared" si="12"/>
        <v>0</v>
      </c>
      <c r="AX33" s="1795" t="str">
        <f t="shared" si="13"/>
        <v>20#住宅楼</v>
      </c>
      <c r="AY33" s="42">
        <f t="shared" si="14"/>
        <v>2293.81</v>
      </c>
      <c r="AZ33" s="35">
        <f t="shared" si="15"/>
        <v>8515.0499999999538</v>
      </c>
      <c r="BA33" s="35">
        <f t="shared" si="16"/>
        <v>7250.9799999999532</v>
      </c>
      <c r="BB33" s="35">
        <f t="shared" si="17"/>
        <v>0</v>
      </c>
      <c r="BC33" s="35">
        <f t="shared" si="18"/>
        <v>5062.28</v>
      </c>
      <c r="BD33" s="35">
        <f t="shared" si="19"/>
        <v>0</v>
      </c>
      <c r="BE33" s="35">
        <f t="shared" si="20"/>
        <v>0</v>
      </c>
      <c r="BF33" s="35">
        <f t="shared" si="21"/>
        <v>2188.6999999999534</v>
      </c>
      <c r="BG33" s="35">
        <f t="shared" si="22"/>
        <v>0</v>
      </c>
      <c r="BH33" s="35">
        <f t="shared" si="23"/>
        <v>0</v>
      </c>
      <c r="BI33" s="35">
        <f t="shared" si="24"/>
        <v>0</v>
      </c>
      <c r="BJ33" s="35">
        <f t="shared" si="25"/>
        <v>0</v>
      </c>
      <c r="BK33" s="35">
        <f t="shared" si="26"/>
        <v>0</v>
      </c>
      <c r="BL33" s="35">
        <f t="shared" si="27"/>
        <v>1264.0700000000002</v>
      </c>
      <c r="BM33" s="35">
        <f t="shared" si="28"/>
        <v>622.69000000000005</v>
      </c>
      <c r="BN33" s="35">
        <f t="shared" si="29"/>
        <v>99.3</v>
      </c>
      <c r="BO33" s="35">
        <f t="shared" si="30"/>
        <v>0</v>
      </c>
      <c r="BP33" s="35">
        <f t="shared" si="31"/>
        <v>0</v>
      </c>
      <c r="BQ33" s="35">
        <f t="shared" si="32"/>
        <v>0</v>
      </c>
      <c r="BR33" s="35">
        <f t="shared" si="33"/>
        <v>542.08000000000004</v>
      </c>
      <c r="BS33" s="35">
        <f t="shared" si="34"/>
        <v>0</v>
      </c>
      <c r="BT33" s="43">
        <f t="shared" si="35"/>
        <v>0</v>
      </c>
    </row>
    <row r="34" spans="1:72">
      <c r="A34" s="9"/>
      <c r="B34" s="34"/>
      <c r="C34" s="1272" t="str">
        <f>Sheet1!B37</f>
        <v>21#住宅楼</v>
      </c>
      <c r="D34" s="2209" t="s">
        <v>3115</v>
      </c>
      <c r="E34" s="35">
        <f t="shared" si="7"/>
        <v>2478.15</v>
      </c>
      <c r="F34" s="36"/>
      <c r="G34" s="37">
        <f t="shared" si="8"/>
        <v>9199.3499999999985</v>
      </c>
      <c r="H34" s="38">
        <f t="shared" si="9"/>
        <v>6682.8799999999992</v>
      </c>
      <c r="I34" s="39"/>
      <c r="J34" s="39"/>
      <c r="K34" s="2210">
        <f>Sheet1!M37</f>
        <v>3514.81</v>
      </c>
      <c r="L34" s="39"/>
      <c r="M34" s="2210">
        <f>Sheet1!Q37</f>
        <v>0</v>
      </c>
      <c r="N34" s="2210"/>
      <c r="O34" s="2210">
        <f>Sheet1!G37</f>
        <v>0</v>
      </c>
      <c r="P34" s="39"/>
      <c r="Q34" s="2210">
        <f>Sheet1!H37-'[1]东地块-限价房'!$J$1005</f>
        <v>3168.0699999999997</v>
      </c>
      <c r="R34" s="39"/>
      <c r="S34" s="39"/>
      <c r="T34" s="39"/>
      <c r="U34" s="39"/>
      <c r="V34" s="39"/>
      <c r="W34" s="39"/>
      <c r="X34" s="39"/>
      <c r="Y34" s="39"/>
      <c r="Z34" s="39"/>
      <c r="AA34" s="39"/>
      <c r="AB34" s="39"/>
      <c r="AC34" s="35">
        <f t="shared" si="10"/>
        <v>634.03</v>
      </c>
      <c r="AD34" s="2211">
        <f>Sheet1!I37</f>
        <v>160.6</v>
      </c>
      <c r="AE34" s="2211"/>
      <c r="AF34" s="2211">
        <f>Sheet1!L37</f>
        <v>80.3</v>
      </c>
      <c r="AG34" s="40"/>
      <c r="AH34" s="40"/>
      <c r="AI34" s="40"/>
      <c r="AJ34" s="40"/>
      <c r="AK34" s="40"/>
      <c r="AL34" s="40"/>
      <c r="AM34" s="40"/>
      <c r="AN34" s="2211">
        <f>Sheet1!N37</f>
        <v>393.13</v>
      </c>
      <c r="AO34" s="40"/>
      <c r="AP34" s="40"/>
      <c r="AQ34" s="40"/>
      <c r="AR34" s="40"/>
      <c r="AS34" s="40"/>
      <c r="AT34" s="2212">
        <f>Sheet1!J37+Sheet1!K37+Sheet1!O37+Sheet1!P37</f>
        <v>1882.4399999999998</v>
      </c>
      <c r="AU34" s="2215"/>
      <c r="AV34" s="1795">
        <f t="shared" si="36"/>
        <v>0</v>
      </c>
      <c r="AW34" s="1795">
        <f t="shared" si="12"/>
        <v>0</v>
      </c>
      <c r="AX34" s="1795" t="str">
        <f t="shared" si="13"/>
        <v>21#住宅楼</v>
      </c>
      <c r="AY34" s="42">
        <f t="shared" si="14"/>
        <v>1971.05</v>
      </c>
      <c r="AZ34" s="35">
        <f t="shared" si="15"/>
        <v>7316.9099999999989</v>
      </c>
      <c r="BA34" s="35">
        <f t="shared" si="16"/>
        <v>6682.8799999999992</v>
      </c>
      <c r="BB34" s="35">
        <f t="shared" si="17"/>
        <v>0</v>
      </c>
      <c r="BC34" s="35">
        <f t="shared" si="18"/>
        <v>3514.81</v>
      </c>
      <c r="BD34" s="35">
        <f t="shared" si="19"/>
        <v>0</v>
      </c>
      <c r="BE34" s="35">
        <f t="shared" si="20"/>
        <v>0</v>
      </c>
      <c r="BF34" s="35">
        <f t="shared" si="21"/>
        <v>3168.0699999999997</v>
      </c>
      <c r="BG34" s="35">
        <f t="shared" si="22"/>
        <v>0</v>
      </c>
      <c r="BH34" s="35">
        <f t="shared" si="23"/>
        <v>0</v>
      </c>
      <c r="BI34" s="35">
        <f t="shared" si="24"/>
        <v>0</v>
      </c>
      <c r="BJ34" s="35">
        <f t="shared" si="25"/>
        <v>0</v>
      </c>
      <c r="BK34" s="35">
        <f t="shared" si="26"/>
        <v>0</v>
      </c>
      <c r="BL34" s="35">
        <f t="shared" si="27"/>
        <v>634.03</v>
      </c>
      <c r="BM34" s="35">
        <f t="shared" si="28"/>
        <v>160.6</v>
      </c>
      <c r="BN34" s="35">
        <f t="shared" si="29"/>
        <v>80.3</v>
      </c>
      <c r="BO34" s="35">
        <f t="shared" si="30"/>
        <v>0</v>
      </c>
      <c r="BP34" s="35">
        <f t="shared" si="31"/>
        <v>0</v>
      </c>
      <c r="BQ34" s="35">
        <f t="shared" si="32"/>
        <v>0</v>
      </c>
      <c r="BR34" s="35">
        <f t="shared" si="33"/>
        <v>393.13</v>
      </c>
      <c r="BS34" s="35">
        <f t="shared" si="34"/>
        <v>0</v>
      </c>
      <c r="BT34" s="43">
        <f t="shared" si="35"/>
        <v>0</v>
      </c>
    </row>
    <row r="35" spans="1:72">
      <c r="A35" s="9"/>
      <c r="B35" s="34"/>
      <c r="C35" s="1272" t="str">
        <f>Sheet1!B38</f>
        <v>22#住宅楼</v>
      </c>
      <c r="D35" s="2209" t="s">
        <v>3115</v>
      </c>
      <c r="E35" s="35">
        <f t="shared" si="7"/>
        <v>2619.44</v>
      </c>
      <c r="F35" s="36"/>
      <c r="G35" s="37">
        <f t="shared" si="8"/>
        <v>9723.8199999999979</v>
      </c>
      <c r="H35" s="38">
        <f t="shared" si="9"/>
        <v>9265.159999999998</v>
      </c>
      <c r="I35" s="39"/>
      <c r="J35" s="39"/>
      <c r="K35" s="2210">
        <f>Sheet1!M38</f>
        <v>1204.5899999999999</v>
      </c>
      <c r="L35" s="39"/>
      <c r="M35" s="2210">
        <f>Sheet1!Q38</f>
        <v>2367.02</v>
      </c>
      <c r="N35" s="2210"/>
      <c r="O35" s="2210">
        <f>Sheet1!G38</f>
        <v>4623.6400000000003</v>
      </c>
      <c r="P35" s="39"/>
      <c r="Q35" s="2210">
        <f>Sheet1!H38-'[1]东地块-限价房'!$J$1006</f>
        <v>1069.909999999998</v>
      </c>
      <c r="R35" s="39"/>
      <c r="S35" s="39"/>
      <c r="T35" s="39"/>
      <c r="U35" s="39"/>
      <c r="V35" s="39"/>
      <c r="W35" s="39"/>
      <c r="X35" s="39"/>
      <c r="Y35" s="39"/>
      <c r="Z35" s="39"/>
      <c r="AA35" s="39"/>
      <c r="AB35" s="39"/>
      <c r="AC35" s="35">
        <f t="shared" si="10"/>
        <v>458.66</v>
      </c>
      <c r="AD35" s="2211">
        <f>Sheet1!I38</f>
        <v>0</v>
      </c>
      <c r="AE35" s="2211"/>
      <c r="AF35" s="2211">
        <f>Sheet1!L38</f>
        <v>0</v>
      </c>
      <c r="AG35" s="40"/>
      <c r="AH35" s="40"/>
      <c r="AI35" s="40"/>
      <c r="AJ35" s="40"/>
      <c r="AK35" s="40"/>
      <c r="AL35" s="40"/>
      <c r="AM35" s="40"/>
      <c r="AN35" s="2211">
        <f>Sheet1!N38</f>
        <v>458.66</v>
      </c>
      <c r="AO35" s="40"/>
      <c r="AP35" s="40"/>
      <c r="AQ35" s="40"/>
      <c r="AR35" s="40"/>
      <c r="AS35" s="40"/>
      <c r="AT35" s="2212">
        <f>Sheet1!J38+Sheet1!K38+Sheet1!O38+Sheet1!P38</f>
        <v>0</v>
      </c>
      <c r="AU35" s="2215"/>
      <c r="AV35" s="1795">
        <f t="shared" si="36"/>
        <v>0</v>
      </c>
      <c r="AW35" s="1795">
        <f t="shared" si="12"/>
        <v>0</v>
      </c>
      <c r="AX35" s="1795" t="str">
        <f t="shared" si="13"/>
        <v>22#住宅楼</v>
      </c>
      <c r="AY35" s="42">
        <f t="shared" si="14"/>
        <v>2619.44</v>
      </c>
      <c r="AZ35" s="35">
        <f t="shared" si="15"/>
        <v>9723.8199999999979</v>
      </c>
      <c r="BA35" s="35">
        <f t="shared" si="16"/>
        <v>9265.159999999998</v>
      </c>
      <c r="BB35" s="35">
        <f t="shared" si="17"/>
        <v>0</v>
      </c>
      <c r="BC35" s="35">
        <f t="shared" si="18"/>
        <v>1204.5899999999999</v>
      </c>
      <c r="BD35" s="35">
        <f t="shared" si="19"/>
        <v>2367.02</v>
      </c>
      <c r="BE35" s="35">
        <f t="shared" si="20"/>
        <v>4623.6400000000003</v>
      </c>
      <c r="BF35" s="35">
        <f t="shared" si="21"/>
        <v>1069.909999999998</v>
      </c>
      <c r="BG35" s="35">
        <f t="shared" si="22"/>
        <v>0</v>
      </c>
      <c r="BH35" s="35">
        <f t="shared" si="23"/>
        <v>0</v>
      </c>
      <c r="BI35" s="35">
        <f t="shared" si="24"/>
        <v>0</v>
      </c>
      <c r="BJ35" s="35">
        <f t="shared" si="25"/>
        <v>0</v>
      </c>
      <c r="BK35" s="35">
        <f t="shared" si="26"/>
        <v>0</v>
      </c>
      <c r="BL35" s="35">
        <f t="shared" si="27"/>
        <v>458.66</v>
      </c>
      <c r="BM35" s="35">
        <f t="shared" si="28"/>
        <v>0</v>
      </c>
      <c r="BN35" s="35">
        <f t="shared" si="29"/>
        <v>0</v>
      </c>
      <c r="BO35" s="35">
        <f t="shared" si="30"/>
        <v>0</v>
      </c>
      <c r="BP35" s="35">
        <f t="shared" si="31"/>
        <v>0</v>
      </c>
      <c r="BQ35" s="35">
        <f t="shared" si="32"/>
        <v>0</v>
      </c>
      <c r="BR35" s="35">
        <f t="shared" si="33"/>
        <v>458.66</v>
      </c>
      <c r="BS35" s="35">
        <f t="shared" si="34"/>
        <v>0</v>
      </c>
      <c r="BT35" s="43">
        <f t="shared" si="35"/>
        <v>0</v>
      </c>
    </row>
    <row r="36" spans="1:72">
      <c r="A36" s="9"/>
      <c r="B36" s="34"/>
      <c r="C36" s="1272" t="str">
        <f>Sheet1!B39</f>
        <v>23#住宅楼</v>
      </c>
      <c r="D36" s="2209" t="s">
        <v>3115</v>
      </c>
      <c r="E36" s="35">
        <f t="shared" si="7"/>
        <v>4087.23</v>
      </c>
      <c r="F36" s="36"/>
      <c r="G36" s="37">
        <f t="shared" si="8"/>
        <v>15172.52</v>
      </c>
      <c r="H36" s="38">
        <f t="shared" si="9"/>
        <v>13103.13</v>
      </c>
      <c r="I36" s="39"/>
      <c r="J36" s="39"/>
      <c r="K36" s="2210">
        <f>Sheet1!M39</f>
        <v>0</v>
      </c>
      <c r="L36" s="39"/>
      <c r="M36" s="2210">
        <f>Sheet1!Q39</f>
        <v>752.67</v>
      </c>
      <c r="N36" s="2210"/>
      <c r="O36" s="2210">
        <f>Sheet1!G39</f>
        <v>12350.46</v>
      </c>
      <c r="P36" s="39"/>
      <c r="Q36" s="2210">
        <f>Sheet1!H39</f>
        <v>0</v>
      </c>
      <c r="R36" s="39"/>
      <c r="S36" s="39"/>
      <c r="T36" s="39"/>
      <c r="U36" s="39"/>
      <c r="V36" s="39"/>
      <c r="W36" s="39"/>
      <c r="X36" s="39"/>
      <c r="Y36" s="39"/>
      <c r="Z36" s="39"/>
      <c r="AA36" s="39"/>
      <c r="AB36" s="39"/>
      <c r="AC36" s="35">
        <f t="shared" si="10"/>
        <v>1126.8000000000002</v>
      </c>
      <c r="AD36" s="2211">
        <f>Sheet1!I39</f>
        <v>224.82</v>
      </c>
      <c r="AE36" s="2211"/>
      <c r="AF36" s="2211">
        <f>Sheet1!L39</f>
        <v>575.62</v>
      </c>
      <c r="AG36" s="40"/>
      <c r="AH36" s="40"/>
      <c r="AI36" s="40"/>
      <c r="AJ36" s="40"/>
      <c r="AK36" s="40"/>
      <c r="AL36" s="40"/>
      <c r="AM36" s="40"/>
      <c r="AN36" s="2211">
        <f>Sheet1!N39</f>
        <v>326.36</v>
      </c>
      <c r="AO36" s="40"/>
      <c r="AP36" s="40"/>
      <c r="AQ36" s="40"/>
      <c r="AR36" s="40"/>
      <c r="AS36" s="40"/>
      <c r="AT36" s="2212">
        <f>Sheet1!J39+Sheet1!K39+Sheet1!O39+Sheet1!P39</f>
        <v>942.59</v>
      </c>
      <c r="AU36" s="2215"/>
      <c r="AV36" s="1795">
        <f t="shared" si="36"/>
        <v>0</v>
      </c>
      <c r="AW36" s="1795">
        <f t="shared" si="12"/>
        <v>0</v>
      </c>
      <c r="AX36" s="1795" t="str">
        <f t="shared" si="13"/>
        <v>23#住宅楼</v>
      </c>
      <c r="AY36" s="42">
        <f t="shared" si="14"/>
        <v>3833.31</v>
      </c>
      <c r="AZ36" s="35">
        <f t="shared" si="15"/>
        <v>14229.93</v>
      </c>
      <c r="BA36" s="35">
        <f t="shared" si="16"/>
        <v>13103.13</v>
      </c>
      <c r="BB36" s="35">
        <f t="shared" si="17"/>
        <v>0</v>
      </c>
      <c r="BC36" s="35">
        <f t="shared" si="18"/>
        <v>0</v>
      </c>
      <c r="BD36" s="35">
        <f t="shared" si="19"/>
        <v>752.67</v>
      </c>
      <c r="BE36" s="35">
        <f t="shared" si="20"/>
        <v>12350.46</v>
      </c>
      <c r="BF36" s="35">
        <f t="shared" si="21"/>
        <v>0</v>
      </c>
      <c r="BG36" s="35">
        <f t="shared" si="22"/>
        <v>0</v>
      </c>
      <c r="BH36" s="35">
        <f t="shared" si="23"/>
        <v>0</v>
      </c>
      <c r="BI36" s="35">
        <f t="shared" si="24"/>
        <v>0</v>
      </c>
      <c r="BJ36" s="35">
        <f t="shared" si="25"/>
        <v>0</v>
      </c>
      <c r="BK36" s="35">
        <f t="shared" si="26"/>
        <v>0</v>
      </c>
      <c r="BL36" s="35">
        <f t="shared" si="27"/>
        <v>1126.8000000000002</v>
      </c>
      <c r="BM36" s="35">
        <f t="shared" si="28"/>
        <v>224.82</v>
      </c>
      <c r="BN36" s="35">
        <f t="shared" si="29"/>
        <v>575.62</v>
      </c>
      <c r="BO36" s="35">
        <f t="shared" si="30"/>
        <v>0</v>
      </c>
      <c r="BP36" s="35">
        <f t="shared" si="31"/>
        <v>0</v>
      </c>
      <c r="BQ36" s="35">
        <f t="shared" si="32"/>
        <v>0</v>
      </c>
      <c r="BR36" s="35">
        <f t="shared" si="33"/>
        <v>326.36</v>
      </c>
      <c r="BS36" s="35">
        <f t="shared" si="34"/>
        <v>0</v>
      </c>
      <c r="BT36" s="43">
        <f t="shared" si="35"/>
        <v>0</v>
      </c>
    </row>
    <row r="37" spans="1:72">
      <c r="A37" s="9"/>
      <c r="B37" s="34"/>
      <c r="C37" s="1272" t="str">
        <f>Sheet1!B40</f>
        <v>24#住宅楼</v>
      </c>
      <c r="D37" s="2209" t="s">
        <v>3115</v>
      </c>
      <c r="E37" s="35">
        <f t="shared" si="7"/>
        <v>4069.25</v>
      </c>
      <c r="F37" s="36"/>
      <c r="G37" s="37">
        <f t="shared" si="8"/>
        <v>15105.800000000001</v>
      </c>
      <c r="H37" s="38">
        <f t="shared" si="9"/>
        <v>14849.36</v>
      </c>
      <c r="I37" s="39"/>
      <c r="J37" s="39"/>
      <c r="K37" s="2210">
        <f>Sheet1!M40</f>
        <v>722.54</v>
      </c>
      <c r="L37" s="39"/>
      <c r="M37" s="2210">
        <f>Sheet1!Q40</f>
        <v>1551.54</v>
      </c>
      <c r="N37" s="39"/>
      <c r="O37" s="2210">
        <f>Sheet1!G40</f>
        <v>12575.28</v>
      </c>
      <c r="P37" s="39"/>
      <c r="Q37" s="2210">
        <f>Sheet1!H40</f>
        <v>0</v>
      </c>
      <c r="R37" s="39"/>
      <c r="S37" s="39"/>
      <c r="T37" s="39"/>
      <c r="U37" s="39"/>
      <c r="V37" s="39"/>
      <c r="W37" s="39"/>
      <c r="X37" s="39"/>
      <c r="Y37" s="39"/>
      <c r="Z37" s="39"/>
      <c r="AA37" s="39"/>
      <c r="AB37" s="39"/>
      <c r="AC37" s="35">
        <f t="shared" si="10"/>
        <v>256.44</v>
      </c>
      <c r="AD37" s="2211">
        <f>Sheet1!I40</f>
        <v>0</v>
      </c>
      <c r="AE37" s="2211"/>
      <c r="AF37" s="2211">
        <f>Sheet1!L40</f>
        <v>0</v>
      </c>
      <c r="AG37" s="40"/>
      <c r="AH37" s="40"/>
      <c r="AI37" s="40"/>
      <c r="AJ37" s="40"/>
      <c r="AK37" s="40"/>
      <c r="AL37" s="2211"/>
      <c r="AM37" s="2211"/>
      <c r="AN37" s="2211">
        <f>Sheet1!N40</f>
        <v>256.44</v>
      </c>
      <c r="AO37" s="40"/>
      <c r="AP37" s="40"/>
      <c r="AQ37" s="40"/>
      <c r="AR37" s="40"/>
      <c r="AS37" s="40"/>
      <c r="AT37" s="2212">
        <f>Sheet1!J40+Sheet1!K40+Sheet1!O40+Sheet1!P40</f>
        <v>0</v>
      </c>
      <c r="AU37" s="2215"/>
      <c r="AV37" s="1795">
        <f t="shared" si="36"/>
        <v>0</v>
      </c>
      <c r="AW37" s="1795">
        <f t="shared" si="12"/>
        <v>0</v>
      </c>
      <c r="AX37" s="1795" t="str">
        <f t="shared" si="13"/>
        <v>24#住宅楼</v>
      </c>
      <c r="AY37" s="42">
        <f t="shared" si="14"/>
        <v>4069.25</v>
      </c>
      <c r="AZ37" s="35">
        <f t="shared" si="15"/>
        <v>15105.800000000001</v>
      </c>
      <c r="BA37" s="35">
        <f t="shared" si="16"/>
        <v>14849.36</v>
      </c>
      <c r="BB37" s="35">
        <f t="shared" si="17"/>
        <v>0</v>
      </c>
      <c r="BC37" s="35">
        <f t="shared" si="18"/>
        <v>722.54</v>
      </c>
      <c r="BD37" s="35">
        <f t="shared" si="19"/>
        <v>1551.54</v>
      </c>
      <c r="BE37" s="35">
        <f t="shared" si="20"/>
        <v>12575.28</v>
      </c>
      <c r="BF37" s="35">
        <f t="shared" si="21"/>
        <v>0</v>
      </c>
      <c r="BG37" s="35">
        <f t="shared" si="22"/>
        <v>0</v>
      </c>
      <c r="BH37" s="35">
        <f t="shared" si="23"/>
        <v>0</v>
      </c>
      <c r="BI37" s="35">
        <f t="shared" si="24"/>
        <v>0</v>
      </c>
      <c r="BJ37" s="35">
        <f t="shared" si="25"/>
        <v>0</v>
      </c>
      <c r="BK37" s="35">
        <f t="shared" si="26"/>
        <v>0</v>
      </c>
      <c r="BL37" s="35">
        <f t="shared" si="27"/>
        <v>256.44</v>
      </c>
      <c r="BM37" s="35">
        <f t="shared" si="28"/>
        <v>0</v>
      </c>
      <c r="BN37" s="35">
        <f t="shared" si="29"/>
        <v>0</v>
      </c>
      <c r="BO37" s="35">
        <f t="shared" si="30"/>
        <v>0</v>
      </c>
      <c r="BP37" s="35">
        <f t="shared" si="31"/>
        <v>0</v>
      </c>
      <c r="BQ37" s="35">
        <f t="shared" si="32"/>
        <v>0</v>
      </c>
      <c r="BR37" s="35">
        <f t="shared" si="33"/>
        <v>256.44</v>
      </c>
      <c r="BS37" s="35">
        <f t="shared" si="34"/>
        <v>0</v>
      </c>
      <c r="BT37" s="43">
        <f t="shared" si="35"/>
        <v>0</v>
      </c>
    </row>
    <row r="38" spans="1:72">
      <c r="A38" s="9"/>
      <c r="B38" s="34"/>
      <c r="C38" s="2969" t="str">
        <f>Sheet1!B44</f>
        <v>开闭站</v>
      </c>
      <c r="D38" s="2209" t="s">
        <v>3115</v>
      </c>
      <c r="E38" s="35">
        <f t="shared" si="7"/>
        <v>114.95</v>
      </c>
      <c r="F38" s="36"/>
      <c r="G38" s="37">
        <f t="shared" si="8"/>
        <v>426.73</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426.73</v>
      </c>
      <c r="AD38" s="40"/>
      <c r="AE38" s="40"/>
      <c r="AF38" s="40"/>
      <c r="AG38" s="40"/>
      <c r="AH38" s="40"/>
      <c r="AI38" s="40"/>
      <c r="AJ38" s="40"/>
      <c r="AK38" s="40"/>
      <c r="AL38" s="2211">
        <f>Sheet1!D44</f>
        <v>285.61</v>
      </c>
      <c r="AM38" s="40"/>
      <c r="AN38" s="2211">
        <f>Sheet1!E44</f>
        <v>141.12</v>
      </c>
      <c r="AO38" s="40"/>
      <c r="AP38" s="40"/>
      <c r="AQ38" s="40"/>
      <c r="AR38" s="40"/>
      <c r="AS38" s="40"/>
      <c r="AT38" s="41"/>
      <c r="AU38" s="2215"/>
      <c r="AV38" s="1795">
        <f t="shared" si="36"/>
        <v>0</v>
      </c>
      <c r="AW38" s="1795">
        <f t="shared" si="12"/>
        <v>0</v>
      </c>
      <c r="AX38" s="1795" t="str">
        <f t="shared" si="13"/>
        <v>开闭站</v>
      </c>
      <c r="AY38" s="42">
        <f t="shared" si="14"/>
        <v>114.95</v>
      </c>
      <c r="AZ38" s="35">
        <f t="shared" si="15"/>
        <v>426.73</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426.73</v>
      </c>
      <c r="BM38" s="35">
        <f t="shared" si="28"/>
        <v>0</v>
      </c>
      <c r="BN38" s="35">
        <f t="shared" si="29"/>
        <v>0</v>
      </c>
      <c r="BO38" s="35">
        <f t="shared" si="30"/>
        <v>0</v>
      </c>
      <c r="BP38" s="35">
        <f t="shared" si="31"/>
        <v>0</v>
      </c>
      <c r="BQ38" s="35">
        <f t="shared" si="32"/>
        <v>285.61</v>
      </c>
      <c r="BR38" s="35">
        <f t="shared" si="33"/>
        <v>141.12</v>
      </c>
      <c r="BS38" s="35">
        <f t="shared" si="34"/>
        <v>0</v>
      </c>
      <c r="BT38" s="43">
        <f t="shared" si="35"/>
        <v>0</v>
      </c>
    </row>
    <row r="39" spans="1:72">
      <c r="A39" s="9"/>
      <c r="B39" s="34"/>
      <c r="C39" s="2969" t="str">
        <f>Sheet1!B45</f>
        <v>地下车库</v>
      </c>
      <c r="D39" s="2209" t="s">
        <v>3115</v>
      </c>
      <c r="E39" s="35">
        <f t="shared" si="7"/>
        <v>9171.2999999999993</v>
      </c>
      <c r="F39" s="36"/>
      <c r="G39" s="37">
        <f t="shared" si="8"/>
        <v>34045.5</v>
      </c>
      <c r="H39" s="38">
        <f t="shared" si="9"/>
        <v>22076.719999999998</v>
      </c>
      <c r="I39" s="39"/>
      <c r="J39" s="39"/>
      <c r="K39" s="39"/>
      <c r="L39" s="39"/>
      <c r="M39" s="2210">
        <f>Sheet1!H45</f>
        <v>22008.37</v>
      </c>
      <c r="N39" s="39"/>
      <c r="O39" s="39"/>
      <c r="P39" s="39"/>
      <c r="Q39" s="39"/>
      <c r="R39" s="39"/>
      <c r="S39" s="2210">
        <f>Sheet1!G45</f>
        <v>68.349999999999994</v>
      </c>
      <c r="T39" s="39"/>
      <c r="U39" s="39"/>
      <c r="V39" s="39"/>
      <c r="W39" s="39"/>
      <c r="X39" s="39"/>
      <c r="Y39" s="39"/>
      <c r="Z39" s="39"/>
      <c r="AA39" s="39"/>
      <c r="AB39" s="39"/>
      <c r="AC39" s="35">
        <f t="shared" si="10"/>
        <v>1700.2</v>
      </c>
      <c r="AD39" s="40"/>
      <c r="AE39" s="40"/>
      <c r="AF39" s="40"/>
      <c r="AG39" s="40"/>
      <c r="AH39" s="40"/>
      <c r="AI39" s="40"/>
      <c r="AJ39" s="40"/>
      <c r="AK39" s="40"/>
      <c r="AL39" s="40"/>
      <c r="AM39" s="40"/>
      <c r="AN39" s="2211">
        <f>Sheet1!I45</f>
        <v>1700.2</v>
      </c>
      <c r="AO39" s="40"/>
      <c r="AP39" s="40"/>
      <c r="AQ39" s="40"/>
      <c r="AR39" s="40"/>
      <c r="AS39" s="40"/>
      <c r="AT39" s="2212">
        <f>Sheet1!J45</f>
        <v>10268.58</v>
      </c>
      <c r="AU39" s="2215"/>
      <c r="AV39" s="1795">
        <f t="shared" si="36"/>
        <v>0</v>
      </c>
      <c r="AW39" s="1795">
        <f t="shared" si="12"/>
        <v>0</v>
      </c>
      <c r="AX39" s="1795" t="str">
        <f t="shared" si="13"/>
        <v>地下车库</v>
      </c>
      <c r="AY39" s="42">
        <f t="shared" si="14"/>
        <v>6405.11</v>
      </c>
      <c r="AZ39" s="35">
        <f t="shared" si="15"/>
        <v>23776.92</v>
      </c>
      <c r="BA39" s="35">
        <f t="shared" si="16"/>
        <v>22076.719999999998</v>
      </c>
      <c r="BB39" s="35">
        <f t="shared" si="17"/>
        <v>0</v>
      </c>
      <c r="BC39" s="35">
        <f t="shared" si="18"/>
        <v>0</v>
      </c>
      <c r="BD39" s="35">
        <f t="shared" si="19"/>
        <v>22008.37</v>
      </c>
      <c r="BE39" s="35">
        <f t="shared" si="20"/>
        <v>0</v>
      </c>
      <c r="BF39" s="35">
        <f t="shared" si="21"/>
        <v>0</v>
      </c>
      <c r="BG39" s="35">
        <f t="shared" si="22"/>
        <v>68.349999999999994</v>
      </c>
      <c r="BH39" s="35">
        <f t="shared" si="23"/>
        <v>0</v>
      </c>
      <c r="BI39" s="35">
        <f t="shared" si="24"/>
        <v>0</v>
      </c>
      <c r="BJ39" s="35">
        <f t="shared" si="25"/>
        <v>0</v>
      </c>
      <c r="BK39" s="35">
        <f t="shared" si="26"/>
        <v>0</v>
      </c>
      <c r="BL39" s="35">
        <f t="shared" si="27"/>
        <v>1700.2</v>
      </c>
      <c r="BM39" s="35">
        <f t="shared" si="28"/>
        <v>0</v>
      </c>
      <c r="BN39" s="35">
        <f t="shared" si="29"/>
        <v>0</v>
      </c>
      <c r="BO39" s="35">
        <f t="shared" si="30"/>
        <v>0</v>
      </c>
      <c r="BP39" s="35">
        <f t="shared" si="31"/>
        <v>0</v>
      </c>
      <c r="BQ39" s="35">
        <f t="shared" si="32"/>
        <v>0</v>
      </c>
      <c r="BR39" s="35">
        <f t="shared" si="33"/>
        <v>1700.2</v>
      </c>
      <c r="BS39" s="35">
        <f t="shared" si="34"/>
        <v>0</v>
      </c>
      <c r="BT39" s="43">
        <f t="shared" si="35"/>
        <v>0</v>
      </c>
    </row>
    <row r="40" spans="1:72" ht="28.5">
      <c r="A40" s="9"/>
      <c r="B40" s="34"/>
      <c r="C40" s="2969" t="str">
        <f>Sheet1!B46</f>
        <v>人防出入口</v>
      </c>
      <c r="D40" s="2209" t="s">
        <v>3115</v>
      </c>
      <c r="E40" s="35">
        <f t="shared" si="7"/>
        <v>41.69</v>
      </c>
      <c r="F40" s="36"/>
      <c r="G40" s="37">
        <f t="shared" si="8"/>
        <v>154.76</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2212">
        <f>Sheet1!D46</f>
        <v>154.76</v>
      </c>
      <c r="AU40" s="2215"/>
      <c r="AV40" s="1795">
        <f t="shared" si="36"/>
        <v>0</v>
      </c>
      <c r="AW40" s="1795">
        <f t="shared" si="12"/>
        <v>0</v>
      </c>
      <c r="AX40" s="1795" t="str">
        <f t="shared" si="13"/>
        <v>人防出入口</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14"/>
      <c r="E111" s="35">
        <f t="shared" si="7"/>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14"/>
      <c r="E112" s="35">
        <f t="shared" si="7"/>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14"/>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3">A113</f>
        <v>0</v>
      </c>
      <c r="AW113" s="1795">
        <f t="shared" ref="AW113:AW144" si="64">B113</f>
        <v>0</v>
      </c>
      <c r="AX113" s="1795">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14"/>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15"/>
      <c r="AV114" s="1795">
        <f t="shared" si="63"/>
        <v>0</v>
      </c>
      <c r="AW114" s="1795">
        <f t="shared" si="64"/>
        <v>0</v>
      </c>
      <c r="AX114" s="1795">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14"/>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15"/>
      <c r="AV115" s="1795">
        <f t="shared" si="63"/>
        <v>0</v>
      </c>
      <c r="AW115" s="1795">
        <f t="shared" si="64"/>
        <v>0</v>
      </c>
      <c r="AX115" s="1795">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14"/>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15"/>
      <c r="AV116" s="1795">
        <f t="shared" si="63"/>
        <v>0</v>
      </c>
      <c r="AW116" s="1795">
        <f t="shared" si="64"/>
        <v>0</v>
      </c>
      <c r="AX116" s="1795">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14"/>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15"/>
      <c r="AV117" s="1795">
        <f t="shared" si="63"/>
        <v>0</v>
      </c>
      <c r="AW117" s="1795">
        <f t="shared" si="64"/>
        <v>0</v>
      </c>
      <c r="AX117" s="1795">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14"/>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15"/>
      <c r="AV118" s="1795">
        <f t="shared" si="63"/>
        <v>0</v>
      </c>
      <c r="AW118" s="1795">
        <f t="shared" si="64"/>
        <v>0</v>
      </c>
      <c r="AX118" s="1795">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14"/>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15"/>
      <c r="AV119" s="1795">
        <f t="shared" si="63"/>
        <v>0</v>
      </c>
      <c r="AW119" s="1795">
        <f t="shared" si="64"/>
        <v>0</v>
      </c>
      <c r="AX119" s="1795">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14"/>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15"/>
      <c r="AV120" s="1795">
        <f t="shared" si="63"/>
        <v>0</v>
      </c>
      <c r="AW120" s="1795">
        <f t="shared" si="64"/>
        <v>0</v>
      </c>
      <c r="AX120" s="1795">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14"/>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15"/>
      <c r="AV121" s="1795">
        <f t="shared" si="63"/>
        <v>0</v>
      </c>
      <c r="AW121" s="1795">
        <f t="shared" si="64"/>
        <v>0</v>
      </c>
      <c r="AX121" s="1795">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14"/>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15"/>
      <c r="AV122" s="1795">
        <f t="shared" si="63"/>
        <v>0</v>
      </c>
      <c r="AW122" s="1795">
        <f t="shared" si="64"/>
        <v>0</v>
      </c>
      <c r="AX122" s="1795">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14"/>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15"/>
      <c r="AV123" s="1795">
        <f t="shared" si="63"/>
        <v>0</v>
      </c>
      <c r="AW123" s="1795">
        <f t="shared" si="64"/>
        <v>0</v>
      </c>
      <c r="AX123" s="1795">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14"/>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15"/>
      <c r="AV124" s="1795">
        <f t="shared" si="63"/>
        <v>0</v>
      </c>
      <c r="AW124" s="1795">
        <f t="shared" si="64"/>
        <v>0</v>
      </c>
      <c r="AX124" s="1795">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14"/>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15"/>
      <c r="AV125" s="1795">
        <f t="shared" si="63"/>
        <v>0</v>
      </c>
      <c r="AW125" s="1795">
        <f t="shared" si="64"/>
        <v>0</v>
      </c>
      <c r="AX125" s="1795">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14"/>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15"/>
      <c r="AV126" s="1795">
        <f t="shared" si="63"/>
        <v>0</v>
      </c>
      <c r="AW126" s="1795">
        <f t="shared" si="64"/>
        <v>0</v>
      </c>
      <c r="AX126" s="1795">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14"/>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15"/>
      <c r="AV127" s="1795">
        <f t="shared" si="63"/>
        <v>0</v>
      </c>
      <c r="AW127" s="1795">
        <f t="shared" si="64"/>
        <v>0</v>
      </c>
      <c r="AX127" s="1795">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14"/>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15"/>
      <c r="AV128" s="1795">
        <f t="shared" si="63"/>
        <v>0</v>
      </c>
      <c r="AW128" s="1795">
        <f t="shared" si="64"/>
        <v>0</v>
      </c>
      <c r="AX128" s="1795">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14"/>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15"/>
      <c r="AV129" s="1795">
        <f t="shared" si="63"/>
        <v>0</v>
      </c>
      <c r="AW129" s="1795">
        <f t="shared" si="64"/>
        <v>0</v>
      </c>
      <c r="AX129" s="1795">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14"/>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15"/>
      <c r="AV130" s="1795">
        <f t="shared" si="63"/>
        <v>0</v>
      </c>
      <c r="AW130" s="1795">
        <f t="shared" si="64"/>
        <v>0</v>
      </c>
      <c r="AX130" s="1795">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14"/>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15"/>
      <c r="AV131" s="1795">
        <f t="shared" si="63"/>
        <v>0</v>
      </c>
      <c r="AW131" s="1795">
        <f t="shared" si="64"/>
        <v>0</v>
      </c>
      <c r="AX131" s="1795">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14"/>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15"/>
      <c r="AV132" s="1795">
        <f t="shared" si="63"/>
        <v>0</v>
      </c>
      <c r="AW132" s="1795">
        <f t="shared" si="64"/>
        <v>0</v>
      </c>
      <c r="AX132" s="1795">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14"/>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15"/>
      <c r="AV133" s="1795">
        <f t="shared" si="63"/>
        <v>0</v>
      </c>
      <c r="AW133" s="1795">
        <f t="shared" si="64"/>
        <v>0</v>
      </c>
      <c r="AX133" s="1795">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14"/>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15"/>
      <c r="AV134" s="1795">
        <f t="shared" si="63"/>
        <v>0</v>
      </c>
      <c r="AW134" s="1795">
        <f t="shared" si="64"/>
        <v>0</v>
      </c>
      <c r="AX134" s="1795">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14"/>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15"/>
      <c r="AV135" s="1795">
        <f t="shared" si="63"/>
        <v>0</v>
      </c>
      <c r="AW135" s="1795">
        <f t="shared" si="64"/>
        <v>0</v>
      </c>
      <c r="AX135" s="1795">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14"/>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15"/>
      <c r="AV136" s="1795">
        <f t="shared" si="63"/>
        <v>0</v>
      </c>
      <c r="AW136" s="1795">
        <f t="shared" si="64"/>
        <v>0</v>
      </c>
      <c r="AX136" s="1795">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14"/>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15"/>
      <c r="AV137" s="1795">
        <f t="shared" si="63"/>
        <v>0</v>
      </c>
      <c r="AW137" s="1795">
        <f t="shared" si="64"/>
        <v>0</v>
      </c>
      <c r="AX137" s="1795">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14"/>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15"/>
      <c r="AV138" s="1795">
        <f t="shared" si="63"/>
        <v>0</v>
      </c>
      <c r="AW138" s="1795">
        <f t="shared" si="64"/>
        <v>0</v>
      </c>
      <c r="AX138" s="1795">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14"/>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15"/>
      <c r="AV139" s="1795">
        <f t="shared" si="63"/>
        <v>0</v>
      </c>
      <c r="AW139" s="1795">
        <f t="shared" si="64"/>
        <v>0</v>
      </c>
      <c r="AX139" s="1795">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14"/>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15"/>
      <c r="AV140" s="1795">
        <f t="shared" si="63"/>
        <v>0</v>
      </c>
      <c r="AW140" s="1795">
        <f t="shared" si="64"/>
        <v>0</v>
      </c>
      <c r="AX140" s="1795">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14"/>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15"/>
      <c r="AV141" s="1795">
        <f t="shared" si="63"/>
        <v>0</v>
      </c>
      <c r="AW141" s="1795">
        <f t="shared" si="64"/>
        <v>0</v>
      </c>
      <c r="AX141" s="1795">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14"/>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3"/>
        <v>0</v>
      </c>
      <c r="AW142" s="1795">
        <f t="shared" si="64"/>
        <v>0</v>
      </c>
      <c r="AX142" s="1795">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14"/>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15"/>
      <c r="AV143" s="1795">
        <f t="shared" si="63"/>
        <v>0</v>
      </c>
      <c r="AW143" s="1795">
        <f t="shared" si="64"/>
        <v>0</v>
      </c>
      <c r="AX143" s="1795">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14"/>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15"/>
      <c r="AV144" s="1795">
        <f t="shared" si="63"/>
        <v>0</v>
      </c>
      <c r="AW144" s="1795">
        <f t="shared" si="64"/>
        <v>0</v>
      </c>
      <c r="AX144" s="1795">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14"/>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2">A145</f>
        <v>0</v>
      </c>
      <c r="AW145" s="1795">
        <f t="shared" ref="AW145:AW176" si="93">B145</f>
        <v>0</v>
      </c>
      <c r="AX145" s="1795">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14"/>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15"/>
      <c r="AV146" s="1795">
        <f t="shared" si="92"/>
        <v>0</v>
      </c>
      <c r="AW146" s="1795">
        <f t="shared" si="93"/>
        <v>0</v>
      </c>
      <c r="AX146" s="1795">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14"/>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15"/>
      <c r="AV147" s="1795">
        <f t="shared" si="92"/>
        <v>0</v>
      </c>
      <c r="AW147" s="1795">
        <f t="shared" si="93"/>
        <v>0</v>
      </c>
      <c r="AX147" s="1795">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14"/>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15"/>
      <c r="AV148" s="1795">
        <f t="shared" si="92"/>
        <v>0</v>
      </c>
      <c r="AW148" s="1795">
        <f t="shared" si="93"/>
        <v>0</v>
      </c>
      <c r="AX148" s="1795">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14"/>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15"/>
      <c r="AV149" s="1795">
        <f t="shared" si="92"/>
        <v>0</v>
      </c>
      <c r="AW149" s="1795">
        <f t="shared" si="93"/>
        <v>0</v>
      </c>
      <c r="AX149" s="1795">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14"/>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15"/>
      <c r="AV150" s="1795">
        <f t="shared" si="92"/>
        <v>0</v>
      </c>
      <c r="AW150" s="1795">
        <f t="shared" si="93"/>
        <v>0</v>
      </c>
      <c r="AX150" s="1795">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14"/>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15"/>
      <c r="AV151" s="1795">
        <f t="shared" si="92"/>
        <v>0</v>
      </c>
      <c r="AW151" s="1795">
        <f t="shared" si="93"/>
        <v>0</v>
      </c>
      <c r="AX151" s="1795">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14"/>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15"/>
      <c r="AV152" s="1795">
        <f t="shared" si="92"/>
        <v>0</v>
      </c>
      <c r="AW152" s="1795">
        <f t="shared" si="93"/>
        <v>0</v>
      </c>
      <c r="AX152" s="1795">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14"/>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15"/>
      <c r="AV153" s="1795">
        <f t="shared" si="92"/>
        <v>0</v>
      </c>
      <c r="AW153" s="1795">
        <f t="shared" si="93"/>
        <v>0</v>
      </c>
      <c r="AX153" s="1795">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14"/>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15"/>
      <c r="AV154" s="1795">
        <f t="shared" si="92"/>
        <v>0</v>
      </c>
      <c r="AW154" s="1795">
        <f t="shared" si="93"/>
        <v>0</v>
      </c>
      <c r="AX154" s="1795">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14"/>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15"/>
      <c r="AV155" s="1795">
        <f t="shared" si="92"/>
        <v>0</v>
      </c>
      <c r="AW155" s="1795">
        <f t="shared" si="93"/>
        <v>0</v>
      </c>
      <c r="AX155" s="1795">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14"/>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15"/>
      <c r="AV156" s="1795">
        <f t="shared" si="92"/>
        <v>0</v>
      </c>
      <c r="AW156" s="1795">
        <f t="shared" si="93"/>
        <v>0</v>
      </c>
      <c r="AX156" s="1795">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14"/>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15"/>
      <c r="AV157" s="1795">
        <f t="shared" si="92"/>
        <v>0</v>
      </c>
      <c r="AW157" s="1795">
        <f t="shared" si="93"/>
        <v>0</v>
      </c>
      <c r="AX157" s="1795">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14"/>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15"/>
      <c r="AV158" s="1795">
        <f t="shared" si="92"/>
        <v>0</v>
      </c>
      <c r="AW158" s="1795">
        <f t="shared" si="93"/>
        <v>0</v>
      </c>
      <c r="AX158" s="1795">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14"/>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15"/>
      <c r="AV159" s="1795">
        <f t="shared" si="92"/>
        <v>0</v>
      </c>
      <c r="AW159" s="1795">
        <f t="shared" si="93"/>
        <v>0</v>
      </c>
      <c r="AX159" s="1795">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14"/>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15"/>
      <c r="AV160" s="1795">
        <f t="shared" si="92"/>
        <v>0</v>
      </c>
      <c r="AW160" s="1795">
        <f t="shared" si="93"/>
        <v>0</v>
      </c>
      <c r="AX160" s="1795">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14"/>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15"/>
      <c r="AV161" s="1795">
        <f t="shared" si="92"/>
        <v>0</v>
      </c>
      <c r="AW161" s="1795">
        <f t="shared" si="93"/>
        <v>0</v>
      </c>
      <c r="AX161" s="1795">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14"/>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15"/>
      <c r="AV162" s="1795">
        <f t="shared" si="92"/>
        <v>0</v>
      </c>
      <c r="AW162" s="1795">
        <f t="shared" si="93"/>
        <v>0</v>
      </c>
      <c r="AX162" s="1795">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14"/>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15"/>
      <c r="AV163" s="1795">
        <f t="shared" si="92"/>
        <v>0</v>
      </c>
      <c r="AW163" s="1795">
        <f t="shared" si="93"/>
        <v>0</v>
      </c>
      <c r="AX163" s="1795">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14"/>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15"/>
      <c r="AV164" s="1795">
        <f t="shared" si="92"/>
        <v>0</v>
      </c>
      <c r="AW164" s="1795">
        <f t="shared" si="93"/>
        <v>0</v>
      </c>
      <c r="AX164" s="1795">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14"/>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15"/>
      <c r="AV165" s="1795">
        <f t="shared" si="92"/>
        <v>0</v>
      </c>
      <c r="AW165" s="1795">
        <f t="shared" si="93"/>
        <v>0</v>
      </c>
      <c r="AX165" s="1795">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14"/>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15"/>
      <c r="AV166" s="1795">
        <f t="shared" si="92"/>
        <v>0</v>
      </c>
      <c r="AW166" s="1795">
        <f t="shared" si="93"/>
        <v>0</v>
      </c>
      <c r="AX166" s="1795">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14"/>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15"/>
      <c r="AV167" s="1795">
        <f t="shared" si="92"/>
        <v>0</v>
      </c>
      <c r="AW167" s="1795">
        <f t="shared" si="93"/>
        <v>0</v>
      </c>
      <c r="AX167" s="1795">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14"/>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15"/>
      <c r="AV168" s="1795">
        <f t="shared" si="92"/>
        <v>0</v>
      </c>
      <c r="AW168" s="1795">
        <f t="shared" si="93"/>
        <v>0</v>
      </c>
      <c r="AX168" s="1795">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14"/>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15"/>
      <c r="AV169" s="1795">
        <f t="shared" si="92"/>
        <v>0</v>
      </c>
      <c r="AW169" s="1795">
        <f t="shared" si="93"/>
        <v>0</v>
      </c>
      <c r="AX169" s="1795">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14"/>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15"/>
      <c r="AV170" s="1795">
        <f t="shared" si="92"/>
        <v>0</v>
      </c>
      <c r="AW170" s="1795">
        <f t="shared" si="93"/>
        <v>0</v>
      </c>
      <c r="AX170" s="1795">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14"/>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15"/>
      <c r="AV171" s="1795">
        <f t="shared" si="92"/>
        <v>0</v>
      </c>
      <c r="AW171" s="1795">
        <f t="shared" si="93"/>
        <v>0</v>
      </c>
      <c r="AX171" s="1795">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14"/>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15"/>
      <c r="AV172" s="1795">
        <f t="shared" si="92"/>
        <v>0</v>
      </c>
      <c r="AW172" s="1795">
        <f t="shared" si="93"/>
        <v>0</v>
      </c>
      <c r="AX172" s="1795">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14"/>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15"/>
      <c r="AV173" s="1795">
        <f t="shared" si="92"/>
        <v>0</v>
      </c>
      <c r="AW173" s="1795">
        <f t="shared" si="93"/>
        <v>0</v>
      </c>
      <c r="AX173" s="1795">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14"/>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2"/>
        <v>0</v>
      </c>
      <c r="AW174" s="1795">
        <f t="shared" si="93"/>
        <v>0</v>
      </c>
      <c r="AX174" s="1795">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14"/>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15"/>
      <c r="AV175" s="1795">
        <f t="shared" si="92"/>
        <v>0</v>
      </c>
      <c r="AW175" s="1795">
        <f t="shared" si="93"/>
        <v>0</v>
      </c>
      <c r="AX175" s="1795">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14"/>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15"/>
      <c r="AV176" s="1795">
        <f t="shared" si="92"/>
        <v>0</v>
      </c>
      <c r="AW176" s="1795">
        <f t="shared" si="93"/>
        <v>0</v>
      </c>
      <c r="AX176" s="1795">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14"/>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1">A177</f>
        <v>0</v>
      </c>
      <c r="AW177" s="1795">
        <f t="shared" ref="AW177:AW207" si="122">B177</f>
        <v>0</v>
      </c>
      <c r="AX177" s="1795">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14"/>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15"/>
      <c r="AV178" s="1795">
        <f t="shared" si="121"/>
        <v>0</v>
      </c>
      <c r="AW178" s="1795">
        <f t="shared" si="122"/>
        <v>0</v>
      </c>
      <c r="AX178" s="1795">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14"/>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15"/>
      <c r="AV179" s="1795">
        <f t="shared" si="121"/>
        <v>0</v>
      </c>
      <c r="AW179" s="1795">
        <f t="shared" si="122"/>
        <v>0</v>
      </c>
      <c r="AX179" s="1795">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14"/>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15"/>
      <c r="AV180" s="1795">
        <f t="shared" si="121"/>
        <v>0</v>
      </c>
      <c r="AW180" s="1795">
        <f t="shared" si="122"/>
        <v>0</v>
      </c>
      <c r="AX180" s="1795">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14"/>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15"/>
      <c r="AV181" s="1795">
        <f t="shared" si="121"/>
        <v>0</v>
      </c>
      <c r="AW181" s="1795">
        <f t="shared" si="122"/>
        <v>0</v>
      </c>
      <c r="AX181" s="1795">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14"/>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15"/>
      <c r="AV182" s="1795">
        <f t="shared" si="121"/>
        <v>0</v>
      </c>
      <c r="AW182" s="1795">
        <f t="shared" si="122"/>
        <v>0</v>
      </c>
      <c r="AX182" s="1795">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14"/>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15"/>
      <c r="AV183" s="1795">
        <f t="shared" si="121"/>
        <v>0</v>
      </c>
      <c r="AW183" s="1795">
        <f t="shared" si="122"/>
        <v>0</v>
      </c>
      <c r="AX183" s="1795">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14"/>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15"/>
      <c r="AV184" s="1795">
        <f t="shared" si="121"/>
        <v>0</v>
      </c>
      <c r="AW184" s="1795">
        <f t="shared" si="122"/>
        <v>0</v>
      </c>
      <c r="AX184" s="1795">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14"/>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15"/>
      <c r="AV185" s="1795">
        <f t="shared" si="121"/>
        <v>0</v>
      </c>
      <c r="AW185" s="1795">
        <f t="shared" si="122"/>
        <v>0</v>
      </c>
      <c r="AX185" s="1795">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14"/>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15"/>
      <c r="AV186" s="1795">
        <f t="shared" si="121"/>
        <v>0</v>
      </c>
      <c r="AW186" s="1795">
        <f t="shared" si="122"/>
        <v>0</v>
      </c>
      <c r="AX186" s="1795">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14"/>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15"/>
      <c r="AV187" s="1795">
        <f t="shared" si="121"/>
        <v>0</v>
      </c>
      <c r="AW187" s="1795">
        <f t="shared" si="122"/>
        <v>0</v>
      </c>
      <c r="AX187" s="1795">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14"/>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15"/>
      <c r="AV188" s="1795">
        <f t="shared" si="121"/>
        <v>0</v>
      </c>
      <c r="AW188" s="1795">
        <f t="shared" si="122"/>
        <v>0</v>
      </c>
      <c r="AX188" s="1795">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14"/>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15"/>
      <c r="AV189" s="1795">
        <f t="shared" si="121"/>
        <v>0</v>
      </c>
      <c r="AW189" s="1795">
        <f t="shared" si="122"/>
        <v>0</v>
      </c>
      <c r="AX189" s="1795">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14"/>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15"/>
      <c r="AV190" s="1795">
        <f t="shared" si="121"/>
        <v>0</v>
      </c>
      <c r="AW190" s="1795">
        <f t="shared" si="122"/>
        <v>0</v>
      </c>
      <c r="AX190" s="1795">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14"/>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15"/>
      <c r="AV191" s="1795">
        <f t="shared" si="121"/>
        <v>0</v>
      </c>
      <c r="AW191" s="1795">
        <f t="shared" si="122"/>
        <v>0</v>
      </c>
      <c r="AX191" s="1795">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14"/>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15"/>
      <c r="AV192" s="1795">
        <f t="shared" si="121"/>
        <v>0</v>
      </c>
      <c r="AW192" s="1795">
        <f t="shared" si="122"/>
        <v>0</v>
      </c>
      <c r="AX192" s="1795">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14"/>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15"/>
      <c r="AV193" s="1795">
        <f t="shared" si="121"/>
        <v>0</v>
      </c>
      <c r="AW193" s="1795">
        <f t="shared" si="122"/>
        <v>0</v>
      </c>
      <c r="AX193" s="1795">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14"/>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15"/>
      <c r="AV194" s="1795">
        <f t="shared" si="121"/>
        <v>0</v>
      </c>
      <c r="AW194" s="1795">
        <f t="shared" si="122"/>
        <v>0</v>
      </c>
      <c r="AX194" s="1795">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14"/>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15"/>
      <c r="AV195" s="1795">
        <f t="shared" si="121"/>
        <v>0</v>
      </c>
      <c r="AW195" s="1795">
        <f t="shared" si="122"/>
        <v>0</v>
      </c>
      <c r="AX195" s="1795">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14"/>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15"/>
      <c r="AV196" s="1795">
        <f t="shared" si="121"/>
        <v>0</v>
      </c>
      <c r="AW196" s="1795">
        <f t="shared" si="122"/>
        <v>0</v>
      </c>
      <c r="AX196" s="1795">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14"/>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15"/>
      <c r="AV197" s="1795">
        <f t="shared" si="121"/>
        <v>0</v>
      </c>
      <c r="AW197" s="1795">
        <f t="shared" si="122"/>
        <v>0</v>
      </c>
      <c r="AX197" s="1795">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14"/>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15"/>
      <c r="AV198" s="1795">
        <f t="shared" si="121"/>
        <v>0</v>
      </c>
      <c r="AW198" s="1795">
        <f t="shared" si="122"/>
        <v>0</v>
      </c>
      <c r="AX198" s="1795">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14"/>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15"/>
      <c r="AV199" s="1795">
        <f t="shared" si="121"/>
        <v>0</v>
      </c>
      <c r="AW199" s="1795">
        <f t="shared" si="122"/>
        <v>0</v>
      </c>
      <c r="AX199" s="1795">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14"/>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15"/>
      <c r="AV200" s="1795">
        <f t="shared" si="121"/>
        <v>0</v>
      </c>
      <c r="AW200" s="1795">
        <f t="shared" si="122"/>
        <v>0</v>
      </c>
      <c r="AX200" s="1795">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14"/>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15"/>
      <c r="AV201" s="1795">
        <f t="shared" si="121"/>
        <v>0</v>
      </c>
      <c r="AW201" s="1795">
        <f t="shared" si="122"/>
        <v>0</v>
      </c>
      <c r="AX201" s="1795">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14"/>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15"/>
      <c r="AV202" s="1795">
        <f t="shared" si="121"/>
        <v>0</v>
      </c>
      <c r="AW202" s="1795">
        <f t="shared" si="122"/>
        <v>0</v>
      </c>
      <c r="AX202" s="1795">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14"/>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15"/>
      <c r="AV203" s="1795">
        <f t="shared" si="121"/>
        <v>0</v>
      </c>
      <c r="AW203" s="1795">
        <f t="shared" si="122"/>
        <v>0</v>
      </c>
      <c r="AX203" s="1795">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14"/>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15"/>
      <c r="AV204" s="1795">
        <f t="shared" si="121"/>
        <v>0</v>
      </c>
      <c r="AW204" s="1795">
        <f t="shared" si="122"/>
        <v>0</v>
      </c>
      <c r="AX204" s="1795">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14"/>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50"/>
      <c r="AV205" s="1795">
        <f t="shared" si="121"/>
        <v>0</v>
      </c>
      <c r="AW205" s="1795">
        <f t="shared" si="122"/>
        <v>0</v>
      </c>
      <c r="AX205" s="1795">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14"/>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1"/>
        <v>0</v>
      </c>
      <c r="AW206" s="1795">
        <f t="shared" si="122"/>
        <v>0</v>
      </c>
      <c r="AX206" s="1795">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14"/>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1"/>
        <v>0</v>
      </c>
      <c r="AW207" s="1795">
        <f t="shared" si="122"/>
        <v>0</v>
      </c>
      <c r="AX207" s="1795">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14"/>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8">A208</f>
        <v>0</v>
      </c>
      <c r="AW208" s="1795">
        <f t="shared" ref="AW208:AW302" si="129">B208</f>
        <v>0</v>
      </c>
      <c r="AX208" s="1795">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14"/>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15"/>
      <c r="AV209" s="1795">
        <f t="shared" si="128"/>
        <v>0</v>
      </c>
      <c r="AW209" s="1795">
        <f t="shared" si="129"/>
        <v>0</v>
      </c>
      <c r="AX209" s="1795">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14"/>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15"/>
      <c r="AV210" s="1795">
        <f t="shared" si="128"/>
        <v>0</v>
      </c>
      <c r="AW210" s="1795">
        <f t="shared" si="129"/>
        <v>0</v>
      </c>
      <c r="AX210" s="1795">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14"/>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15"/>
      <c r="AV211" s="1795">
        <f t="shared" si="128"/>
        <v>0</v>
      </c>
      <c r="AW211" s="1795">
        <f t="shared" si="129"/>
        <v>0</v>
      </c>
      <c r="AX211" s="1795">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14"/>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15"/>
      <c r="AV212" s="1795">
        <f t="shared" si="128"/>
        <v>0</v>
      </c>
      <c r="AW212" s="1795">
        <f t="shared" si="129"/>
        <v>0</v>
      </c>
      <c r="AX212" s="1795">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14"/>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15"/>
      <c r="AV213" s="1795">
        <f t="shared" si="128"/>
        <v>0</v>
      </c>
      <c r="AW213" s="1795">
        <f t="shared" si="129"/>
        <v>0</v>
      </c>
      <c r="AX213" s="1795">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14"/>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15"/>
      <c r="AV214" s="1795">
        <f t="shared" si="128"/>
        <v>0</v>
      </c>
      <c r="AW214" s="1795">
        <f t="shared" si="129"/>
        <v>0</v>
      </c>
      <c r="AX214" s="1795">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14"/>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15"/>
      <c r="AV215" s="1795">
        <f t="shared" si="128"/>
        <v>0</v>
      </c>
      <c r="AW215" s="1795">
        <f t="shared" si="129"/>
        <v>0</v>
      </c>
      <c r="AX215" s="1795">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14"/>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15"/>
      <c r="AV216" s="1795">
        <f t="shared" si="128"/>
        <v>0</v>
      </c>
      <c r="AW216" s="1795">
        <f t="shared" si="129"/>
        <v>0</v>
      </c>
      <c r="AX216" s="1795">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14"/>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15"/>
      <c r="AV217" s="1795">
        <f t="shared" si="128"/>
        <v>0</v>
      </c>
      <c r="AW217" s="1795">
        <f t="shared" si="129"/>
        <v>0</v>
      </c>
      <c r="AX217" s="1795">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14"/>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15"/>
      <c r="AV218" s="1795">
        <f t="shared" si="128"/>
        <v>0</v>
      </c>
      <c r="AW218" s="1795">
        <f t="shared" si="129"/>
        <v>0</v>
      </c>
      <c r="AX218" s="1795">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14"/>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15"/>
      <c r="AV219" s="1795">
        <f t="shared" si="128"/>
        <v>0</v>
      </c>
      <c r="AW219" s="1795">
        <f t="shared" si="129"/>
        <v>0</v>
      </c>
      <c r="AX219" s="1795">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14"/>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15"/>
      <c r="AV220" s="1795">
        <f t="shared" si="128"/>
        <v>0</v>
      </c>
      <c r="AW220" s="1795">
        <f t="shared" si="129"/>
        <v>0</v>
      </c>
      <c r="AX220" s="1795">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14"/>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15"/>
      <c r="AV221" s="1795">
        <f t="shared" si="128"/>
        <v>0</v>
      </c>
      <c r="AW221" s="1795">
        <f t="shared" si="129"/>
        <v>0</v>
      </c>
      <c r="AX221" s="1795">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14"/>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15"/>
      <c r="AV222" s="1795">
        <f t="shared" si="128"/>
        <v>0</v>
      </c>
      <c r="AW222" s="1795">
        <f t="shared" si="129"/>
        <v>0</v>
      </c>
      <c r="AX222" s="1795">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14"/>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15"/>
      <c r="AV223" s="1795">
        <f t="shared" si="128"/>
        <v>0</v>
      </c>
      <c r="AW223" s="1795">
        <f t="shared" si="129"/>
        <v>0</v>
      </c>
      <c r="AX223" s="1795">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14"/>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15"/>
      <c r="AV224" s="1795">
        <f t="shared" si="128"/>
        <v>0</v>
      </c>
      <c r="AW224" s="1795">
        <f t="shared" si="129"/>
        <v>0</v>
      </c>
      <c r="AX224" s="1795">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14"/>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15"/>
      <c r="AV225" s="1795">
        <f t="shared" si="128"/>
        <v>0</v>
      </c>
      <c r="AW225" s="1795">
        <f t="shared" si="129"/>
        <v>0</v>
      </c>
      <c r="AX225" s="1795">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14"/>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15"/>
      <c r="AV226" s="1795">
        <f t="shared" si="128"/>
        <v>0</v>
      </c>
      <c r="AW226" s="1795">
        <f t="shared" si="129"/>
        <v>0</v>
      </c>
      <c r="AX226" s="1795">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14"/>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15"/>
      <c r="AV227" s="1795">
        <f t="shared" si="128"/>
        <v>0</v>
      </c>
      <c r="AW227" s="1795">
        <f t="shared" si="129"/>
        <v>0</v>
      </c>
      <c r="AX227" s="1795">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14"/>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15"/>
      <c r="AV228" s="1795">
        <f t="shared" si="128"/>
        <v>0</v>
      </c>
      <c r="AW228" s="1795">
        <f t="shared" si="129"/>
        <v>0</v>
      </c>
      <c r="AX228" s="1795">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14"/>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15"/>
      <c r="AV229" s="1795">
        <f t="shared" si="128"/>
        <v>0</v>
      </c>
      <c r="AW229" s="1795">
        <f t="shared" si="129"/>
        <v>0</v>
      </c>
      <c r="AX229" s="1795">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14"/>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15"/>
      <c r="AV230" s="1795">
        <f t="shared" si="128"/>
        <v>0</v>
      </c>
      <c r="AW230" s="1795">
        <f t="shared" si="129"/>
        <v>0</v>
      </c>
      <c r="AX230" s="1795">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14"/>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15"/>
      <c r="AV231" s="1795">
        <f t="shared" si="128"/>
        <v>0</v>
      </c>
      <c r="AW231" s="1795">
        <f t="shared" si="129"/>
        <v>0</v>
      </c>
      <c r="AX231" s="1795">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14"/>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15"/>
      <c r="AV232" s="1795">
        <f t="shared" si="128"/>
        <v>0</v>
      </c>
      <c r="AW232" s="1795">
        <f t="shared" si="129"/>
        <v>0</v>
      </c>
      <c r="AX232" s="1795">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14"/>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15"/>
      <c r="AV233" s="1795">
        <f t="shared" si="128"/>
        <v>0</v>
      </c>
      <c r="AW233" s="1795">
        <f t="shared" si="129"/>
        <v>0</v>
      </c>
      <c r="AX233" s="1795">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14"/>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15"/>
      <c r="AV234" s="1795">
        <f t="shared" si="128"/>
        <v>0</v>
      </c>
      <c r="AW234" s="1795">
        <f t="shared" si="129"/>
        <v>0</v>
      </c>
      <c r="AX234" s="1795">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14"/>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15"/>
      <c r="AV235" s="1795">
        <f t="shared" si="128"/>
        <v>0</v>
      </c>
      <c r="AW235" s="1795">
        <f t="shared" si="129"/>
        <v>0</v>
      </c>
      <c r="AX235" s="1795">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14"/>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15"/>
      <c r="AV236" s="1795">
        <f t="shared" si="128"/>
        <v>0</v>
      </c>
      <c r="AW236" s="1795">
        <f t="shared" si="129"/>
        <v>0</v>
      </c>
      <c r="AX236" s="1795">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14"/>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15"/>
      <c r="AV237" s="1795">
        <f t="shared" si="128"/>
        <v>0</v>
      </c>
      <c r="AW237" s="1795">
        <f t="shared" si="129"/>
        <v>0</v>
      </c>
      <c r="AX237" s="1795">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14"/>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15"/>
      <c r="AV238" s="1795">
        <f t="shared" si="128"/>
        <v>0</v>
      </c>
      <c r="AW238" s="1795">
        <f t="shared" si="129"/>
        <v>0</v>
      </c>
      <c r="AX238" s="1795">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14"/>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15"/>
      <c r="AV239" s="1795">
        <f t="shared" si="128"/>
        <v>0</v>
      </c>
      <c r="AW239" s="1795">
        <f t="shared" si="129"/>
        <v>0</v>
      </c>
      <c r="AX239" s="1795">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14"/>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15"/>
      <c r="AV240" s="1795">
        <f t="shared" si="128"/>
        <v>0</v>
      </c>
      <c r="AW240" s="1795">
        <f t="shared" si="129"/>
        <v>0</v>
      </c>
      <c r="AX240" s="1795">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14"/>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15"/>
      <c r="AV241" s="1795">
        <f t="shared" si="128"/>
        <v>0</v>
      </c>
      <c r="AW241" s="1795">
        <f t="shared" si="129"/>
        <v>0</v>
      </c>
      <c r="AX241" s="1795">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14"/>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15"/>
      <c r="AV242" s="1795">
        <f t="shared" si="128"/>
        <v>0</v>
      </c>
      <c r="AW242" s="1795">
        <f t="shared" si="129"/>
        <v>0</v>
      </c>
      <c r="AX242" s="1795">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14"/>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15"/>
      <c r="AV243" s="1795">
        <f t="shared" si="128"/>
        <v>0</v>
      </c>
      <c r="AW243" s="1795">
        <f t="shared" si="129"/>
        <v>0</v>
      </c>
      <c r="AX243" s="1795">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14"/>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15"/>
      <c r="AV244" s="1795">
        <f t="shared" si="128"/>
        <v>0</v>
      </c>
      <c r="AW244" s="1795">
        <f t="shared" si="129"/>
        <v>0</v>
      </c>
      <c r="AX244" s="1795">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14"/>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15"/>
      <c r="AV245" s="1795">
        <f t="shared" si="128"/>
        <v>0</v>
      </c>
      <c r="AW245" s="1795">
        <f t="shared" si="129"/>
        <v>0</v>
      </c>
      <c r="AX245" s="1795">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14"/>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15"/>
      <c r="AV246" s="1795">
        <f t="shared" si="128"/>
        <v>0</v>
      </c>
      <c r="AW246" s="1795">
        <f t="shared" si="129"/>
        <v>0</v>
      </c>
      <c r="AX246" s="1795">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14"/>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15"/>
      <c r="AV247" s="1795">
        <f t="shared" si="128"/>
        <v>0</v>
      </c>
      <c r="AW247" s="1795">
        <f t="shared" si="129"/>
        <v>0</v>
      </c>
      <c r="AX247" s="1795">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14"/>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15"/>
      <c r="AV248" s="1795">
        <f t="shared" si="128"/>
        <v>0</v>
      </c>
      <c r="AW248" s="1795">
        <f t="shared" si="129"/>
        <v>0</v>
      </c>
      <c r="AX248" s="1795">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14"/>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15"/>
      <c r="AV249" s="1795">
        <f t="shared" si="128"/>
        <v>0</v>
      </c>
      <c r="AW249" s="1795">
        <f t="shared" si="129"/>
        <v>0</v>
      </c>
      <c r="AX249" s="1795">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14"/>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15"/>
      <c r="AV250" s="1795">
        <f t="shared" si="128"/>
        <v>0</v>
      </c>
      <c r="AW250" s="1795">
        <f t="shared" si="129"/>
        <v>0</v>
      </c>
      <c r="AX250" s="1795">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14"/>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15"/>
      <c r="AV251" s="1795">
        <f t="shared" si="128"/>
        <v>0</v>
      </c>
      <c r="AW251" s="1795">
        <f t="shared" si="129"/>
        <v>0</v>
      </c>
      <c r="AX251" s="1795">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14"/>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15"/>
      <c r="AV252" s="1795">
        <f t="shared" si="128"/>
        <v>0</v>
      </c>
      <c r="AW252" s="1795">
        <f t="shared" si="129"/>
        <v>0</v>
      </c>
      <c r="AX252" s="1795">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14"/>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15"/>
      <c r="AV253" s="1795">
        <f t="shared" si="128"/>
        <v>0</v>
      </c>
      <c r="AW253" s="1795">
        <f t="shared" si="129"/>
        <v>0</v>
      </c>
      <c r="AX253" s="1795">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14"/>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15"/>
      <c r="AV254" s="1795">
        <f t="shared" si="128"/>
        <v>0</v>
      </c>
      <c r="AW254" s="1795">
        <f t="shared" si="129"/>
        <v>0</v>
      </c>
      <c r="AX254" s="1795">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14"/>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15"/>
      <c r="AV255" s="1795">
        <f t="shared" si="128"/>
        <v>0</v>
      </c>
      <c r="AW255" s="1795">
        <f t="shared" si="129"/>
        <v>0</v>
      </c>
      <c r="AX255" s="1795">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14"/>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15"/>
      <c r="AV256" s="1795">
        <f t="shared" si="128"/>
        <v>0</v>
      </c>
      <c r="AW256" s="1795">
        <f t="shared" si="129"/>
        <v>0</v>
      </c>
      <c r="AX256" s="1795">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14"/>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15"/>
      <c r="AV257" s="1795">
        <f t="shared" si="128"/>
        <v>0</v>
      </c>
      <c r="AW257" s="1795">
        <f t="shared" si="129"/>
        <v>0</v>
      </c>
      <c r="AX257" s="1795">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14"/>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15"/>
      <c r="AV258" s="1795">
        <f t="shared" si="128"/>
        <v>0</v>
      </c>
      <c r="AW258" s="1795">
        <f t="shared" si="129"/>
        <v>0</v>
      </c>
      <c r="AX258" s="1795">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14"/>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15"/>
      <c r="AV259" s="1795">
        <f t="shared" si="128"/>
        <v>0</v>
      </c>
      <c r="AW259" s="1795">
        <f t="shared" si="129"/>
        <v>0</v>
      </c>
      <c r="AX259" s="1795">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14"/>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15"/>
      <c r="AV260" s="1795">
        <f t="shared" si="128"/>
        <v>0</v>
      </c>
      <c r="AW260" s="1795">
        <f t="shared" si="129"/>
        <v>0</v>
      </c>
      <c r="AX260" s="1795">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14"/>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15"/>
      <c r="AV261" s="1795">
        <f t="shared" si="128"/>
        <v>0</v>
      </c>
      <c r="AW261" s="1795">
        <f t="shared" si="129"/>
        <v>0</v>
      </c>
      <c r="AX261" s="1795">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14"/>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15"/>
      <c r="AV262" s="1795">
        <f t="shared" si="128"/>
        <v>0</v>
      </c>
      <c r="AW262" s="1795">
        <f t="shared" si="129"/>
        <v>0</v>
      </c>
      <c r="AX262" s="1795">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14"/>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15"/>
      <c r="AV263" s="1795">
        <f t="shared" si="128"/>
        <v>0</v>
      </c>
      <c r="AW263" s="1795">
        <f t="shared" si="129"/>
        <v>0</v>
      </c>
      <c r="AX263" s="1795">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14"/>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15"/>
      <c r="AV264" s="1795">
        <f t="shared" si="128"/>
        <v>0</v>
      </c>
      <c r="AW264" s="1795">
        <f t="shared" si="129"/>
        <v>0</v>
      </c>
      <c r="AX264" s="1795">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14"/>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15"/>
      <c r="AV265" s="1795">
        <f t="shared" si="128"/>
        <v>0</v>
      </c>
      <c r="AW265" s="1795">
        <f t="shared" si="129"/>
        <v>0</v>
      </c>
      <c r="AX265" s="1795">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14"/>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15"/>
      <c r="AV266" s="1795">
        <f t="shared" si="128"/>
        <v>0</v>
      </c>
      <c r="AW266" s="1795">
        <f t="shared" si="129"/>
        <v>0</v>
      </c>
      <c r="AX266" s="1795">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14"/>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15"/>
      <c r="AV267" s="1795">
        <f t="shared" si="128"/>
        <v>0</v>
      </c>
      <c r="AW267" s="1795">
        <f t="shared" si="129"/>
        <v>0</v>
      </c>
      <c r="AX267" s="1795">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14"/>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15"/>
      <c r="AV268" s="1795">
        <f t="shared" si="128"/>
        <v>0</v>
      </c>
      <c r="AW268" s="1795">
        <f t="shared" si="129"/>
        <v>0</v>
      </c>
      <c r="AX268" s="1795">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14"/>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15"/>
      <c r="AV269" s="1795">
        <f t="shared" si="128"/>
        <v>0</v>
      </c>
      <c r="AW269" s="1795">
        <f t="shared" si="129"/>
        <v>0</v>
      </c>
      <c r="AX269" s="1795">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14"/>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15"/>
      <c r="AV270" s="1795">
        <f t="shared" si="128"/>
        <v>0</v>
      </c>
      <c r="AW270" s="1795">
        <f t="shared" si="129"/>
        <v>0</v>
      </c>
      <c r="AX270" s="1795">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14"/>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15"/>
      <c r="AV271" s="1795">
        <f t="shared" si="128"/>
        <v>0</v>
      </c>
      <c r="AW271" s="1795">
        <f t="shared" si="129"/>
        <v>0</v>
      </c>
      <c r="AX271" s="1795">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14"/>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15"/>
      <c r="AV272" s="1795">
        <f t="shared" si="128"/>
        <v>0</v>
      </c>
      <c r="AW272" s="1795">
        <f t="shared" si="129"/>
        <v>0</v>
      </c>
      <c r="AX272" s="1795">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14"/>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15"/>
      <c r="AV273" s="1795">
        <f t="shared" si="128"/>
        <v>0</v>
      </c>
      <c r="AW273" s="1795">
        <f t="shared" si="129"/>
        <v>0</v>
      </c>
      <c r="AX273" s="1795">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14"/>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15"/>
      <c r="AV274" s="1795">
        <f t="shared" si="128"/>
        <v>0</v>
      </c>
      <c r="AW274" s="1795">
        <f t="shared" si="129"/>
        <v>0</v>
      </c>
      <c r="AX274" s="1795">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14"/>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15"/>
      <c r="AV275" s="1795">
        <f t="shared" si="128"/>
        <v>0</v>
      </c>
      <c r="AW275" s="1795">
        <f t="shared" si="129"/>
        <v>0</v>
      </c>
      <c r="AX275" s="1795">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14"/>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15"/>
      <c r="AV276" s="1795">
        <f t="shared" si="128"/>
        <v>0</v>
      </c>
      <c r="AW276" s="1795">
        <f t="shared" si="129"/>
        <v>0</v>
      </c>
      <c r="AX276" s="1795">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14"/>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15"/>
      <c r="AV277" s="1795">
        <f t="shared" si="128"/>
        <v>0</v>
      </c>
      <c r="AW277" s="1795">
        <f t="shared" si="129"/>
        <v>0</v>
      </c>
      <c r="AX277" s="1795">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14"/>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15"/>
      <c r="AV278" s="1795">
        <f t="shared" si="128"/>
        <v>0</v>
      </c>
      <c r="AW278" s="1795">
        <f t="shared" si="129"/>
        <v>0</v>
      </c>
      <c r="AX278" s="1795">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14"/>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15"/>
      <c r="AV279" s="1795">
        <f t="shared" si="128"/>
        <v>0</v>
      </c>
      <c r="AW279" s="1795">
        <f t="shared" si="129"/>
        <v>0</v>
      </c>
      <c r="AX279" s="1795">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14"/>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15"/>
      <c r="AV280" s="1795">
        <f t="shared" si="128"/>
        <v>0</v>
      </c>
      <c r="AW280" s="1795">
        <f t="shared" si="129"/>
        <v>0</v>
      </c>
      <c r="AX280" s="1795">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14"/>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15"/>
      <c r="AV281" s="1795">
        <f t="shared" si="128"/>
        <v>0</v>
      </c>
      <c r="AW281" s="1795">
        <f t="shared" si="129"/>
        <v>0</v>
      </c>
      <c r="AX281" s="1795">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14"/>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15"/>
      <c r="AV282" s="1795">
        <f t="shared" si="128"/>
        <v>0</v>
      </c>
      <c r="AW282" s="1795">
        <f t="shared" si="129"/>
        <v>0</v>
      </c>
      <c r="AX282" s="1795">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14"/>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15"/>
      <c r="AV283" s="1795">
        <f t="shared" si="128"/>
        <v>0</v>
      </c>
      <c r="AW283" s="1795">
        <f t="shared" si="129"/>
        <v>0</v>
      </c>
      <c r="AX283" s="1795">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14"/>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15"/>
      <c r="AV284" s="1795">
        <f t="shared" si="128"/>
        <v>0</v>
      </c>
      <c r="AW284" s="1795">
        <f t="shared" si="129"/>
        <v>0</v>
      </c>
      <c r="AX284" s="1795">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14"/>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15"/>
      <c r="AV285" s="1795">
        <f t="shared" si="128"/>
        <v>0</v>
      </c>
      <c r="AW285" s="1795">
        <f t="shared" si="129"/>
        <v>0</v>
      </c>
      <c r="AX285" s="1795">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14"/>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15"/>
      <c r="AV286" s="1795">
        <f t="shared" si="128"/>
        <v>0</v>
      </c>
      <c r="AW286" s="1795">
        <f t="shared" si="129"/>
        <v>0</v>
      </c>
      <c r="AX286" s="1795">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14"/>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15"/>
      <c r="AV287" s="1795">
        <f t="shared" si="128"/>
        <v>0</v>
      </c>
      <c r="AW287" s="1795">
        <f t="shared" si="129"/>
        <v>0</v>
      </c>
      <c r="AX287" s="1795">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14"/>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15"/>
      <c r="AV288" s="1795">
        <f t="shared" si="128"/>
        <v>0</v>
      </c>
      <c r="AW288" s="1795">
        <f t="shared" si="129"/>
        <v>0</v>
      </c>
      <c r="AX288" s="1795">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14"/>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15"/>
      <c r="AV289" s="1795">
        <f t="shared" si="128"/>
        <v>0</v>
      </c>
      <c r="AW289" s="1795">
        <f t="shared" si="129"/>
        <v>0</v>
      </c>
      <c r="AX289" s="1795">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14"/>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15"/>
      <c r="AV290" s="1795">
        <f t="shared" si="128"/>
        <v>0</v>
      </c>
      <c r="AW290" s="1795">
        <f t="shared" si="129"/>
        <v>0</v>
      </c>
      <c r="AX290" s="1795">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14"/>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15"/>
      <c r="AV291" s="1795">
        <f t="shared" si="128"/>
        <v>0</v>
      </c>
      <c r="AW291" s="1795">
        <f t="shared" si="129"/>
        <v>0</v>
      </c>
      <c r="AX291" s="1795">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14"/>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15"/>
      <c r="AV292" s="1795">
        <f t="shared" si="128"/>
        <v>0</v>
      </c>
      <c r="AW292" s="1795">
        <f t="shared" si="129"/>
        <v>0</v>
      </c>
      <c r="AX292" s="1795">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14"/>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15"/>
      <c r="AV293" s="1795">
        <f t="shared" si="128"/>
        <v>0</v>
      </c>
      <c r="AW293" s="1795">
        <f t="shared" si="129"/>
        <v>0</v>
      </c>
      <c r="AX293" s="1795">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14"/>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15"/>
      <c r="AV294" s="1795">
        <f t="shared" si="128"/>
        <v>0</v>
      </c>
      <c r="AW294" s="1795">
        <f t="shared" si="129"/>
        <v>0</v>
      </c>
      <c r="AX294" s="1795">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14"/>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15"/>
      <c r="AV295" s="1795">
        <f t="shared" si="128"/>
        <v>0</v>
      </c>
      <c r="AW295" s="1795">
        <f t="shared" si="129"/>
        <v>0</v>
      </c>
      <c r="AX295" s="1795">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14"/>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15"/>
      <c r="AV296" s="1795">
        <f t="shared" si="128"/>
        <v>0</v>
      </c>
      <c r="AW296" s="1795">
        <f t="shared" si="129"/>
        <v>0</v>
      </c>
      <c r="AX296" s="1795">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14"/>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15"/>
      <c r="AV297" s="1795">
        <f t="shared" si="128"/>
        <v>0</v>
      </c>
      <c r="AW297" s="1795">
        <f t="shared" si="129"/>
        <v>0</v>
      </c>
      <c r="AX297" s="1795">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14"/>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15"/>
      <c r="AV298" s="1795">
        <f t="shared" si="128"/>
        <v>0</v>
      </c>
      <c r="AW298" s="1795">
        <f t="shared" si="129"/>
        <v>0</v>
      </c>
      <c r="AX298" s="1795">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14"/>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15"/>
      <c r="AV299" s="1795">
        <f t="shared" si="128"/>
        <v>0</v>
      </c>
      <c r="AW299" s="1795">
        <f t="shared" si="129"/>
        <v>0</v>
      </c>
      <c r="AX299" s="1795">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14"/>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8"/>
        <v>0</v>
      </c>
      <c r="AW300" s="1795">
        <f t="shared" si="129"/>
        <v>0</v>
      </c>
      <c r="AX300" s="1795">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14"/>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50"/>
      <c r="AV301" s="1795">
        <f t="shared" si="128"/>
        <v>0</v>
      </c>
      <c r="AW301" s="1795">
        <f t="shared" si="129"/>
        <v>0</v>
      </c>
      <c r="AX301" s="1795">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14"/>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50"/>
      <c r="AV302" s="1795">
        <f t="shared" si="128"/>
        <v>0</v>
      </c>
      <c r="AW302" s="1795">
        <f t="shared" si="129"/>
        <v>0</v>
      </c>
      <c r="AX302" s="1795">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14"/>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9">A303</f>
        <v>0</v>
      </c>
      <c r="AW303" s="1795">
        <f t="shared" ref="AW303:AW334" si="180">B303</f>
        <v>0</v>
      </c>
      <c r="AX303" s="1795">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14"/>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15"/>
      <c r="AV304" s="1795">
        <f t="shared" si="179"/>
        <v>0</v>
      </c>
      <c r="AW304" s="1795">
        <f t="shared" si="180"/>
        <v>0</v>
      </c>
      <c r="AX304" s="1795">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14"/>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15"/>
      <c r="AV305" s="1795">
        <f t="shared" si="179"/>
        <v>0</v>
      </c>
      <c r="AW305" s="1795">
        <f t="shared" si="180"/>
        <v>0</v>
      </c>
      <c r="AX305" s="1795">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14"/>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15"/>
      <c r="AV306" s="1795">
        <f t="shared" si="179"/>
        <v>0</v>
      </c>
      <c r="AW306" s="1795">
        <f t="shared" si="180"/>
        <v>0</v>
      </c>
      <c r="AX306" s="1795">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14"/>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15"/>
      <c r="AV307" s="1795">
        <f t="shared" si="179"/>
        <v>0</v>
      </c>
      <c r="AW307" s="1795">
        <f t="shared" si="180"/>
        <v>0</v>
      </c>
      <c r="AX307" s="1795">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14"/>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15"/>
      <c r="AV308" s="1795">
        <f t="shared" si="179"/>
        <v>0</v>
      </c>
      <c r="AW308" s="1795">
        <f t="shared" si="180"/>
        <v>0</v>
      </c>
      <c r="AX308" s="1795">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14"/>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15"/>
      <c r="AV309" s="1795">
        <f t="shared" si="179"/>
        <v>0</v>
      </c>
      <c r="AW309" s="1795">
        <f t="shared" si="180"/>
        <v>0</v>
      </c>
      <c r="AX309" s="1795">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14"/>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15"/>
      <c r="AV310" s="1795">
        <f t="shared" si="179"/>
        <v>0</v>
      </c>
      <c r="AW310" s="1795">
        <f t="shared" si="180"/>
        <v>0</v>
      </c>
      <c r="AX310" s="1795">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14"/>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15"/>
      <c r="AV311" s="1795">
        <f t="shared" si="179"/>
        <v>0</v>
      </c>
      <c r="AW311" s="1795">
        <f t="shared" si="180"/>
        <v>0</v>
      </c>
      <c r="AX311" s="1795">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14"/>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15"/>
      <c r="AV312" s="1795">
        <f t="shared" si="179"/>
        <v>0</v>
      </c>
      <c r="AW312" s="1795">
        <f t="shared" si="180"/>
        <v>0</v>
      </c>
      <c r="AX312" s="1795">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14"/>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15"/>
      <c r="AV313" s="1795">
        <f t="shared" si="179"/>
        <v>0</v>
      </c>
      <c r="AW313" s="1795">
        <f t="shared" si="180"/>
        <v>0</v>
      </c>
      <c r="AX313" s="1795">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14"/>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15"/>
      <c r="AV314" s="1795">
        <f t="shared" si="179"/>
        <v>0</v>
      </c>
      <c r="AW314" s="1795">
        <f t="shared" si="180"/>
        <v>0</v>
      </c>
      <c r="AX314" s="1795">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14"/>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15"/>
      <c r="AV315" s="1795">
        <f t="shared" si="179"/>
        <v>0</v>
      </c>
      <c r="AW315" s="1795">
        <f t="shared" si="180"/>
        <v>0</v>
      </c>
      <c r="AX315" s="1795">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14"/>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15"/>
      <c r="AV316" s="1795">
        <f t="shared" si="179"/>
        <v>0</v>
      </c>
      <c r="AW316" s="1795">
        <f t="shared" si="180"/>
        <v>0</v>
      </c>
      <c r="AX316" s="1795">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14"/>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15"/>
      <c r="AV317" s="1795">
        <f t="shared" si="179"/>
        <v>0</v>
      </c>
      <c r="AW317" s="1795">
        <f t="shared" si="180"/>
        <v>0</v>
      </c>
      <c r="AX317" s="1795">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14"/>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15"/>
      <c r="AV318" s="1795">
        <f t="shared" si="179"/>
        <v>0</v>
      </c>
      <c r="AW318" s="1795">
        <f t="shared" si="180"/>
        <v>0</v>
      </c>
      <c r="AX318" s="1795">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14"/>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15"/>
      <c r="AV319" s="1795">
        <f t="shared" si="179"/>
        <v>0</v>
      </c>
      <c r="AW319" s="1795">
        <f t="shared" si="180"/>
        <v>0</v>
      </c>
      <c r="AX319" s="1795">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14"/>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15"/>
      <c r="AV320" s="1795">
        <f t="shared" si="179"/>
        <v>0</v>
      </c>
      <c r="AW320" s="1795">
        <f t="shared" si="180"/>
        <v>0</v>
      </c>
      <c r="AX320" s="1795">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14"/>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15"/>
      <c r="AV321" s="1795">
        <f t="shared" si="179"/>
        <v>0</v>
      </c>
      <c r="AW321" s="1795">
        <f t="shared" si="180"/>
        <v>0</v>
      </c>
      <c r="AX321" s="1795">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14"/>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15"/>
      <c r="AV322" s="1795">
        <f t="shared" si="179"/>
        <v>0</v>
      </c>
      <c r="AW322" s="1795">
        <f t="shared" si="180"/>
        <v>0</v>
      </c>
      <c r="AX322" s="1795">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14"/>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15"/>
      <c r="AV323" s="1795">
        <f t="shared" si="179"/>
        <v>0</v>
      </c>
      <c r="AW323" s="1795">
        <f t="shared" si="180"/>
        <v>0</v>
      </c>
      <c r="AX323" s="1795">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14"/>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15"/>
      <c r="AV324" s="1795">
        <f t="shared" si="179"/>
        <v>0</v>
      </c>
      <c r="AW324" s="1795">
        <f t="shared" si="180"/>
        <v>0</v>
      </c>
      <c r="AX324" s="1795">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14"/>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15"/>
      <c r="AV325" s="1795">
        <f t="shared" si="179"/>
        <v>0</v>
      </c>
      <c r="AW325" s="1795">
        <f t="shared" si="180"/>
        <v>0</v>
      </c>
      <c r="AX325" s="1795">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14"/>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15"/>
      <c r="AV326" s="1795">
        <f t="shared" si="179"/>
        <v>0</v>
      </c>
      <c r="AW326" s="1795">
        <f t="shared" si="180"/>
        <v>0</v>
      </c>
      <c r="AX326" s="1795">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14"/>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15"/>
      <c r="AV327" s="1795">
        <f t="shared" si="179"/>
        <v>0</v>
      </c>
      <c r="AW327" s="1795">
        <f t="shared" si="180"/>
        <v>0</v>
      </c>
      <c r="AX327" s="1795">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14"/>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15"/>
      <c r="AV328" s="1795">
        <f t="shared" si="179"/>
        <v>0</v>
      </c>
      <c r="AW328" s="1795">
        <f t="shared" si="180"/>
        <v>0</v>
      </c>
      <c r="AX328" s="1795">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14"/>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15"/>
      <c r="AV329" s="1795">
        <f t="shared" si="179"/>
        <v>0</v>
      </c>
      <c r="AW329" s="1795">
        <f t="shared" si="180"/>
        <v>0</v>
      </c>
      <c r="AX329" s="1795">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14"/>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15"/>
      <c r="AV330" s="1795">
        <f t="shared" si="179"/>
        <v>0</v>
      </c>
      <c r="AW330" s="1795">
        <f t="shared" si="180"/>
        <v>0</v>
      </c>
      <c r="AX330" s="1795">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14"/>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15"/>
      <c r="AV331" s="1795">
        <f t="shared" si="179"/>
        <v>0</v>
      </c>
      <c r="AW331" s="1795">
        <f t="shared" si="180"/>
        <v>0</v>
      </c>
      <c r="AX331" s="1795">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14"/>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9"/>
        <v>0</v>
      </c>
      <c r="AW332" s="1795">
        <f t="shared" si="180"/>
        <v>0</v>
      </c>
      <c r="AX332" s="1795">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14"/>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15"/>
      <c r="AV333" s="1795">
        <f t="shared" si="179"/>
        <v>0</v>
      </c>
      <c r="AW333" s="1795">
        <f t="shared" si="180"/>
        <v>0</v>
      </c>
      <c r="AX333" s="1795">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14"/>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15"/>
      <c r="AV334" s="1795">
        <f t="shared" si="179"/>
        <v>0</v>
      </c>
      <c r="AW334" s="1795">
        <f t="shared" si="180"/>
        <v>0</v>
      </c>
      <c r="AX334" s="1795">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14"/>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8">A335</f>
        <v>0</v>
      </c>
      <c r="AW335" s="1795">
        <f t="shared" ref="AW335:AW366" si="209">B335</f>
        <v>0</v>
      </c>
      <c r="AX335" s="1795">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14"/>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15"/>
      <c r="AV336" s="1795">
        <f t="shared" si="208"/>
        <v>0</v>
      </c>
      <c r="AW336" s="1795">
        <f t="shared" si="209"/>
        <v>0</v>
      </c>
      <c r="AX336" s="1795">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14"/>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15"/>
      <c r="AV337" s="1795">
        <f t="shared" si="208"/>
        <v>0</v>
      </c>
      <c r="AW337" s="1795">
        <f t="shared" si="209"/>
        <v>0</v>
      </c>
      <c r="AX337" s="1795">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14"/>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15"/>
      <c r="AV338" s="1795">
        <f t="shared" si="208"/>
        <v>0</v>
      </c>
      <c r="AW338" s="1795">
        <f t="shared" si="209"/>
        <v>0</v>
      </c>
      <c r="AX338" s="1795">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14"/>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15"/>
      <c r="AV339" s="1795">
        <f t="shared" si="208"/>
        <v>0</v>
      </c>
      <c r="AW339" s="1795">
        <f t="shared" si="209"/>
        <v>0</v>
      </c>
      <c r="AX339" s="1795">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14"/>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15"/>
      <c r="AV340" s="1795">
        <f t="shared" si="208"/>
        <v>0</v>
      </c>
      <c r="AW340" s="1795">
        <f t="shared" si="209"/>
        <v>0</v>
      </c>
      <c r="AX340" s="1795">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14"/>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15"/>
      <c r="AV341" s="1795">
        <f t="shared" si="208"/>
        <v>0</v>
      </c>
      <c r="AW341" s="1795">
        <f t="shared" si="209"/>
        <v>0</v>
      </c>
      <c r="AX341" s="1795">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14"/>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15"/>
      <c r="AV342" s="1795">
        <f t="shared" si="208"/>
        <v>0</v>
      </c>
      <c r="AW342" s="1795">
        <f t="shared" si="209"/>
        <v>0</v>
      </c>
      <c r="AX342" s="1795">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14"/>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15"/>
      <c r="AV343" s="1795">
        <f t="shared" si="208"/>
        <v>0</v>
      </c>
      <c r="AW343" s="1795">
        <f t="shared" si="209"/>
        <v>0</v>
      </c>
      <c r="AX343" s="1795">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14"/>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15"/>
      <c r="AV344" s="1795">
        <f t="shared" si="208"/>
        <v>0</v>
      </c>
      <c r="AW344" s="1795">
        <f t="shared" si="209"/>
        <v>0</v>
      </c>
      <c r="AX344" s="1795">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14"/>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15"/>
      <c r="AV345" s="1795">
        <f t="shared" si="208"/>
        <v>0</v>
      </c>
      <c r="AW345" s="1795">
        <f t="shared" si="209"/>
        <v>0</v>
      </c>
      <c r="AX345" s="1795">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14"/>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15"/>
      <c r="AV346" s="1795">
        <f t="shared" si="208"/>
        <v>0</v>
      </c>
      <c r="AW346" s="1795">
        <f t="shared" si="209"/>
        <v>0</v>
      </c>
      <c r="AX346" s="1795">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14"/>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15"/>
      <c r="AV347" s="1795">
        <f t="shared" si="208"/>
        <v>0</v>
      </c>
      <c r="AW347" s="1795">
        <f t="shared" si="209"/>
        <v>0</v>
      </c>
      <c r="AX347" s="1795">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14"/>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15"/>
      <c r="AV348" s="1795">
        <f t="shared" si="208"/>
        <v>0</v>
      </c>
      <c r="AW348" s="1795">
        <f t="shared" si="209"/>
        <v>0</v>
      </c>
      <c r="AX348" s="1795">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14"/>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15"/>
      <c r="AV349" s="1795">
        <f t="shared" si="208"/>
        <v>0</v>
      </c>
      <c r="AW349" s="1795">
        <f t="shared" si="209"/>
        <v>0</v>
      </c>
      <c r="AX349" s="1795">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14"/>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15"/>
      <c r="AV350" s="1795">
        <f t="shared" si="208"/>
        <v>0</v>
      </c>
      <c r="AW350" s="1795">
        <f t="shared" si="209"/>
        <v>0</v>
      </c>
      <c r="AX350" s="1795">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14"/>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15"/>
      <c r="AV351" s="1795">
        <f t="shared" si="208"/>
        <v>0</v>
      </c>
      <c r="AW351" s="1795">
        <f t="shared" si="209"/>
        <v>0</v>
      </c>
      <c r="AX351" s="1795">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14"/>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15"/>
      <c r="AV352" s="1795">
        <f t="shared" si="208"/>
        <v>0</v>
      </c>
      <c r="AW352" s="1795">
        <f t="shared" si="209"/>
        <v>0</v>
      </c>
      <c r="AX352" s="1795">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14"/>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15"/>
      <c r="AV353" s="1795">
        <f t="shared" si="208"/>
        <v>0</v>
      </c>
      <c r="AW353" s="1795">
        <f t="shared" si="209"/>
        <v>0</v>
      </c>
      <c r="AX353" s="1795">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14"/>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15"/>
      <c r="AV354" s="1795">
        <f t="shared" si="208"/>
        <v>0</v>
      </c>
      <c r="AW354" s="1795">
        <f t="shared" si="209"/>
        <v>0</v>
      </c>
      <c r="AX354" s="1795">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14"/>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15"/>
      <c r="AV355" s="1795">
        <f t="shared" si="208"/>
        <v>0</v>
      </c>
      <c r="AW355" s="1795">
        <f t="shared" si="209"/>
        <v>0</v>
      </c>
      <c r="AX355" s="1795">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14"/>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15"/>
      <c r="AV356" s="1795">
        <f t="shared" si="208"/>
        <v>0</v>
      </c>
      <c r="AW356" s="1795">
        <f t="shared" si="209"/>
        <v>0</v>
      </c>
      <c r="AX356" s="1795">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14"/>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15"/>
      <c r="AV357" s="1795">
        <f t="shared" si="208"/>
        <v>0</v>
      </c>
      <c r="AW357" s="1795">
        <f t="shared" si="209"/>
        <v>0</v>
      </c>
      <c r="AX357" s="1795">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14"/>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15"/>
      <c r="AV358" s="1795">
        <f t="shared" si="208"/>
        <v>0</v>
      </c>
      <c r="AW358" s="1795">
        <f t="shared" si="209"/>
        <v>0</v>
      </c>
      <c r="AX358" s="1795">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14"/>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15"/>
      <c r="AV359" s="1795">
        <f t="shared" si="208"/>
        <v>0</v>
      </c>
      <c r="AW359" s="1795">
        <f t="shared" si="209"/>
        <v>0</v>
      </c>
      <c r="AX359" s="1795">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14"/>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15"/>
      <c r="AV360" s="1795">
        <f t="shared" si="208"/>
        <v>0</v>
      </c>
      <c r="AW360" s="1795">
        <f t="shared" si="209"/>
        <v>0</v>
      </c>
      <c r="AX360" s="1795">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14"/>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15"/>
      <c r="AV361" s="1795">
        <f t="shared" si="208"/>
        <v>0</v>
      </c>
      <c r="AW361" s="1795">
        <f t="shared" si="209"/>
        <v>0</v>
      </c>
      <c r="AX361" s="1795">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14"/>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15"/>
      <c r="AV362" s="1795">
        <f t="shared" si="208"/>
        <v>0</v>
      </c>
      <c r="AW362" s="1795">
        <f t="shared" si="209"/>
        <v>0</v>
      </c>
      <c r="AX362" s="1795">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14"/>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15"/>
      <c r="AV363" s="1795">
        <f t="shared" si="208"/>
        <v>0</v>
      </c>
      <c r="AW363" s="1795">
        <f t="shared" si="209"/>
        <v>0</v>
      </c>
      <c r="AX363" s="1795">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14"/>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8"/>
        <v>0</v>
      </c>
      <c r="AW364" s="1795">
        <f t="shared" si="209"/>
        <v>0</v>
      </c>
      <c r="AX364" s="1795">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14"/>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15"/>
      <c r="AV365" s="1795">
        <f t="shared" si="208"/>
        <v>0</v>
      </c>
      <c r="AW365" s="1795">
        <f t="shared" si="209"/>
        <v>0</v>
      </c>
      <c r="AX365" s="1795">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14"/>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15"/>
      <c r="AV366" s="1795">
        <f t="shared" si="208"/>
        <v>0</v>
      </c>
      <c r="AW366" s="1795">
        <f t="shared" si="209"/>
        <v>0</v>
      </c>
      <c r="AX366" s="1795">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14"/>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7">A367</f>
        <v>0</v>
      </c>
      <c r="AW367" s="1795">
        <f t="shared" ref="AW367:AW397" si="238">B367</f>
        <v>0</v>
      </c>
      <c r="AX367" s="1795">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14"/>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15"/>
      <c r="AV368" s="1795">
        <f t="shared" si="237"/>
        <v>0</v>
      </c>
      <c r="AW368" s="1795">
        <f t="shared" si="238"/>
        <v>0</v>
      </c>
      <c r="AX368" s="1795">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14"/>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15"/>
      <c r="AV369" s="1795">
        <f t="shared" si="237"/>
        <v>0</v>
      </c>
      <c r="AW369" s="1795">
        <f t="shared" si="238"/>
        <v>0</v>
      </c>
      <c r="AX369" s="1795">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14"/>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15"/>
      <c r="AV370" s="1795">
        <f t="shared" si="237"/>
        <v>0</v>
      </c>
      <c r="AW370" s="1795">
        <f t="shared" si="238"/>
        <v>0</v>
      </c>
      <c r="AX370" s="1795">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14"/>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15"/>
      <c r="AV371" s="1795">
        <f t="shared" si="237"/>
        <v>0</v>
      </c>
      <c r="AW371" s="1795">
        <f t="shared" si="238"/>
        <v>0</v>
      </c>
      <c r="AX371" s="1795">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14"/>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15"/>
      <c r="AV372" s="1795">
        <f t="shared" si="237"/>
        <v>0</v>
      </c>
      <c r="AW372" s="1795">
        <f t="shared" si="238"/>
        <v>0</v>
      </c>
      <c r="AX372" s="1795">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14"/>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15"/>
      <c r="AV373" s="1795">
        <f t="shared" si="237"/>
        <v>0</v>
      </c>
      <c r="AW373" s="1795">
        <f t="shared" si="238"/>
        <v>0</v>
      </c>
      <c r="AX373" s="1795">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14"/>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15"/>
      <c r="AV374" s="1795">
        <f t="shared" si="237"/>
        <v>0</v>
      </c>
      <c r="AW374" s="1795">
        <f t="shared" si="238"/>
        <v>0</v>
      </c>
      <c r="AX374" s="1795">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14"/>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15"/>
      <c r="AV375" s="1795">
        <f t="shared" si="237"/>
        <v>0</v>
      </c>
      <c r="AW375" s="1795">
        <f t="shared" si="238"/>
        <v>0</v>
      </c>
      <c r="AX375" s="1795">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14"/>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15"/>
      <c r="AV376" s="1795">
        <f t="shared" si="237"/>
        <v>0</v>
      </c>
      <c r="AW376" s="1795">
        <f t="shared" si="238"/>
        <v>0</v>
      </c>
      <c r="AX376" s="1795">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14"/>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15"/>
      <c r="AV377" s="1795">
        <f t="shared" si="237"/>
        <v>0</v>
      </c>
      <c r="AW377" s="1795">
        <f t="shared" si="238"/>
        <v>0</v>
      </c>
      <c r="AX377" s="1795">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14"/>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15"/>
      <c r="AV378" s="1795">
        <f t="shared" si="237"/>
        <v>0</v>
      </c>
      <c r="AW378" s="1795">
        <f t="shared" si="238"/>
        <v>0</v>
      </c>
      <c r="AX378" s="1795">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14"/>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15"/>
      <c r="AV379" s="1795">
        <f t="shared" si="237"/>
        <v>0</v>
      </c>
      <c r="AW379" s="1795">
        <f t="shared" si="238"/>
        <v>0</v>
      </c>
      <c r="AX379" s="1795">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14"/>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15"/>
      <c r="AV380" s="1795">
        <f t="shared" si="237"/>
        <v>0</v>
      </c>
      <c r="AW380" s="1795">
        <f t="shared" si="238"/>
        <v>0</v>
      </c>
      <c r="AX380" s="1795">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14"/>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15"/>
      <c r="AV381" s="1795">
        <f t="shared" si="237"/>
        <v>0</v>
      </c>
      <c r="AW381" s="1795">
        <f t="shared" si="238"/>
        <v>0</v>
      </c>
      <c r="AX381" s="1795">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14"/>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15"/>
      <c r="AV382" s="1795">
        <f t="shared" si="237"/>
        <v>0</v>
      </c>
      <c r="AW382" s="1795">
        <f t="shared" si="238"/>
        <v>0</v>
      </c>
      <c r="AX382" s="1795">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14"/>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15"/>
      <c r="AV383" s="1795">
        <f t="shared" si="237"/>
        <v>0</v>
      </c>
      <c r="AW383" s="1795">
        <f t="shared" si="238"/>
        <v>0</v>
      </c>
      <c r="AX383" s="1795">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14"/>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15"/>
      <c r="AV384" s="1795">
        <f t="shared" si="237"/>
        <v>0</v>
      </c>
      <c r="AW384" s="1795">
        <f t="shared" si="238"/>
        <v>0</v>
      </c>
      <c r="AX384" s="1795">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14"/>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15"/>
      <c r="AV385" s="1795">
        <f t="shared" si="237"/>
        <v>0</v>
      </c>
      <c r="AW385" s="1795">
        <f t="shared" si="238"/>
        <v>0</v>
      </c>
      <c r="AX385" s="1795">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14"/>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15"/>
      <c r="AV386" s="1795">
        <f t="shared" si="237"/>
        <v>0</v>
      </c>
      <c r="AW386" s="1795">
        <f t="shared" si="238"/>
        <v>0</v>
      </c>
      <c r="AX386" s="1795">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14"/>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15"/>
      <c r="AV387" s="1795">
        <f t="shared" si="237"/>
        <v>0</v>
      </c>
      <c r="AW387" s="1795">
        <f t="shared" si="238"/>
        <v>0</v>
      </c>
      <c r="AX387" s="1795">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14"/>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15"/>
      <c r="AV388" s="1795">
        <f t="shared" si="237"/>
        <v>0</v>
      </c>
      <c r="AW388" s="1795">
        <f t="shared" si="238"/>
        <v>0</v>
      </c>
      <c r="AX388" s="1795">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14"/>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15"/>
      <c r="AV389" s="1795">
        <f t="shared" si="237"/>
        <v>0</v>
      </c>
      <c r="AW389" s="1795">
        <f t="shared" si="238"/>
        <v>0</v>
      </c>
      <c r="AX389" s="1795">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14"/>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15"/>
      <c r="AV390" s="1795">
        <f t="shared" si="237"/>
        <v>0</v>
      </c>
      <c r="AW390" s="1795">
        <f t="shared" si="238"/>
        <v>0</v>
      </c>
      <c r="AX390" s="1795">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14"/>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15"/>
      <c r="AV391" s="1795">
        <f t="shared" si="237"/>
        <v>0</v>
      </c>
      <c r="AW391" s="1795">
        <f t="shared" si="238"/>
        <v>0</v>
      </c>
      <c r="AX391" s="1795">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14"/>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15"/>
      <c r="AV392" s="1795">
        <f t="shared" si="237"/>
        <v>0</v>
      </c>
      <c r="AW392" s="1795">
        <f t="shared" si="238"/>
        <v>0</v>
      </c>
      <c r="AX392" s="1795">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14"/>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15"/>
      <c r="AV393" s="1795">
        <f t="shared" si="237"/>
        <v>0</v>
      </c>
      <c r="AW393" s="1795">
        <f t="shared" si="238"/>
        <v>0</v>
      </c>
      <c r="AX393" s="1795">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14"/>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15"/>
      <c r="AV394" s="1795">
        <f t="shared" si="237"/>
        <v>0</v>
      </c>
      <c r="AW394" s="1795">
        <f t="shared" si="238"/>
        <v>0</v>
      </c>
      <c r="AX394" s="1795">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14"/>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50"/>
      <c r="AV395" s="1795">
        <f t="shared" si="237"/>
        <v>0</v>
      </c>
      <c r="AW395" s="1795">
        <f t="shared" si="238"/>
        <v>0</v>
      </c>
      <c r="AX395" s="1795">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14"/>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7"/>
        <v>0</v>
      </c>
      <c r="AW396" s="1795">
        <f t="shared" si="238"/>
        <v>0</v>
      </c>
      <c r="AX396" s="1795">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14"/>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7"/>
        <v>0</v>
      </c>
      <c r="AW397" s="1795">
        <f t="shared" si="238"/>
        <v>0</v>
      </c>
      <c r="AX397" s="1795">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14"/>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4">A398</f>
        <v>0</v>
      </c>
      <c r="AW398" s="1795">
        <f t="shared" ref="AW398:AW492" si="245">B398</f>
        <v>0</v>
      </c>
      <c r="AX398" s="1795">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14"/>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15"/>
      <c r="AV399" s="1795">
        <f t="shared" si="244"/>
        <v>0</v>
      </c>
      <c r="AW399" s="1795">
        <f t="shared" si="245"/>
        <v>0</v>
      </c>
      <c r="AX399" s="1795">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14"/>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15"/>
      <c r="AV400" s="1795">
        <f t="shared" si="244"/>
        <v>0</v>
      </c>
      <c r="AW400" s="1795">
        <f t="shared" si="245"/>
        <v>0</v>
      </c>
      <c r="AX400" s="1795">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14"/>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15"/>
      <c r="AV401" s="1795">
        <f t="shared" si="244"/>
        <v>0</v>
      </c>
      <c r="AW401" s="1795">
        <f t="shared" si="245"/>
        <v>0</v>
      </c>
      <c r="AX401" s="1795">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14"/>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15"/>
      <c r="AV402" s="1795">
        <f t="shared" si="244"/>
        <v>0</v>
      </c>
      <c r="AW402" s="1795">
        <f t="shared" si="245"/>
        <v>0</v>
      </c>
      <c r="AX402" s="1795">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14"/>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15"/>
      <c r="AV403" s="1795">
        <f t="shared" si="244"/>
        <v>0</v>
      </c>
      <c r="AW403" s="1795">
        <f t="shared" si="245"/>
        <v>0</v>
      </c>
      <c r="AX403" s="1795">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14"/>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15"/>
      <c r="AV404" s="1795">
        <f t="shared" si="244"/>
        <v>0</v>
      </c>
      <c r="AW404" s="1795">
        <f t="shared" si="245"/>
        <v>0</v>
      </c>
      <c r="AX404" s="1795">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14"/>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15"/>
      <c r="AV405" s="1795">
        <f t="shared" si="244"/>
        <v>0</v>
      </c>
      <c r="AW405" s="1795">
        <f t="shared" si="245"/>
        <v>0</v>
      </c>
      <c r="AX405" s="1795">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14"/>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15"/>
      <c r="AV406" s="1795">
        <f t="shared" si="244"/>
        <v>0</v>
      </c>
      <c r="AW406" s="1795">
        <f t="shared" si="245"/>
        <v>0</v>
      </c>
      <c r="AX406" s="1795">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14"/>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15"/>
      <c r="AV407" s="1795">
        <f t="shared" si="244"/>
        <v>0</v>
      </c>
      <c r="AW407" s="1795">
        <f t="shared" si="245"/>
        <v>0</v>
      </c>
      <c r="AX407" s="1795">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14"/>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15"/>
      <c r="AV408" s="1795">
        <f t="shared" si="244"/>
        <v>0</v>
      </c>
      <c r="AW408" s="1795">
        <f t="shared" si="245"/>
        <v>0</v>
      </c>
      <c r="AX408" s="1795">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14"/>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15"/>
      <c r="AV409" s="1795">
        <f t="shared" si="244"/>
        <v>0</v>
      </c>
      <c r="AW409" s="1795">
        <f t="shared" si="245"/>
        <v>0</v>
      </c>
      <c r="AX409" s="1795">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14"/>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15"/>
      <c r="AV410" s="1795">
        <f t="shared" si="244"/>
        <v>0</v>
      </c>
      <c r="AW410" s="1795">
        <f t="shared" si="245"/>
        <v>0</v>
      </c>
      <c r="AX410" s="1795">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14"/>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15"/>
      <c r="AV411" s="1795">
        <f t="shared" si="244"/>
        <v>0</v>
      </c>
      <c r="AW411" s="1795">
        <f t="shared" si="245"/>
        <v>0</v>
      </c>
      <c r="AX411" s="1795">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14"/>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15"/>
      <c r="AV412" s="1795">
        <f t="shared" si="244"/>
        <v>0</v>
      </c>
      <c r="AW412" s="1795">
        <f t="shared" si="245"/>
        <v>0</v>
      </c>
      <c r="AX412" s="1795">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14"/>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15"/>
      <c r="AV413" s="1795">
        <f t="shared" si="244"/>
        <v>0</v>
      </c>
      <c r="AW413" s="1795">
        <f t="shared" si="245"/>
        <v>0</v>
      </c>
      <c r="AX413" s="1795">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14"/>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15"/>
      <c r="AV414" s="1795">
        <f t="shared" si="244"/>
        <v>0</v>
      </c>
      <c r="AW414" s="1795">
        <f t="shared" si="245"/>
        <v>0</v>
      </c>
      <c r="AX414" s="1795">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14"/>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15"/>
      <c r="AV415" s="1795">
        <f t="shared" si="244"/>
        <v>0</v>
      </c>
      <c r="AW415" s="1795">
        <f t="shared" si="245"/>
        <v>0</v>
      </c>
      <c r="AX415" s="1795">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14"/>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15"/>
      <c r="AV416" s="1795">
        <f t="shared" si="244"/>
        <v>0</v>
      </c>
      <c r="AW416" s="1795">
        <f t="shared" si="245"/>
        <v>0</v>
      </c>
      <c r="AX416" s="1795">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14"/>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15"/>
      <c r="AV417" s="1795">
        <f t="shared" si="244"/>
        <v>0</v>
      </c>
      <c r="AW417" s="1795">
        <f t="shared" si="245"/>
        <v>0</v>
      </c>
      <c r="AX417" s="1795">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14"/>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15"/>
      <c r="AV418" s="1795">
        <f t="shared" si="244"/>
        <v>0</v>
      </c>
      <c r="AW418" s="1795">
        <f t="shared" si="245"/>
        <v>0</v>
      </c>
      <c r="AX418" s="1795">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14"/>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15"/>
      <c r="AV419" s="1795">
        <f t="shared" si="244"/>
        <v>0</v>
      </c>
      <c r="AW419" s="1795">
        <f t="shared" si="245"/>
        <v>0</v>
      </c>
      <c r="AX419" s="1795">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14"/>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15"/>
      <c r="AV420" s="1795">
        <f t="shared" si="244"/>
        <v>0</v>
      </c>
      <c r="AW420" s="1795">
        <f t="shared" si="245"/>
        <v>0</v>
      </c>
      <c r="AX420" s="1795">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14"/>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15"/>
      <c r="AV421" s="1795">
        <f t="shared" si="244"/>
        <v>0</v>
      </c>
      <c r="AW421" s="1795">
        <f t="shared" si="245"/>
        <v>0</v>
      </c>
      <c r="AX421" s="1795">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14"/>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15"/>
      <c r="AV422" s="1795">
        <f t="shared" si="244"/>
        <v>0</v>
      </c>
      <c r="AW422" s="1795">
        <f t="shared" si="245"/>
        <v>0</v>
      </c>
      <c r="AX422" s="1795">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14"/>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15"/>
      <c r="AV423" s="1795">
        <f t="shared" si="244"/>
        <v>0</v>
      </c>
      <c r="AW423" s="1795">
        <f t="shared" si="245"/>
        <v>0</v>
      </c>
      <c r="AX423" s="1795">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14"/>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15"/>
      <c r="AV424" s="1795">
        <f t="shared" si="244"/>
        <v>0</v>
      </c>
      <c r="AW424" s="1795">
        <f t="shared" si="245"/>
        <v>0</v>
      </c>
      <c r="AX424" s="1795">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14"/>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15"/>
      <c r="AV425" s="1795">
        <f t="shared" si="244"/>
        <v>0</v>
      </c>
      <c r="AW425" s="1795">
        <f t="shared" si="245"/>
        <v>0</v>
      </c>
      <c r="AX425" s="1795">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14"/>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15"/>
      <c r="AV426" s="1795">
        <f t="shared" si="244"/>
        <v>0</v>
      </c>
      <c r="AW426" s="1795">
        <f t="shared" si="245"/>
        <v>0</v>
      </c>
      <c r="AX426" s="1795">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14"/>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15"/>
      <c r="AV427" s="1795">
        <f t="shared" si="244"/>
        <v>0</v>
      </c>
      <c r="AW427" s="1795">
        <f t="shared" si="245"/>
        <v>0</v>
      </c>
      <c r="AX427" s="1795">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14"/>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15"/>
      <c r="AV428" s="1795">
        <f t="shared" si="244"/>
        <v>0</v>
      </c>
      <c r="AW428" s="1795">
        <f t="shared" si="245"/>
        <v>0</v>
      </c>
      <c r="AX428" s="1795">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14"/>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15"/>
      <c r="AV429" s="1795">
        <f t="shared" si="244"/>
        <v>0</v>
      </c>
      <c r="AW429" s="1795">
        <f t="shared" si="245"/>
        <v>0</v>
      </c>
      <c r="AX429" s="1795">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14"/>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15"/>
      <c r="AV430" s="1795">
        <f t="shared" si="244"/>
        <v>0</v>
      </c>
      <c r="AW430" s="1795">
        <f t="shared" si="245"/>
        <v>0</v>
      </c>
      <c r="AX430" s="1795">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14"/>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15"/>
      <c r="AV431" s="1795">
        <f t="shared" si="244"/>
        <v>0</v>
      </c>
      <c r="AW431" s="1795">
        <f t="shared" si="245"/>
        <v>0</v>
      </c>
      <c r="AX431" s="1795">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14"/>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15"/>
      <c r="AV432" s="1795">
        <f t="shared" si="244"/>
        <v>0</v>
      </c>
      <c r="AW432" s="1795">
        <f t="shared" si="245"/>
        <v>0</v>
      </c>
      <c r="AX432" s="1795">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14"/>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15"/>
      <c r="AV433" s="1795">
        <f t="shared" si="244"/>
        <v>0</v>
      </c>
      <c r="AW433" s="1795">
        <f t="shared" si="245"/>
        <v>0</v>
      </c>
      <c r="AX433" s="1795">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14"/>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15"/>
      <c r="AV434" s="1795">
        <f t="shared" si="244"/>
        <v>0</v>
      </c>
      <c r="AW434" s="1795">
        <f t="shared" si="245"/>
        <v>0</v>
      </c>
      <c r="AX434" s="1795">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14"/>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15"/>
      <c r="AV435" s="1795">
        <f t="shared" si="244"/>
        <v>0</v>
      </c>
      <c r="AW435" s="1795">
        <f t="shared" si="245"/>
        <v>0</v>
      </c>
      <c r="AX435" s="1795">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14"/>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15"/>
      <c r="AV436" s="1795">
        <f t="shared" si="244"/>
        <v>0</v>
      </c>
      <c r="AW436" s="1795">
        <f t="shared" si="245"/>
        <v>0</v>
      </c>
      <c r="AX436" s="1795">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14"/>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15"/>
      <c r="AV437" s="1795">
        <f t="shared" si="244"/>
        <v>0</v>
      </c>
      <c r="AW437" s="1795">
        <f t="shared" si="245"/>
        <v>0</v>
      </c>
      <c r="AX437" s="1795">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14"/>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15"/>
      <c r="AV438" s="1795">
        <f t="shared" si="244"/>
        <v>0</v>
      </c>
      <c r="AW438" s="1795">
        <f t="shared" si="245"/>
        <v>0</v>
      </c>
      <c r="AX438" s="1795">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14"/>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15"/>
      <c r="AV439" s="1795">
        <f t="shared" si="244"/>
        <v>0</v>
      </c>
      <c r="AW439" s="1795">
        <f t="shared" si="245"/>
        <v>0</v>
      </c>
      <c r="AX439" s="1795">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14"/>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15"/>
      <c r="AV440" s="1795">
        <f t="shared" si="244"/>
        <v>0</v>
      </c>
      <c r="AW440" s="1795">
        <f t="shared" si="245"/>
        <v>0</v>
      </c>
      <c r="AX440" s="1795">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14"/>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15"/>
      <c r="AV441" s="1795">
        <f t="shared" si="244"/>
        <v>0</v>
      </c>
      <c r="AW441" s="1795">
        <f t="shared" si="245"/>
        <v>0</v>
      </c>
      <c r="AX441" s="1795">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14"/>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15"/>
      <c r="AV442" s="1795">
        <f t="shared" si="244"/>
        <v>0</v>
      </c>
      <c r="AW442" s="1795">
        <f t="shared" si="245"/>
        <v>0</v>
      </c>
      <c r="AX442" s="1795">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14"/>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15"/>
      <c r="AV443" s="1795">
        <f t="shared" si="244"/>
        <v>0</v>
      </c>
      <c r="AW443" s="1795">
        <f t="shared" si="245"/>
        <v>0</v>
      </c>
      <c r="AX443" s="1795">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14"/>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15"/>
      <c r="AV444" s="1795">
        <f t="shared" si="244"/>
        <v>0</v>
      </c>
      <c r="AW444" s="1795">
        <f t="shared" si="245"/>
        <v>0</v>
      </c>
      <c r="AX444" s="1795">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14"/>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15"/>
      <c r="AV445" s="1795">
        <f t="shared" si="244"/>
        <v>0</v>
      </c>
      <c r="AW445" s="1795">
        <f t="shared" si="245"/>
        <v>0</v>
      </c>
      <c r="AX445" s="1795">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14"/>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15"/>
      <c r="AV446" s="1795">
        <f t="shared" si="244"/>
        <v>0</v>
      </c>
      <c r="AW446" s="1795">
        <f t="shared" si="245"/>
        <v>0</v>
      </c>
      <c r="AX446" s="1795">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14"/>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15"/>
      <c r="AV447" s="1795">
        <f t="shared" si="244"/>
        <v>0</v>
      </c>
      <c r="AW447" s="1795">
        <f t="shared" si="245"/>
        <v>0</v>
      </c>
      <c r="AX447" s="1795">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14"/>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15"/>
      <c r="AV448" s="1795">
        <f t="shared" si="244"/>
        <v>0</v>
      </c>
      <c r="AW448" s="1795">
        <f t="shared" si="245"/>
        <v>0</v>
      </c>
      <c r="AX448" s="1795">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14"/>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15"/>
      <c r="AV449" s="1795">
        <f t="shared" si="244"/>
        <v>0</v>
      </c>
      <c r="AW449" s="1795">
        <f t="shared" si="245"/>
        <v>0</v>
      </c>
      <c r="AX449" s="1795">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14"/>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15"/>
      <c r="AV450" s="1795">
        <f t="shared" si="244"/>
        <v>0</v>
      </c>
      <c r="AW450" s="1795">
        <f t="shared" si="245"/>
        <v>0</v>
      </c>
      <c r="AX450" s="1795">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14"/>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15"/>
      <c r="AV451" s="1795">
        <f t="shared" si="244"/>
        <v>0</v>
      </c>
      <c r="AW451" s="1795">
        <f t="shared" si="245"/>
        <v>0</v>
      </c>
      <c r="AX451" s="1795">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14"/>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15"/>
      <c r="AV452" s="1795">
        <f t="shared" si="244"/>
        <v>0</v>
      </c>
      <c r="AW452" s="1795">
        <f t="shared" si="245"/>
        <v>0</v>
      </c>
      <c r="AX452" s="1795">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14"/>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15"/>
      <c r="AV453" s="1795">
        <f t="shared" si="244"/>
        <v>0</v>
      </c>
      <c r="AW453" s="1795">
        <f t="shared" si="245"/>
        <v>0</v>
      </c>
      <c r="AX453" s="1795">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14"/>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15"/>
      <c r="AV454" s="1795">
        <f t="shared" si="244"/>
        <v>0</v>
      </c>
      <c r="AW454" s="1795">
        <f t="shared" si="245"/>
        <v>0</v>
      </c>
      <c r="AX454" s="1795">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14"/>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15"/>
      <c r="AV455" s="1795">
        <f t="shared" si="244"/>
        <v>0</v>
      </c>
      <c r="AW455" s="1795">
        <f t="shared" si="245"/>
        <v>0</v>
      </c>
      <c r="AX455" s="1795">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14"/>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15"/>
      <c r="AV456" s="1795">
        <f t="shared" si="244"/>
        <v>0</v>
      </c>
      <c r="AW456" s="1795">
        <f t="shared" si="245"/>
        <v>0</v>
      </c>
      <c r="AX456" s="1795">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14"/>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15"/>
      <c r="AV457" s="1795">
        <f t="shared" si="244"/>
        <v>0</v>
      </c>
      <c r="AW457" s="1795">
        <f t="shared" si="245"/>
        <v>0</v>
      </c>
      <c r="AX457" s="1795">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14"/>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15"/>
      <c r="AV458" s="1795">
        <f t="shared" si="244"/>
        <v>0</v>
      </c>
      <c r="AW458" s="1795">
        <f t="shared" si="245"/>
        <v>0</v>
      </c>
      <c r="AX458" s="1795">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14"/>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15"/>
      <c r="AV459" s="1795">
        <f t="shared" si="244"/>
        <v>0</v>
      </c>
      <c r="AW459" s="1795">
        <f t="shared" si="245"/>
        <v>0</v>
      </c>
      <c r="AX459" s="1795">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14"/>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15"/>
      <c r="AV460" s="1795">
        <f t="shared" si="244"/>
        <v>0</v>
      </c>
      <c r="AW460" s="1795">
        <f t="shared" si="245"/>
        <v>0</v>
      </c>
      <c r="AX460" s="1795">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14"/>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15"/>
      <c r="AV461" s="1795">
        <f t="shared" si="244"/>
        <v>0</v>
      </c>
      <c r="AW461" s="1795">
        <f t="shared" si="245"/>
        <v>0</v>
      </c>
      <c r="AX461" s="1795">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14"/>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15"/>
      <c r="AV462" s="1795">
        <f t="shared" si="244"/>
        <v>0</v>
      </c>
      <c r="AW462" s="1795">
        <f t="shared" si="245"/>
        <v>0</v>
      </c>
      <c r="AX462" s="1795">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14"/>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15"/>
      <c r="AV463" s="1795">
        <f t="shared" si="244"/>
        <v>0</v>
      </c>
      <c r="AW463" s="1795">
        <f t="shared" si="245"/>
        <v>0</v>
      </c>
      <c r="AX463" s="1795">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14"/>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15"/>
      <c r="AV464" s="1795">
        <f t="shared" si="244"/>
        <v>0</v>
      </c>
      <c r="AW464" s="1795">
        <f t="shared" si="245"/>
        <v>0</v>
      </c>
      <c r="AX464" s="1795">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14"/>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15"/>
      <c r="AV465" s="1795">
        <f t="shared" si="244"/>
        <v>0</v>
      </c>
      <c r="AW465" s="1795">
        <f t="shared" si="245"/>
        <v>0</v>
      </c>
      <c r="AX465" s="1795">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14"/>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15"/>
      <c r="AV466" s="1795">
        <f t="shared" si="244"/>
        <v>0</v>
      </c>
      <c r="AW466" s="1795">
        <f t="shared" si="245"/>
        <v>0</v>
      </c>
      <c r="AX466" s="1795">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14"/>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15"/>
      <c r="AV467" s="1795">
        <f t="shared" si="244"/>
        <v>0</v>
      </c>
      <c r="AW467" s="1795">
        <f t="shared" si="245"/>
        <v>0</v>
      </c>
      <c r="AX467" s="1795">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14"/>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15"/>
      <c r="AV468" s="1795">
        <f t="shared" si="244"/>
        <v>0</v>
      </c>
      <c r="AW468" s="1795">
        <f t="shared" si="245"/>
        <v>0</v>
      </c>
      <c r="AX468" s="1795">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14"/>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15"/>
      <c r="AV469" s="1795">
        <f t="shared" si="244"/>
        <v>0</v>
      </c>
      <c r="AW469" s="1795">
        <f t="shared" si="245"/>
        <v>0</v>
      </c>
      <c r="AX469" s="1795">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14"/>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15"/>
      <c r="AV470" s="1795">
        <f t="shared" si="244"/>
        <v>0</v>
      </c>
      <c r="AW470" s="1795">
        <f t="shared" si="245"/>
        <v>0</v>
      </c>
      <c r="AX470" s="1795">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14"/>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15"/>
      <c r="AV471" s="1795">
        <f t="shared" si="244"/>
        <v>0</v>
      </c>
      <c r="AW471" s="1795">
        <f t="shared" si="245"/>
        <v>0</v>
      </c>
      <c r="AX471" s="1795">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14"/>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15"/>
      <c r="AV472" s="1795">
        <f t="shared" si="244"/>
        <v>0</v>
      </c>
      <c r="AW472" s="1795">
        <f t="shared" si="245"/>
        <v>0</v>
      </c>
      <c r="AX472" s="1795">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14"/>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15"/>
      <c r="AV473" s="1795">
        <f t="shared" si="244"/>
        <v>0</v>
      </c>
      <c r="AW473" s="1795">
        <f t="shared" si="245"/>
        <v>0</v>
      </c>
      <c r="AX473" s="1795">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14"/>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15"/>
      <c r="AV474" s="1795">
        <f t="shared" si="244"/>
        <v>0</v>
      </c>
      <c r="AW474" s="1795">
        <f t="shared" si="245"/>
        <v>0</v>
      </c>
      <c r="AX474" s="1795">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14"/>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15"/>
      <c r="AV475" s="1795">
        <f t="shared" si="244"/>
        <v>0</v>
      </c>
      <c r="AW475" s="1795">
        <f t="shared" si="245"/>
        <v>0</v>
      </c>
      <c r="AX475" s="1795">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14"/>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15"/>
      <c r="AV476" s="1795">
        <f t="shared" si="244"/>
        <v>0</v>
      </c>
      <c r="AW476" s="1795">
        <f t="shared" si="245"/>
        <v>0</v>
      </c>
      <c r="AX476" s="1795">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14"/>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15"/>
      <c r="AV477" s="1795">
        <f t="shared" si="244"/>
        <v>0</v>
      </c>
      <c r="AW477" s="1795">
        <f t="shared" si="245"/>
        <v>0</v>
      </c>
      <c r="AX477" s="1795">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14"/>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15"/>
      <c r="AV478" s="1795">
        <f t="shared" si="244"/>
        <v>0</v>
      </c>
      <c r="AW478" s="1795">
        <f t="shared" si="245"/>
        <v>0</v>
      </c>
      <c r="AX478" s="1795">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14"/>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15"/>
      <c r="AV479" s="1795">
        <f t="shared" si="244"/>
        <v>0</v>
      </c>
      <c r="AW479" s="1795">
        <f t="shared" si="245"/>
        <v>0</v>
      </c>
      <c r="AX479" s="1795">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14"/>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15"/>
      <c r="AV480" s="1795">
        <f t="shared" si="244"/>
        <v>0</v>
      </c>
      <c r="AW480" s="1795">
        <f t="shared" si="245"/>
        <v>0</v>
      </c>
      <c r="AX480" s="1795">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14"/>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15"/>
      <c r="AV481" s="1795">
        <f t="shared" si="244"/>
        <v>0</v>
      </c>
      <c r="AW481" s="1795">
        <f t="shared" si="245"/>
        <v>0</v>
      </c>
      <c r="AX481" s="1795">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14"/>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15"/>
      <c r="AV482" s="1795">
        <f t="shared" si="244"/>
        <v>0</v>
      </c>
      <c r="AW482" s="1795">
        <f t="shared" si="245"/>
        <v>0</v>
      </c>
      <c r="AX482" s="1795">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14"/>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15"/>
      <c r="AV483" s="1795">
        <f t="shared" si="244"/>
        <v>0</v>
      </c>
      <c r="AW483" s="1795">
        <f t="shared" si="245"/>
        <v>0</v>
      </c>
      <c r="AX483" s="1795">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14"/>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15"/>
      <c r="AV484" s="1795">
        <f t="shared" si="244"/>
        <v>0</v>
      </c>
      <c r="AW484" s="1795">
        <f t="shared" si="245"/>
        <v>0</v>
      </c>
      <c r="AX484" s="1795">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14"/>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15"/>
      <c r="AV485" s="1795">
        <f t="shared" si="244"/>
        <v>0</v>
      </c>
      <c r="AW485" s="1795">
        <f t="shared" si="245"/>
        <v>0</v>
      </c>
      <c r="AX485" s="1795">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14"/>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15"/>
      <c r="AV486" s="1795">
        <f t="shared" si="244"/>
        <v>0</v>
      </c>
      <c r="AW486" s="1795">
        <f t="shared" si="245"/>
        <v>0</v>
      </c>
      <c r="AX486" s="1795">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14"/>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15"/>
      <c r="AV487" s="1795">
        <f t="shared" si="244"/>
        <v>0</v>
      </c>
      <c r="AW487" s="1795">
        <f t="shared" si="245"/>
        <v>0</v>
      </c>
      <c r="AX487" s="1795">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14"/>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15"/>
      <c r="AV488" s="1795">
        <f t="shared" si="244"/>
        <v>0</v>
      </c>
      <c r="AW488" s="1795">
        <f t="shared" si="245"/>
        <v>0</v>
      </c>
      <c r="AX488" s="1795">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14"/>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15"/>
      <c r="AV489" s="1795">
        <f t="shared" si="244"/>
        <v>0</v>
      </c>
      <c r="AW489" s="1795">
        <f t="shared" si="245"/>
        <v>0</v>
      </c>
      <c r="AX489" s="1795">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14"/>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4"/>
        <v>0</v>
      </c>
      <c r="AW490" s="1795">
        <f t="shared" si="245"/>
        <v>0</v>
      </c>
      <c r="AX490" s="1795">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14"/>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50"/>
      <c r="AV491" s="1795">
        <f t="shared" si="244"/>
        <v>0</v>
      </c>
      <c r="AW491" s="1795">
        <f t="shared" si="245"/>
        <v>0</v>
      </c>
      <c r="AX491" s="1795">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14"/>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50"/>
      <c r="AV492" s="1795">
        <f t="shared" si="244"/>
        <v>0</v>
      </c>
      <c r="AW492" s="1795">
        <f t="shared" si="245"/>
        <v>0</v>
      </c>
      <c r="AX492" s="1795">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14"/>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5">A493</f>
        <v>0</v>
      </c>
      <c r="AW493" s="1795">
        <f t="shared" ref="AW493:AW520" si="296">B493</f>
        <v>0</v>
      </c>
      <c r="AX493" s="1795">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14"/>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15"/>
      <c r="AV494" s="1795">
        <f t="shared" si="295"/>
        <v>0</v>
      </c>
      <c r="AW494" s="1795">
        <f t="shared" si="296"/>
        <v>0</v>
      </c>
      <c r="AX494" s="1795">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14"/>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15"/>
      <c r="AV495" s="1795">
        <f t="shared" si="295"/>
        <v>0</v>
      </c>
      <c r="AW495" s="1795">
        <f t="shared" si="296"/>
        <v>0</v>
      </c>
      <c r="AX495" s="1795">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14"/>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15"/>
      <c r="AV496" s="1795">
        <f t="shared" si="295"/>
        <v>0</v>
      </c>
      <c r="AW496" s="1795">
        <f t="shared" si="296"/>
        <v>0</v>
      </c>
      <c r="AX496" s="1795">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14"/>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15"/>
      <c r="AV497" s="1795">
        <f t="shared" si="295"/>
        <v>0</v>
      </c>
      <c r="AW497" s="1795">
        <f t="shared" si="296"/>
        <v>0</v>
      </c>
      <c r="AX497" s="1795">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14"/>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15"/>
      <c r="AV498" s="1795">
        <f t="shared" si="295"/>
        <v>0</v>
      </c>
      <c r="AW498" s="1795">
        <f t="shared" si="296"/>
        <v>0</v>
      </c>
      <c r="AX498" s="1795">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14"/>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15"/>
      <c r="AV499" s="1795">
        <f t="shared" si="295"/>
        <v>0</v>
      </c>
      <c r="AW499" s="1795">
        <f t="shared" si="296"/>
        <v>0</v>
      </c>
      <c r="AX499" s="1795">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14"/>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15"/>
      <c r="AV500" s="1795">
        <f t="shared" si="295"/>
        <v>0</v>
      </c>
      <c r="AW500" s="1795">
        <f t="shared" si="296"/>
        <v>0</v>
      </c>
      <c r="AX500" s="1795">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14"/>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15"/>
      <c r="AV501" s="1795">
        <f t="shared" si="295"/>
        <v>0</v>
      </c>
      <c r="AW501" s="1795">
        <f t="shared" si="296"/>
        <v>0</v>
      </c>
      <c r="AX501" s="1795">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14"/>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15"/>
      <c r="AV502" s="1795">
        <f t="shared" si="295"/>
        <v>0</v>
      </c>
      <c r="AW502" s="1795">
        <f t="shared" si="296"/>
        <v>0</v>
      </c>
      <c r="AX502" s="1795">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14"/>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15"/>
      <c r="AV503" s="1795">
        <f t="shared" si="295"/>
        <v>0</v>
      </c>
      <c r="AW503" s="1795">
        <f t="shared" si="296"/>
        <v>0</v>
      </c>
      <c r="AX503" s="1795">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14"/>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15"/>
      <c r="AV504" s="1795">
        <f t="shared" si="295"/>
        <v>0</v>
      </c>
      <c r="AW504" s="1795">
        <f t="shared" si="296"/>
        <v>0</v>
      </c>
      <c r="AX504" s="1795">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14"/>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15"/>
      <c r="AV505" s="1795">
        <f t="shared" si="295"/>
        <v>0</v>
      </c>
      <c r="AW505" s="1795">
        <f t="shared" si="296"/>
        <v>0</v>
      </c>
      <c r="AX505" s="1795">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14"/>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15"/>
      <c r="AV506" s="1795">
        <f t="shared" si="295"/>
        <v>0</v>
      </c>
      <c r="AW506" s="1795">
        <f t="shared" si="296"/>
        <v>0</v>
      </c>
      <c r="AX506" s="1795">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14"/>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15"/>
      <c r="AV507" s="1795">
        <f t="shared" si="295"/>
        <v>0</v>
      </c>
      <c r="AW507" s="1795">
        <f t="shared" si="296"/>
        <v>0</v>
      </c>
      <c r="AX507" s="1795">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14"/>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15"/>
      <c r="AV508" s="1795">
        <f t="shared" si="295"/>
        <v>0</v>
      </c>
      <c r="AW508" s="1795">
        <f t="shared" si="296"/>
        <v>0</v>
      </c>
      <c r="AX508" s="1795">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14"/>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15"/>
      <c r="AV509" s="1795">
        <f t="shared" si="295"/>
        <v>0</v>
      </c>
      <c r="AW509" s="1795">
        <f t="shared" si="296"/>
        <v>0</v>
      </c>
      <c r="AX509" s="1795">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14"/>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15"/>
      <c r="AV510" s="1795">
        <f t="shared" si="295"/>
        <v>0</v>
      </c>
      <c r="AW510" s="1795">
        <f t="shared" si="296"/>
        <v>0</v>
      </c>
      <c r="AX510" s="1795">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14"/>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15"/>
      <c r="AV511" s="1795">
        <f t="shared" si="295"/>
        <v>0</v>
      </c>
      <c r="AW511" s="1795">
        <f t="shared" si="296"/>
        <v>0</v>
      </c>
      <c r="AX511" s="1795">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14"/>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15"/>
      <c r="AV512" s="1795">
        <f t="shared" si="295"/>
        <v>0</v>
      </c>
      <c r="AW512" s="1795">
        <f t="shared" si="296"/>
        <v>0</v>
      </c>
      <c r="AX512" s="1795">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14"/>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15"/>
      <c r="AV513" s="1795">
        <f t="shared" si="295"/>
        <v>0</v>
      </c>
      <c r="AW513" s="1795">
        <f t="shared" si="296"/>
        <v>0</v>
      </c>
      <c r="AX513" s="1795">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14"/>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15"/>
      <c r="AV514" s="1795">
        <f t="shared" si="295"/>
        <v>0</v>
      </c>
      <c r="AW514" s="1795">
        <f t="shared" si="296"/>
        <v>0</v>
      </c>
      <c r="AX514" s="1795">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14"/>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15"/>
      <c r="AV515" s="1795">
        <f t="shared" si="295"/>
        <v>0</v>
      </c>
      <c r="AW515" s="1795">
        <f t="shared" si="296"/>
        <v>0</v>
      </c>
      <c r="AX515" s="1795">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14"/>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15"/>
      <c r="AV516" s="1795">
        <f t="shared" si="295"/>
        <v>0</v>
      </c>
      <c r="AW516" s="1795">
        <f t="shared" si="296"/>
        <v>0</v>
      </c>
      <c r="AX516" s="1795">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14"/>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15"/>
      <c r="AV517" s="1795">
        <f t="shared" si="295"/>
        <v>0</v>
      </c>
      <c r="AW517" s="1795">
        <f t="shared" si="296"/>
        <v>0</v>
      </c>
      <c r="AX517" s="1795">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14"/>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15"/>
      <c r="AV518" s="1795">
        <f t="shared" si="295"/>
        <v>0</v>
      </c>
      <c r="AW518" s="1795">
        <f t="shared" si="296"/>
        <v>0</v>
      </c>
      <c r="AX518" s="1795">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14"/>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15"/>
      <c r="AV519" s="1795">
        <f t="shared" si="295"/>
        <v>0</v>
      </c>
      <c r="AW519" s="1795">
        <f t="shared" si="296"/>
        <v>0</v>
      </c>
      <c r="AX519" s="1795">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14"/>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15"/>
      <c r="AV520" s="1795">
        <f t="shared" si="295"/>
        <v>0</v>
      </c>
      <c r="AW520" s="1795">
        <f t="shared" si="296"/>
        <v>0</v>
      </c>
      <c r="AX520" s="1795">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14"/>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9">A521</f>
        <v>0</v>
      </c>
      <c r="AW521" s="1795">
        <f t="shared" ref="AW521:AW552" si="300">B521</f>
        <v>0</v>
      </c>
      <c r="AX521" s="1795">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14"/>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9"/>
        <v>0</v>
      </c>
      <c r="AW522" s="1795">
        <f t="shared" si="300"/>
        <v>0</v>
      </c>
      <c r="AX522" s="1795">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14"/>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15"/>
      <c r="AV523" s="1795">
        <f t="shared" si="299"/>
        <v>0</v>
      </c>
      <c r="AW523" s="1795">
        <f t="shared" si="300"/>
        <v>0</v>
      </c>
      <c r="AX523" s="1795">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14"/>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15"/>
      <c r="AV524" s="1795">
        <f t="shared" si="299"/>
        <v>0</v>
      </c>
      <c r="AW524" s="1795">
        <f t="shared" si="300"/>
        <v>0</v>
      </c>
      <c r="AX524" s="1795">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14"/>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15"/>
      <c r="AV525" s="1795">
        <f t="shared" si="299"/>
        <v>0</v>
      </c>
      <c r="AW525" s="1795">
        <f t="shared" si="300"/>
        <v>0</v>
      </c>
      <c r="AX525" s="1795">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14"/>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15"/>
      <c r="AV526" s="1795">
        <f t="shared" si="299"/>
        <v>0</v>
      </c>
      <c r="AW526" s="1795">
        <f t="shared" si="300"/>
        <v>0</v>
      </c>
      <c r="AX526" s="1795">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14"/>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15"/>
      <c r="AV527" s="1795">
        <f t="shared" si="299"/>
        <v>0</v>
      </c>
      <c r="AW527" s="1795">
        <f t="shared" si="300"/>
        <v>0</v>
      </c>
      <c r="AX527" s="1795">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14"/>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15"/>
      <c r="AV528" s="1795">
        <f t="shared" si="299"/>
        <v>0</v>
      </c>
      <c r="AW528" s="1795">
        <f t="shared" si="300"/>
        <v>0</v>
      </c>
      <c r="AX528" s="1795">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14"/>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15"/>
      <c r="AV529" s="1795">
        <f t="shared" si="299"/>
        <v>0</v>
      </c>
      <c r="AW529" s="1795">
        <f t="shared" si="300"/>
        <v>0</v>
      </c>
      <c r="AX529" s="1795">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14"/>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15"/>
      <c r="AV530" s="1795">
        <f t="shared" si="299"/>
        <v>0</v>
      </c>
      <c r="AW530" s="1795">
        <f t="shared" si="300"/>
        <v>0</v>
      </c>
      <c r="AX530" s="1795">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14"/>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15"/>
      <c r="AV531" s="1795">
        <f t="shared" si="299"/>
        <v>0</v>
      </c>
      <c r="AW531" s="1795">
        <f t="shared" si="300"/>
        <v>0</v>
      </c>
      <c r="AX531" s="1795">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14"/>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15"/>
      <c r="AV532" s="1795">
        <f t="shared" si="299"/>
        <v>0</v>
      </c>
      <c r="AW532" s="1795">
        <f t="shared" si="300"/>
        <v>0</v>
      </c>
      <c r="AX532" s="1795">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14"/>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15"/>
      <c r="AV533" s="1795">
        <f t="shared" si="299"/>
        <v>0</v>
      </c>
      <c r="AW533" s="1795">
        <f t="shared" si="300"/>
        <v>0</v>
      </c>
      <c r="AX533" s="1795">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14"/>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15"/>
      <c r="AV534" s="1795">
        <f t="shared" si="299"/>
        <v>0</v>
      </c>
      <c r="AW534" s="1795">
        <f t="shared" si="300"/>
        <v>0</v>
      </c>
      <c r="AX534" s="1795">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14"/>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15"/>
      <c r="AV535" s="1795">
        <f t="shared" si="299"/>
        <v>0</v>
      </c>
      <c r="AW535" s="1795">
        <f t="shared" si="300"/>
        <v>0</v>
      </c>
      <c r="AX535" s="1795">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14"/>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15"/>
      <c r="AV536" s="1795">
        <f t="shared" si="299"/>
        <v>0</v>
      </c>
      <c r="AW536" s="1795">
        <f t="shared" si="300"/>
        <v>0</v>
      </c>
      <c r="AX536" s="1795">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14"/>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15"/>
      <c r="AV537" s="1795">
        <f t="shared" si="299"/>
        <v>0</v>
      </c>
      <c r="AW537" s="1795">
        <f t="shared" si="300"/>
        <v>0</v>
      </c>
      <c r="AX537" s="1795">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14"/>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15"/>
      <c r="AV538" s="1795">
        <f t="shared" si="299"/>
        <v>0</v>
      </c>
      <c r="AW538" s="1795">
        <f t="shared" si="300"/>
        <v>0</v>
      </c>
      <c r="AX538" s="1795">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14"/>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15"/>
      <c r="AV539" s="1795">
        <f t="shared" si="299"/>
        <v>0</v>
      </c>
      <c r="AW539" s="1795">
        <f t="shared" si="300"/>
        <v>0</v>
      </c>
      <c r="AX539" s="1795">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14"/>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15"/>
      <c r="AV540" s="1795">
        <f t="shared" si="299"/>
        <v>0</v>
      </c>
      <c r="AW540" s="1795">
        <f t="shared" si="300"/>
        <v>0</v>
      </c>
      <c r="AX540" s="1795">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14"/>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15"/>
      <c r="AV541" s="1795">
        <f t="shared" si="299"/>
        <v>0</v>
      </c>
      <c r="AW541" s="1795">
        <f t="shared" si="300"/>
        <v>0</v>
      </c>
      <c r="AX541" s="1795">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14"/>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15"/>
      <c r="AV542" s="1795">
        <f t="shared" si="299"/>
        <v>0</v>
      </c>
      <c r="AW542" s="1795">
        <f t="shared" si="300"/>
        <v>0</v>
      </c>
      <c r="AX542" s="1795">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14"/>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15"/>
      <c r="AV543" s="1795">
        <f t="shared" si="299"/>
        <v>0</v>
      </c>
      <c r="AW543" s="1795">
        <f t="shared" si="300"/>
        <v>0</v>
      </c>
      <c r="AX543" s="1795">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14"/>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15"/>
      <c r="AV544" s="1795">
        <f t="shared" si="299"/>
        <v>0</v>
      </c>
      <c r="AW544" s="1795">
        <f t="shared" si="300"/>
        <v>0</v>
      </c>
      <c r="AX544" s="1795">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14"/>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15"/>
      <c r="AV545" s="1795">
        <f t="shared" si="299"/>
        <v>0</v>
      </c>
      <c r="AW545" s="1795">
        <f t="shared" si="300"/>
        <v>0</v>
      </c>
      <c r="AX545" s="1795">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14"/>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15"/>
      <c r="AV546" s="1795">
        <f t="shared" si="299"/>
        <v>0</v>
      </c>
      <c r="AW546" s="1795">
        <f t="shared" si="300"/>
        <v>0</v>
      </c>
      <c r="AX546" s="1795">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14"/>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15"/>
      <c r="AV547" s="1795">
        <f t="shared" si="299"/>
        <v>0</v>
      </c>
      <c r="AW547" s="1795">
        <f t="shared" si="300"/>
        <v>0</v>
      </c>
      <c r="AX547" s="1795">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14"/>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15"/>
      <c r="AV548" s="1795">
        <f t="shared" si="299"/>
        <v>0</v>
      </c>
      <c r="AW548" s="1795">
        <f t="shared" si="300"/>
        <v>0</v>
      </c>
      <c r="AX548" s="1795">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14"/>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15"/>
      <c r="AV549" s="1795">
        <f t="shared" si="299"/>
        <v>0</v>
      </c>
      <c r="AW549" s="1795">
        <f t="shared" si="300"/>
        <v>0</v>
      </c>
      <c r="AX549" s="1795">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14"/>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15"/>
      <c r="AV550" s="1795">
        <f t="shared" si="299"/>
        <v>0</v>
      </c>
      <c r="AW550" s="1795">
        <f t="shared" si="300"/>
        <v>0</v>
      </c>
      <c r="AX550" s="1795">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14"/>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15"/>
      <c r="AV551" s="1795">
        <f t="shared" si="299"/>
        <v>0</v>
      </c>
      <c r="AW551" s="1795">
        <f t="shared" si="300"/>
        <v>0</v>
      </c>
      <c r="AX551" s="1795">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14"/>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15"/>
      <c r="AV552" s="1795">
        <f t="shared" si="299"/>
        <v>0</v>
      </c>
      <c r="AW552" s="1795">
        <f t="shared" si="300"/>
        <v>0</v>
      </c>
      <c r="AX552" s="1795">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14"/>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1">A553</f>
        <v>0</v>
      </c>
      <c r="AW553" s="1795">
        <f t="shared" ref="AW553:AW587" si="332">B553</f>
        <v>0</v>
      </c>
      <c r="AX553" s="1795">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14"/>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15"/>
      <c r="AV554" s="1795">
        <f t="shared" si="331"/>
        <v>0</v>
      </c>
      <c r="AW554" s="1795">
        <f t="shared" si="332"/>
        <v>0</v>
      </c>
      <c r="AX554" s="1795">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14"/>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15"/>
      <c r="AV555" s="1795">
        <f t="shared" si="331"/>
        <v>0</v>
      </c>
      <c r="AW555" s="1795">
        <f t="shared" si="332"/>
        <v>0</v>
      </c>
      <c r="AX555" s="1795">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14"/>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15"/>
      <c r="AV556" s="1795">
        <f t="shared" si="331"/>
        <v>0</v>
      </c>
      <c r="AW556" s="1795">
        <f t="shared" si="332"/>
        <v>0</v>
      </c>
      <c r="AX556" s="1795">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14"/>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15"/>
      <c r="AV557" s="1795">
        <f t="shared" si="331"/>
        <v>0</v>
      </c>
      <c r="AW557" s="1795">
        <f t="shared" si="332"/>
        <v>0</v>
      </c>
      <c r="AX557" s="1795">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14"/>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15"/>
      <c r="AV558" s="1795">
        <f t="shared" si="331"/>
        <v>0</v>
      </c>
      <c r="AW558" s="1795">
        <f t="shared" si="332"/>
        <v>0</v>
      </c>
      <c r="AX558" s="1795">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14"/>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15"/>
      <c r="AV559" s="1795">
        <f t="shared" si="331"/>
        <v>0</v>
      </c>
      <c r="AW559" s="1795">
        <f t="shared" si="332"/>
        <v>0</v>
      </c>
      <c r="AX559" s="1795">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14"/>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15"/>
      <c r="AV560" s="1795">
        <f t="shared" si="331"/>
        <v>0</v>
      </c>
      <c r="AW560" s="1795">
        <f t="shared" si="332"/>
        <v>0</v>
      </c>
      <c r="AX560" s="1795">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14"/>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15"/>
      <c r="AV561" s="1795">
        <f t="shared" si="331"/>
        <v>0</v>
      </c>
      <c r="AW561" s="1795">
        <f t="shared" si="332"/>
        <v>0</v>
      </c>
      <c r="AX561" s="1795">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14"/>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15"/>
      <c r="AV562" s="1795">
        <f t="shared" si="331"/>
        <v>0</v>
      </c>
      <c r="AW562" s="1795">
        <f t="shared" si="332"/>
        <v>0</v>
      </c>
      <c r="AX562" s="1795">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14"/>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15"/>
      <c r="AV563" s="1795">
        <f t="shared" si="331"/>
        <v>0</v>
      </c>
      <c r="AW563" s="1795">
        <f t="shared" si="332"/>
        <v>0</v>
      </c>
      <c r="AX563" s="1795">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14"/>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15"/>
      <c r="AV564" s="1795">
        <f t="shared" si="331"/>
        <v>0</v>
      </c>
      <c r="AW564" s="1795">
        <f t="shared" si="332"/>
        <v>0</v>
      </c>
      <c r="AX564" s="1795">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14"/>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15"/>
      <c r="AV565" s="1795">
        <f t="shared" si="331"/>
        <v>0</v>
      </c>
      <c r="AW565" s="1795">
        <f t="shared" si="332"/>
        <v>0</v>
      </c>
      <c r="AX565" s="1795">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14"/>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15"/>
      <c r="AV566" s="1795">
        <f t="shared" si="331"/>
        <v>0</v>
      </c>
      <c r="AW566" s="1795">
        <f t="shared" si="332"/>
        <v>0</v>
      </c>
      <c r="AX566" s="1795">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14"/>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15"/>
      <c r="AV567" s="1795">
        <f t="shared" si="331"/>
        <v>0</v>
      </c>
      <c r="AW567" s="1795">
        <f t="shared" si="332"/>
        <v>0</v>
      </c>
      <c r="AX567" s="1795">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14"/>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15"/>
      <c r="AV568" s="1795">
        <f t="shared" si="331"/>
        <v>0</v>
      </c>
      <c r="AW568" s="1795">
        <f t="shared" si="332"/>
        <v>0</v>
      </c>
      <c r="AX568" s="1795">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14"/>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15"/>
      <c r="AV569" s="1795">
        <f t="shared" si="331"/>
        <v>0</v>
      </c>
      <c r="AW569" s="1795">
        <f t="shared" si="332"/>
        <v>0</v>
      </c>
      <c r="AX569" s="1795">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14"/>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15"/>
      <c r="AV570" s="1795">
        <f t="shared" si="331"/>
        <v>0</v>
      </c>
      <c r="AW570" s="1795">
        <f t="shared" si="332"/>
        <v>0</v>
      </c>
      <c r="AX570" s="1795">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14"/>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15"/>
      <c r="AV571" s="1795">
        <f t="shared" si="331"/>
        <v>0</v>
      </c>
      <c r="AW571" s="1795">
        <f t="shared" si="332"/>
        <v>0</v>
      </c>
      <c r="AX571" s="1795">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14"/>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15"/>
      <c r="AV572" s="1795">
        <f t="shared" si="331"/>
        <v>0</v>
      </c>
      <c r="AW572" s="1795">
        <f t="shared" si="332"/>
        <v>0</v>
      </c>
      <c r="AX572" s="1795">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14"/>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15"/>
      <c r="AV573" s="1795">
        <f t="shared" si="331"/>
        <v>0</v>
      </c>
      <c r="AW573" s="1795">
        <f t="shared" si="332"/>
        <v>0</v>
      </c>
      <c r="AX573" s="1795">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14"/>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15"/>
      <c r="AV574" s="1795">
        <f t="shared" si="331"/>
        <v>0</v>
      </c>
      <c r="AW574" s="1795">
        <f t="shared" si="332"/>
        <v>0</v>
      </c>
      <c r="AX574" s="1795">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14"/>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15"/>
      <c r="AV575" s="1795">
        <f t="shared" si="331"/>
        <v>0</v>
      </c>
      <c r="AW575" s="1795">
        <f t="shared" si="332"/>
        <v>0</v>
      </c>
      <c r="AX575" s="1795">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14"/>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15"/>
      <c r="AV576" s="1795">
        <f t="shared" si="331"/>
        <v>0</v>
      </c>
      <c r="AW576" s="1795">
        <f t="shared" si="332"/>
        <v>0</v>
      </c>
      <c r="AX576" s="1795">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14"/>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15"/>
      <c r="AV577" s="1795">
        <f t="shared" si="331"/>
        <v>0</v>
      </c>
      <c r="AW577" s="1795">
        <f t="shared" si="332"/>
        <v>0</v>
      </c>
      <c r="AX577" s="1795">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14"/>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15"/>
      <c r="AV578" s="1795">
        <f t="shared" si="331"/>
        <v>0</v>
      </c>
      <c r="AW578" s="1795">
        <f t="shared" si="332"/>
        <v>0</v>
      </c>
      <c r="AX578" s="1795">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14"/>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15"/>
      <c r="AV579" s="1795">
        <f t="shared" si="331"/>
        <v>0</v>
      </c>
      <c r="AW579" s="1795">
        <f t="shared" si="332"/>
        <v>0</v>
      </c>
      <c r="AX579" s="1795">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14"/>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15"/>
      <c r="AV580" s="1795">
        <f t="shared" si="331"/>
        <v>0</v>
      </c>
      <c r="AW580" s="1795">
        <f t="shared" si="332"/>
        <v>0</v>
      </c>
      <c r="AX580" s="1795">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14"/>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15"/>
      <c r="AV581" s="1795">
        <f t="shared" si="331"/>
        <v>0</v>
      </c>
      <c r="AW581" s="1795">
        <f t="shared" si="332"/>
        <v>0</v>
      </c>
      <c r="AX581" s="1795">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14"/>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15"/>
      <c r="AV582" s="1795">
        <f t="shared" si="331"/>
        <v>0</v>
      </c>
      <c r="AW582" s="1795">
        <f t="shared" si="332"/>
        <v>0</v>
      </c>
      <c r="AX582" s="1795">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14"/>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15"/>
      <c r="AV583" s="1795">
        <f t="shared" si="331"/>
        <v>0</v>
      </c>
      <c r="AW583" s="1795">
        <f t="shared" si="332"/>
        <v>0</v>
      </c>
      <c r="AX583" s="1795">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14"/>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15"/>
      <c r="AV584" s="1795">
        <f t="shared" si="331"/>
        <v>0</v>
      </c>
      <c r="AW584" s="1795">
        <f t="shared" si="332"/>
        <v>0</v>
      </c>
      <c r="AX584" s="1795">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14"/>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1"/>
        <v>0</v>
      </c>
      <c r="AW585" s="1795">
        <f t="shared" si="332"/>
        <v>0</v>
      </c>
      <c r="AX585" s="1795">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1"/>
        <v>0</v>
      </c>
      <c r="AW586" s="1795">
        <f t="shared" si="332"/>
        <v>0</v>
      </c>
      <c r="AX586" s="1795">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1"/>
        <v>0</v>
      </c>
      <c r="AW587" s="1795">
        <f t="shared" si="332"/>
        <v>0</v>
      </c>
      <c r="AX587" s="1795">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2"/>
      <c r="C1" s="1392"/>
      <c r="D1" s="1392"/>
      <c r="E1" s="1392"/>
      <c r="F1" s="1392"/>
      <c r="G1" s="1392"/>
      <c r="H1" s="1392"/>
      <c r="I1" s="1392"/>
      <c r="J1" s="1392"/>
      <c r="K1" s="1392"/>
      <c r="L1" s="1392"/>
      <c r="M1" s="1392"/>
      <c r="N1" s="1392"/>
      <c r="O1" s="1392"/>
      <c r="P1" s="1392"/>
    </row>
    <row r="2" spans="1:16" ht="15">
      <c r="A2" s="3071" t="s">
        <v>1934</v>
      </c>
      <c r="B2" s="3071"/>
      <c r="C2" s="3071"/>
      <c r="D2" s="967" t="s">
        <v>1910</v>
      </c>
      <c r="E2" s="2223" t="s">
        <v>1911</v>
      </c>
      <c r="F2" s="1392"/>
      <c r="G2" s="2224"/>
      <c r="H2" s="2225"/>
      <c r="I2" s="2226" t="s">
        <v>1935</v>
      </c>
      <c r="J2" s="1392"/>
      <c r="K2" s="1392"/>
      <c r="L2" s="1392"/>
      <c r="M2" s="1392"/>
      <c r="N2" s="1427"/>
      <c r="O2" s="1392"/>
      <c r="P2" s="1392"/>
    </row>
    <row r="3" spans="1:16" ht="15.75" thickBot="1">
      <c r="A3" s="3072" t="s">
        <v>1908</v>
      </c>
      <c r="B3" s="3072"/>
      <c r="C3" s="3072"/>
      <c r="D3" s="46">
        <f>'数据-基础表'!AY6</f>
        <v>22955.7</v>
      </c>
      <c r="E3" s="46">
        <f>'数据-基础表'!AZ5</f>
        <v>85215.679999999964</v>
      </c>
      <c r="F3" s="1392"/>
      <c r="G3" s="1399"/>
      <c r="H3" s="1247" t="s">
        <v>1909</v>
      </c>
      <c r="I3" s="55">
        <f>ROUND('数据-基础表'!B3/'数据-基础表'!A3,2)</f>
        <v>3.71</v>
      </c>
      <c r="J3" s="1392"/>
      <c r="K3" s="1392"/>
      <c r="L3" s="1392"/>
      <c r="M3" s="1392"/>
      <c r="N3" s="1427"/>
      <c r="O3" s="1392"/>
      <c r="P3" s="1392"/>
    </row>
    <row r="4" spans="1:16" ht="15">
      <c r="A4" s="3073"/>
      <c r="B4" s="3074"/>
      <c r="C4" s="3075"/>
      <c r="D4" s="2227" t="s">
        <v>1910</v>
      </c>
      <c r="E4" s="2228" t="s">
        <v>1911</v>
      </c>
      <c r="F4" s="1392"/>
      <c r="G4" s="2229" t="s">
        <v>1936</v>
      </c>
      <c r="H4" s="1247" t="s">
        <v>1916</v>
      </c>
      <c r="I4" s="55">
        <f>ROUND(SUMIF('数据-基础表'!I9:AS9,"地上",'数据-基础表'!I5:AS5)/'数据-基础表'!A3,2)</f>
        <v>1.51</v>
      </c>
      <c r="J4" s="1392"/>
      <c r="K4" s="1392"/>
      <c r="L4" s="1392"/>
      <c r="M4" s="1392"/>
      <c r="N4" s="1427"/>
      <c r="O4" s="1392"/>
      <c r="P4" s="1392"/>
    </row>
    <row r="5" spans="1:16">
      <c r="A5" s="47" t="s">
        <v>1912</v>
      </c>
      <c r="B5" s="3076" t="s">
        <v>1913</v>
      </c>
      <c r="C5" s="3076"/>
      <c r="D5" s="48">
        <f>ROUND($D$3*E5/$E$3,2)</f>
        <v>14002.5</v>
      </c>
      <c r="E5" s="49">
        <f>SUMIF('数据-基础表'!$11:$11,"住宅",'数据-基础表'!$5:$5)</f>
        <v>51979.809999999961</v>
      </c>
      <c r="F5" s="1392"/>
      <c r="G5" s="1399"/>
      <c r="H5" s="1247" t="s">
        <v>1909</v>
      </c>
      <c r="I5" s="55">
        <f>ROUND(E31/D31,2)</f>
        <v>3.71</v>
      </c>
      <c r="J5" s="1392"/>
      <c r="K5" s="1392"/>
      <c r="L5" s="1392"/>
      <c r="M5" s="1392"/>
      <c r="N5" s="1392"/>
      <c r="O5" s="1392"/>
      <c r="P5" s="1392"/>
    </row>
    <row r="6" spans="1:16" ht="15" thickBot="1">
      <c r="A6" s="2230"/>
      <c r="B6" s="3076" t="s">
        <v>1914</v>
      </c>
      <c r="C6" s="3076"/>
      <c r="D6" s="48">
        <f>ROUND($D$3*E6/$E$3,2)</f>
        <v>8953.2000000000007</v>
      </c>
      <c r="E6" s="49">
        <f>E3-E5</f>
        <v>33235.870000000003</v>
      </c>
      <c r="F6" s="1392"/>
      <c r="G6" s="2231" t="s">
        <v>1915</v>
      </c>
      <c r="H6" s="1399" t="s">
        <v>1916</v>
      </c>
      <c r="I6" s="939">
        <f>ROUND(F31/D31,2)</f>
        <v>1.72</v>
      </c>
      <c r="J6" s="1392"/>
      <c r="K6" s="1392"/>
      <c r="L6" s="1392"/>
      <c r="M6" s="1392"/>
      <c r="N6" s="1392"/>
      <c r="O6" s="1392"/>
      <c r="P6" s="1392"/>
    </row>
    <row r="7" spans="1:16" ht="15">
      <c r="A7" s="3068"/>
      <c r="B7" s="3069"/>
      <c r="C7" s="3070"/>
      <c r="D7" s="2227" t="s">
        <v>1910</v>
      </c>
      <c r="E7" s="2232" t="s">
        <v>1917</v>
      </c>
      <c r="F7" s="1392"/>
      <c r="G7" s="2224" t="s">
        <v>1918</v>
      </c>
      <c r="H7" s="64"/>
      <c r="I7" s="420"/>
      <c r="J7" s="1392"/>
      <c r="K7" s="1392"/>
      <c r="L7" s="1392"/>
      <c r="M7" s="1392"/>
      <c r="N7" s="1392"/>
      <c r="O7" s="1392"/>
      <c r="P7" s="1392"/>
    </row>
    <row r="8" spans="1:16">
      <c r="A8" s="47" t="s">
        <v>1919</v>
      </c>
      <c r="B8" s="50" t="s">
        <v>1920</v>
      </c>
      <c r="C8" s="48" t="s">
        <v>1921</v>
      </c>
      <c r="D8" s="48">
        <f t="shared" ref="D8:D15" si="0">ROUND($D$3*E8/$E$3,2)</f>
        <v>10230.200000000001</v>
      </c>
      <c r="E8" s="51">
        <f>SUMIF('数据-基础表'!BB10:BK10,"地上",'数据-基础表'!BB5:BK5)</f>
        <v>37976.329999999965</v>
      </c>
      <c r="F8" s="1392"/>
      <c r="G8" s="2233"/>
      <c r="H8" s="2233"/>
      <c r="I8" s="1392"/>
      <c r="J8" s="1392"/>
      <c r="K8" s="1392"/>
      <c r="L8" s="1392"/>
      <c r="M8" s="1392"/>
      <c r="N8" s="1392"/>
      <c r="O8" s="1392"/>
      <c r="P8" s="1392"/>
    </row>
    <row r="9" spans="1:16">
      <c r="A9" s="2234"/>
      <c r="B9" s="2235"/>
      <c r="C9" s="48" t="s">
        <v>1922</v>
      </c>
      <c r="D9" s="48">
        <f t="shared" si="0"/>
        <v>0</v>
      </c>
      <c r="E9" s="52">
        <v>0</v>
      </c>
      <c r="F9" s="1392"/>
      <c r="G9" s="2233"/>
      <c r="H9" s="2233"/>
      <c r="I9" s="1392"/>
      <c r="J9" s="1392"/>
      <c r="K9" s="1392"/>
      <c r="L9" s="1392"/>
      <c r="M9" s="1392"/>
      <c r="N9" s="1392"/>
      <c r="O9" s="1392"/>
      <c r="P9" s="1392"/>
    </row>
    <row r="10" spans="1:16">
      <c r="A10" s="2234"/>
      <c r="B10" s="2235"/>
      <c r="C10" s="48" t="s">
        <v>1931</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1923</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1924</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1925</v>
      </c>
      <c r="D13" s="48">
        <f t="shared" si="0"/>
        <v>7187.04</v>
      </c>
      <c r="E13" s="51">
        <f>SUMPRODUCT(('数据-基础表'!BB10:BK10="地下")*('数据-基础表'!BB11:BK11="车库")*('数据-基础表'!BB5:BK5))</f>
        <v>26679.599999999999</v>
      </c>
      <c r="F13" s="1392"/>
      <c r="G13" s="2233"/>
      <c r="H13" s="2233"/>
      <c r="I13" s="1392"/>
      <c r="J13" s="1392"/>
      <c r="K13" s="1392"/>
      <c r="L13" s="1392"/>
      <c r="M13" s="1392"/>
      <c r="N13" s="1392"/>
      <c r="O13" s="1392"/>
      <c r="P13" s="1392"/>
    </row>
    <row r="14" spans="1:16">
      <c r="A14" s="2234"/>
      <c r="B14" s="2235"/>
      <c r="C14" s="48" t="s">
        <v>1937</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1932</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1926</v>
      </c>
      <c r="D16" s="50">
        <f>SUM(D8:D15)</f>
        <v>17417.240000000002</v>
      </c>
      <c r="E16" s="53">
        <f>SUM(E8:E15)</f>
        <v>64655.929999999964</v>
      </c>
      <c r="F16" s="1392"/>
      <c r="G16" s="2233"/>
      <c r="H16" s="2236" t="s">
        <v>1938</v>
      </c>
      <c r="I16" s="2237"/>
      <c r="J16" s="1392"/>
      <c r="K16" s="3065" t="s">
        <v>1938</v>
      </c>
      <c r="L16" s="3066"/>
      <c r="M16" s="3066"/>
      <c r="N16" s="3066"/>
      <c r="O16" s="3066"/>
      <c r="P16" s="3067"/>
    </row>
    <row r="17" spans="1:19" ht="15">
      <c r="A17" s="2238" t="s">
        <v>1939</v>
      </c>
      <c r="B17" s="2239" t="s">
        <v>1940</v>
      </c>
      <c r="C17" s="2240" t="s">
        <v>1941</v>
      </c>
      <c r="D17" s="2241" t="s">
        <v>1929</v>
      </c>
      <c r="E17" s="2242" t="s">
        <v>1930</v>
      </c>
      <c r="F17" s="2243"/>
      <c r="G17" s="2244"/>
      <c r="H17" s="2245" t="s">
        <v>1942</v>
      </c>
      <c r="I17" s="2246" t="s">
        <v>1927</v>
      </c>
      <c r="J17" s="1392"/>
      <c r="K17" s="3062" t="s">
        <v>1943</v>
      </c>
      <c r="L17" s="3063"/>
      <c r="M17" s="3064"/>
      <c r="N17" s="3062" t="s">
        <v>1944</v>
      </c>
      <c r="O17" s="3063"/>
      <c r="P17" s="3064"/>
      <c r="R17" s="2224" t="s">
        <v>1945</v>
      </c>
      <c r="S17" s="64"/>
    </row>
    <row r="18" spans="1:19" ht="15">
      <c r="A18" s="2234"/>
      <c r="B18" s="2247"/>
      <c r="C18" s="2248"/>
      <c r="D18" s="2249"/>
      <c r="E18" s="2250" t="s">
        <v>1946</v>
      </c>
      <c r="F18" s="2251" t="s">
        <v>1947</v>
      </c>
      <c r="G18" s="2252" t="s">
        <v>1948</v>
      </c>
      <c r="H18" s="1262" t="s">
        <v>1949</v>
      </c>
      <c r="I18" s="2253" t="s">
        <v>1950</v>
      </c>
      <c r="J18" s="1392"/>
      <c r="K18" s="1262" t="s">
        <v>1951</v>
      </c>
      <c r="L18" s="2254" t="s">
        <v>1952</v>
      </c>
      <c r="M18" s="1046" t="s">
        <v>1953</v>
      </c>
      <c r="N18" s="1262" t="s">
        <v>1951</v>
      </c>
      <c r="O18" s="2254" t="s">
        <v>1952</v>
      </c>
      <c r="P18" s="1046" t="s">
        <v>1953</v>
      </c>
      <c r="R18" s="1247" t="s">
        <v>1954</v>
      </c>
      <c r="S18" s="1247" t="s">
        <v>1955</v>
      </c>
    </row>
    <row r="19" spans="1:19">
      <c r="A19" s="2255"/>
      <c r="B19" s="50" t="s">
        <v>1928</v>
      </c>
      <c r="C19" s="2970"/>
      <c r="D19" s="48">
        <f>ROUND($D$3*E19/$E$3,2)</f>
        <v>0</v>
      </c>
      <c r="E19" s="56">
        <f t="shared" ref="E19:E26" si="1">SUM(F19:G19)</f>
        <v>0</v>
      </c>
      <c r="F19" s="57"/>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0</v>
      </c>
      <c r="S19" s="1248">
        <f t="shared" si="5"/>
        <v>0</v>
      </c>
    </row>
    <row r="20" spans="1:19">
      <c r="A20" s="2258"/>
      <c r="B20" s="50" t="s">
        <v>1956</v>
      </c>
      <c r="C20" s="2970" t="s">
        <v>3134</v>
      </c>
      <c r="D20" s="48">
        <f t="shared" ref="D20:D26" si="6">ROUND($D$3*E20/$E$3,2)</f>
        <v>7960.12</v>
      </c>
      <c r="E20" s="56">
        <f t="shared" si="1"/>
        <v>29549.379999999997</v>
      </c>
      <c r="F20" s="57">
        <f>SUM('数据-基础表'!O32:O37)</f>
        <v>29549.379999999997</v>
      </c>
      <c r="G20" s="58"/>
      <c r="H20" s="723">
        <f t="shared" ref="H20:H26" si="7">ROUND($D$3*I20/$E$3,2)</f>
        <v>454.3</v>
      </c>
      <c r="I20" s="51">
        <f t="shared" si="2"/>
        <v>1686.45</v>
      </c>
      <c r="J20" s="1392"/>
      <c r="K20" s="1391">
        <f t="shared" si="3"/>
        <v>1686.45</v>
      </c>
      <c r="L20" s="1247">
        <f t="shared" si="4"/>
        <v>0</v>
      </c>
      <c r="M20" s="1403">
        <f t="shared" ref="M20:M26" si="8">K20+L20</f>
        <v>1686.45</v>
      </c>
      <c r="N20" s="2256"/>
      <c r="O20" s="2257"/>
      <c r="P20" s="1403">
        <f t="shared" ref="P20:P26" si="9">N20+O20</f>
        <v>0</v>
      </c>
      <c r="R20" s="1247">
        <f t="shared" si="5"/>
        <v>8414.42</v>
      </c>
      <c r="S20" s="1248">
        <f t="shared" si="5"/>
        <v>31235.829999999998</v>
      </c>
    </row>
    <row r="21" spans="1:19">
      <c r="A21" s="2258"/>
      <c r="B21" s="50" t="s">
        <v>1956</v>
      </c>
      <c r="C21" s="2970" t="s">
        <v>3135</v>
      </c>
      <c r="D21" s="48">
        <f t="shared" si="6"/>
        <v>2251.67</v>
      </c>
      <c r="E21" s="56">
        <f t="shared" si="1"/>
        <v>8358.5999999999676</v>
      </c>
      <c r="F21" s="57">
        <f>SUM('数据-基础表'!Q32:Q37)</f>
        <v>8358.5999999999676</v>
      </c>
      <c r="G21" s="58"/>
      <c r="H21" s="723">
        <f t="shared" si="7"/>
        <v>128.51</v>
      </c>
      <c r="I21" s="51">
        <f t="shared" si="2"/>
        <v>477.04</v>
      </c>
      <c r="J21" s="1392"/>
      <c r="K21" s="1391">
        <f t="shared" si="3"/>
        <v>477.04</v>
      </c>
      <c r="L21" s="1247">
        <f t="shared" si="4"/>
        <v>0</v>
      </c>
      <c r="M21" s="1403">
        <f t="shared" si="8"/>
        <v>477.04</v>
      </c>
      <c r="N21" s="2256"/>
      <c r="O21" s="2257"/>
      <c r="P21" s="1403">
        <f t="shared" si="9"/>
        <v>0</v>
      </c>
      <c r="R21" s="1247">
        <f t="shared" si="5"/>
        <v>2380.1800000000003</v>
      </c>
      <c r="S21" s="1248">
        <f t="shared" si="5"/>
        <v>8835.6399999999685</v>
      </c>
    </row>
    <row r="22" spans="1:19">
      <c r="A22" s="2258"/>
      <c r="B22" s="50" t="s">
        <v>1956</v>
      </c>
      <c r="C22" s="2971" t="s">
        <v>3137</v>
      </c>
      <c r="D22" s="48">
        <f t="shared" si="6"/>
        <v>3790.72</v>
      </c>
      <c r="E22" s="56">
        <f t="shared" si="1"/>
        <v>14071.829999999998</v>
      </c>
      <c r="F22" s="61"/>
      <c r="G22" s="62">
        <f>SUM('数据-基础表'!K32:K40)</f>
        <v>14071.829999999998</v>
      </c>
      <c r="H22" s="723">
        <f t="shared" si="7"/>
        <v>216.34</v>
      </c>
      <c r="I22" s="51">
        <f t="shared" si="2"/>
        <v>803.11</v>
      </c>
      <c r="J22" s="1392"/>
      <c r="K22" s="1391">
        <f t="shared" si="3"/>
        <v>803.11</v>
      </c>
      <c r="L22" s="1247">
        <f t="shared" si="4"/>
        <v>0</v>
      </c>
      <c r="M22" s="1403">
        <f t="shared" si="8"/>
        <v>803.11</v>
      </c>
      <c r="N22" s="2256"/>
      <c r="O22" s="2257"/>
      <c r="P22" s="1403">
        <f t="shared" si="9"/>
        <v>0</v>
      </c>
      <c r="R22" s="1247">
        <f t="shared" si="5"/>
        <v>4007.06</v>
      </c>
      <c r="S22" s="1248">
        <f t="shared" si="5"/>
        <v>14874.939999999999</v>
      </c>
    </row>
    <row r="23" spans="1:19">
      <c r="A23" s="2258"/>
      <c r="B23" s="50" t="s">
        <v>1956</v>
      </c>
      <c r="C23" s="2971" t="s">
        <v>3138</v>
      </c>
      <c r="D23" s="48">
        <f>ROUND($D$3*E23/$E$3,2)</f>
        <v>7205.46</v>
      </c>
      <c r="E23" s="56">
        <f>SUM(F23:G23)</f>
        <v>26747.949999999997</v>
      </c>
      <c r="F23" s="61">
        <f>'数据-基础表'!S39</f>
        <v>68.349999999999994</v>
      </c>
      <c r="G23" s="62">
        <f>SUM('数据-基础表'!M32:M40)</f>
        <v>26679.599999999999</v>
      </c>
      <c r="H23" s="723">
        <f>ROUND($D$3*I23/$E$3,2)</f>
        <v>411.23</v>
      </c>
      <c r="I23" s="51">
        <f t="shared" si="2"/>
        <v>1526.56</v>
      </c>
      <c r="J23" s="1392"/>
      <c r="K23" s="1391">
        <f t="shared" si="3"/>
        <v>1526.56</v>
      </c>
      <c r="L23" s="1247">
        <f t="shared" si="4"/>
        <v>0</v>
      </c>
      <c r="M23" s="1403">
        <f t="shared" si="8"/>
        <v>1526.56</v>
      </c>
      <c r="N23" s="2256"/>
      <c r="O23" s="2257"/>
      <c r="P23" s="1403">
        <f t="shared" si="9"/>
        <v>0</v>
      </c>
      <c r="R23" s="1247">
        <f t="shared" si="5"/>
        <v>7616.6900000000005</v>
      </c>
      <c r="S23" s="1248">
        <f t="shared" si="5"/>
        <v>28274.51</v>
      </c>
    </row>
    <row r="24" spans="1:19">
      <c r="A24" s="2258"/>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43.5" thickBot="1">
      <c r="A27" s="2258"/>
      <c r="B27" s="48"/>
      <c r="C27" s="2261" t="s">
        <v>1957</v>
      </c>
      <c r="D27" s="1393">
        <f>SUM(D19:D26)</f>
        <v>21207.97</v>
      </c>
      <c r="E27" s="1394">
        <f>IF(SUM(E19:E26)='数据-基础表'!BA5,SUM(E19:E26),IF(F27="地上面积有误","面积有误","地下面积有误"))</f>
        <v>78727.759999999966</v>
      </c>
      <c r="F27" s="1393">
        <f>IF(SUM(F19:F26)=E8,SUM(F19:F26),"地上面积有误")</f>
        <v>37976.329999999965</v>
      </c>
      <c r="G27" s="1395">
        <f>SUM(G19:G26)</f>
        <v>40751.429999999993</v>
      </c>
      <c r="H27" s="1396">
        <f>SUM(H19:H26)</f>
        <v>1210.3800000000001</v>
      </c>
      <c r="I27" s="1397">
        <f>SUM(I19:I26)</f>
        <v>4493.16</v>
      </c>
      <c r="J27" s="1392"/>
      <c r="K27" s="1400">
        <f>SUM(K19:K26)</f>
        <v>4493.16</v>
      </c>
      <c r="L27" s="1401">
        <f>SUM(L19:L26)</f>
        <v>0</v>
      </c>
      <c r="M27" s="1404">
        <f>SUM(M19:M26)</f>
        <v>4493.16</v>
      </c>
      <c r="N27" s="1400">
        <f t="shared" ref="N27:O27" si="10">SUM(N19:N26)</f>
        <v>0</v>
      </c>
      <c r="O27" s="1401">
        <f t="shared" si="10"/>
        <v>0</v>
      </c>
      <c r="P27" s="1402">
        <f>SUM(P19:P26)</f>
        <v>0</v>
      </c>
      <c r="R27" s="1249" t="str">
        <f>IF(SUM(R19:R26)=$D$3,SUM(R19:R26),SUM(R19:R26)&amp;"误差"&amp;ROUND(SUM(R19:R26)-$D$3,2))</f>
        <v>22418.35误差-537.35</v>
      </c>
      <c r="S27" s="1247" t="str">
        <f>IF(SUM(S19:S26)=$E$3,SUM(S19:S26),SUM(S19:S26)&amp;"误差"&amp;ROUND(SUM(S19:S26)-E3,2))</f>
        <v>83220.92误差-1994.76</v>
      </c>
    </row>
    <row r="28" spans="1:19">
      <c r="A28" s="2258"/>
      <c r="B28" s="50" t="s">
        <v>1958</v>
      </c>
      <c r="C28" s="1259" t="s">
        <v>1959</v>
      </c>
      <c r="D28" s="48">
        <f>ROUND($D$3*E28/$E$3,2)</f>
        <v>1210.3800000000001</v>
      </c>
      <c r="E28" s="56">
        <f>SUM(F28:G28)</f>
        <v>4493.16</v>
      </c>
      <c r="F28" s="64">
        <f>'数据-基础表'!BQ5+'数据-基础表'!BS5</f>
        <v>285.61</v>
      </c>
      <c r="G28" s="65">
        <f>'数据-基础表'!BR5+'数据-基础表'!BT5</f>
        <v>4207.55</v>
      </c>
      <c r="H28" s="1392"/>
      <c r="I28" s="1392"/>
      <c r="J28" s="1392"/>
      <c r="K28" s="1392"/>
      <c r="L28" s="1392"/>
      <c r="M28" s="1392"/>
      <c r="N28" s="1392"/>
      <c r="O28" s="1392"/>
      <c r="P28" s="1392"/>
    </row>
    <row r="29" spans="1:19">
      <c r="A29" s="2258"/>
      <c r="B29" s="50" t="s">
        <v>1958</v>
      </c>
      <c r="C29" s="2262" t="s">
        <v>1960</v>
      </c>
      <c r="D29" s="48">
        <f>ROUND($D$3*E29/$E$3,2)</f>
        <v>537.36</v>
      </c>
      <c r="E29" s="56">
        <f>SUM(F29:G29)</f>
        <v>1994.7600000000002</v>
      </c>
      <c r="F29" s="66">
        <f>'数据-基础表'!BM5+'数据-基础表'!BO5</f>
        <v>1163.8000000000002</v>
      </c>
      <c r="G29" s="67">
        <f>'数据-基础表'!BN5+'数据-基础表'!BP5</f>
        <v>830.96</v>
      </c>
      <c r="H29" s="1392"/>
      <c r="I29" s="1392"/>
      <c r="J29" s="1392"/>
      <c r="K29" s="1392"/>
      <c r="L29" s="1392"/>
      <c r="M29" s="1392"/>
      <c r="N29" s="1392"/>
      <c r="O29" s="1392"/>
      <c r="P29" s="1392"/>
    </row>
    <row r="30" spans="1:19" ht="15">
      <c r="A30" s="2258"/>
      <c r="B30" s="50"/>
      <c r="C30" s="2263" t="s">
        <v>1957</v>
      </c>
      <c r="D30" s="1393">
        <f>SUM(D28:D29)</f>
        <v>1747.7400000000002</v>
      </c>
      <c r="E30" s="1393">
        <f>SUM(E28:E29)</f>
        <v>6487.92</v>
      </c>
      <c r="F30" s="1393">
        <f>SUM(F28:F29)</f>
        <v>1449.4100000000003</v>
      </c>
      <c r="G30" s="1395">
        <f>SUM(G28:G29)</f>
        <v>5038.51</v>
      </c>
      <c r="H30" s="1392"/>
      <c r="I30" s="1392"/>
      <c r="J30" s="1392"/>
      <c r="K30" s="1392"/>
      <c r="L30" s="1392"/>
      <c r="M30" s="1392"/>
      <c r="N30" s="1392"/>
      <c r="O30" s="1392"/>
      <c r="P30" s="1392"/>
    </row>
    <row r="31" spans="1:19" ht="15.75" thickBot="1">
      <c r="A31" s="2264"/>
      <c r="B31" s="2265"/>
      <c r="C31" s="1007" t="s">
        <v>1961</v>
      </c>
      <c r="D31" s="729">
        <f>D27+D30</f>
        <v>22955.710000000003</v>
      </c>
      <c r="E31" s="729">
        <f>E27+E30</f>
        <v>85215.679999999964</v>
      </c>
      <c r="F31" s="730">
        <f>F27+F30</f>
        <v>39425.739999999969</v>
      </c>
      <c r="G31" s="731">
        <f>G27+G30</f>
        <v>45789.939999999995</v>
      </c>
      <c r="H31" s="1392"/>
      <c r="I31" s="1392"/>
      <c r="J31" s="1392"/>
      <c r="K31" s="1392"/>
      <c r="L31" s="1392"/>
      <c r="M31" s="1392"/>
      <c r="N31" s="1392"/>
      <c r="O31" s="1392"/>
      <c r="P31" s="1392"/>
    </row>
    <row r="32" spans="1:19">
      <c r="A32" s="2229"/>
      <c r="B32" s="2229" t="s">
        <v>1962</v>
      </c>
      <c r="C32" s="2229"/>
      <c r="D32" s="2229"/>
      <c r="E32" s="1274">
        <f>SUMIF(C19:C26,"*住宅*",E19:E26)</f>
        <v>0</v>
      </c>
      <c r="F32" s="2229"/>
      <c r="G32" s="2229"/>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26" sqref="Q2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32"/>
      <c r="C1" s="1581"/>
      <c r="D1" s="2268"/>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1" t="s">
        <v>1964</v>
      </c>
      <c r="B2" s="1266">
        <f>项目基本情况!D3</f>
        <v>43111</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1" customFormat="1" ht="15" thickBot="1">
      <c r="A3" s="2029"/>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1"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40" t="s">
        <v>1969</v>
      </c>
      <c r="AA4" s="2240"/>
      <c r="AB4" s="2240"/>
      <c r="AC4" s="2240"/>
      <c r="AD4" s="2240"/>
      <c r="AE4" s="2238" t="s">
        <v>1970</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2" customFormat="1" ht="42">
      <c r="A5" s="2284" t="s">
        <v>1971</v>
      </c>
      <c r="B5" s="2285" t="s">
        <v>1972</v>
      </c>
      <c r="C5" s="2286" t="s">
        <v>1973</v>
      </c>
      <c r="D5" s="2287" t="s">
        <v>1974</v>
      </c>
      <c r="E5" s="1268" t="s">
        <v>1975</v>
      </c>
      <c r="F5" s="2288" t="s">
        <v>1976</v>
      </c>
      <c r="G5" s="1268" t="s">
        <v>1977</v>
      </c>
      <c r="H5" s="1268" t="s">
        <v>1978</v>
      </c>
      <c r="I5" s="1268" t="s">
        <v>1979</v>
      </c>
      <c r="J5" s="2289" t="s">
        <v>1980</v>
      </c>
      <c r="K5" s="2290" t="s">
        <v>1981</v>
      </c>
      <c r="L5" s="2291" t="s">
        <v>1982</v>
      </c>
      <c r="M5" s="2292" t="s">
        <v>1983</v>
      </c>
      <c r="N5" s="2293" t="s">
        <v>1984</v>
      </c>
      <c r="O5" s="2291" t="s">
        <v>1985</v>
      </c>
      <c r="P5" s="2294" t="s">
        <v>1986</v>
      </c>
      <c r="Q5" s="69" t="s">
        <v>1987</v>
      </c>
      <c r="R5" s="2295" t="s">
        <v>1988</v>
      </c>
      <c r="S5" s="2296" t="s">
        <v>1989</v>
      </c>
      <c r="T5" s="2297" t="s">
        <v>1990</v>
      </c>
      <c r="U5" s="1267" t="s">
        <v>1991</v>
      </c>
      <c r="V5" s="1268" t="s">
        <v>1992</v>
      </c>
      <c r="W5" s="1268" t="s">
        <v>1993</v>
      </c>
      <c r="X5" s="71"/>
      <c r="Y5" s="70" t="s">
        <v>1994</v>
      </c>
      <c r="Z5" s="2298" t="s">
        <v>1991</v>
      </c>
      <c r="AA5" s="1268" t="s">
        <v>1992</v>
      </c>
      <c r="AB5" s="1268" t="s">
        <v>1993</v>
      </c>
      <c r="AC5" s="71"/>
      <c r="AD5" s="71" t="s">
        <v>1994</v>
      </c>
      <c r="AE5" s="1267" t="s">
        <v>1995</v>
      </c>
      <c r="AF5" s="1268" t="s">
        <v>1996</v>
      </c>
      <c r="AG5" s="70" t="s">
        <v>1997</v>
      </c>
      <c r="AH5" s="1267" t="s">
        <v>1998</v>
      </c>
      <c r="AI5" s="2298" t="s">
        <v>1999</v>
      </c>
      <c r="AJ5" s="2298" t="s">
        <v>2000</v>
      </c>
      <c r="AK5" s="1268" t="s">
        <v>2001</v>
      </c>
      <c r="AL5" s="1268" t="s">
        <v>2002</v>
      </c>
      <c r="AM5" s="70" t="s">
        <v>2003</v>
      </c>
      <c r="AN5" s="2299" t="s">
        <v>2004</v>
      </c>
      <c r="AO5" s="2071" t="s">
        <v>2005</v>
      </c>
      <c r="AP5" s="1249" t="s">
        <v>2006</v>
      </c>
      <c r="AQ5" s="2300" t="s">
        <v>2007</v>
      </c>
      <c r="AR5" s="2300"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1">
        <f>'数据-汇总表'!C19</f>
        <v>0</v>
      </c>
      <c r="B6" s="2302" t="str">
        <f>IF(A6=0,"","经营性")</f>
        <v/>
      </c>
      <c r="C6" s="2303"/>
      <c r="D6" s="1051">
        <f>SUMIF(项目基本情况!D$12:I$12,C6,项目基本情况!D$14:I$14)</f>
        <v>0</v>
      </c>
      <c r="E6" s="1048" t="str">
        <f>IF(B6="","",SUMIF(项目基本情况!D$12:I$12,C6,项目基本情况!D$13:I$13))</f>
        <v/>
      </c>
      <c r="F6" s="72">
        <f>SUMIF(项目基本情况!D$12:I$12,C6,项目基本情况!D$15:I$15)</f>
        <v>0</v>
      </c>
      <c r="G6" s="73">
        <f>IF(ISERROR(ROUND(POWER(1+H6,D6-F6)*(POWER(1+H6,F6)-1)/(POWER(1+H6,D6)-1),3)),0,ROUND(POWER(1+H6,D6-F6)*(POWER(1+H6,F6)-1)/(POWER(1+H6,D6)-1),3))</f>
        <v>0</v>
      </c>
      <c r="H6" s="802"/>
      <c r="I6" s="802"/>
      <c r="J6" s="74"/>
      <c r="K6" s="1251">
        <f>SUMIF('数据-汇总表'!C$19:C$33,A6,'数据-汇总表'!E$19:E$33)</f>
        <v>0</v>
      </c>
      <c r="L6" s="803"/>
      <c r="M6" s="75">
        <f t="shared" ref="M6:M14" si="0">ROUND(K6*L6/10000,0)</f>
        <v>0</v>
      </c>
      <c r="N6" s="801"/>
      <c r="O6" s="75">
        <f>IF($N$5="成新度","——",ROUND(M6*N6,0))</f>
        <v>0</v>
      </c>
      <c r="P6" s="76">
        <f>IF($N$5="成新度","——",M6-O6)</f>
        <v>0</v>
      </c>
      <c r="Q6" s="804"/>
      <c r="R6" s="77">
        <f ca="1">SUMIF('数据-汇总表'!C$19:C$33,A6,'数据-汇总表'!R$19:R$27)</f>
        <v>0</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4"/>
      <c r="AO6" s="55" t="e">
        <f ca="1">SUMIF(INDIRECT("'"&amp;AN6&amp;"'"&amp;"!A:A"),"总价",INDIRECT("'"&amp;AN6&amp;"'"&amp;"!B:B"))</f>
        <v>#REF!</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1" customFormat="1" ht="14.25">
      <c r="A7" s="2301" t="str">
        <f>'数据-汇总表'!C20</f>
        <v>公租房</v>
      </c>
      <c r="B7" s="2302" t="str">
        <f t="shared" ref="B7:B13" si="1">IF(A7=0,"","经营性")</f>
        <v>经营性</v>
      </c>
      <c r="C7" s="2303" t="s">
        <v>3124</v>
      </c>
      <c r="D7" s="1051">
        <f>SUMIF(项目基本情况!D$12:I$12,C7,项目基本情况!D$14:I$14)</f>
        <v>70</v>
      </c>
      <c r="E7" s="1048">
        <f>IF(B7="","",SUMIF(项目基本情况!D$12:I$12,C7,项目基本情况!D$13:I$13))</f>
        <v>67921</v>
      </c>
      <c r="F7" s="72">
        <f>SUMIF(项目基本情况!D$12:I$12,C7,项目基本情况!D$15:I$15)</f>
        <v>67.97</v>
      </c>
      <c r="G7" s="73">
        <f t="shared" ref="G7:G11" si="2">IF(ISERROR(ROUND(POWER(1+H7,D7-F7)*(POWER(1+H7,F7)-1)/(POWER(1+H7,D7)-1),3)),0,ROUND(POWER(1+H7,D7-F7)*(POWER(1+H7,F7)-1)/(POWER(1+H7,D7)-1),3))</f>
        <v>0.99399999999999999</v>
      </c>
      <c r="H7" s="802">
        <v>0.04</v>
      </c>
      <c r="I7" s="802">
        <v>0.05</v>
      </c>
      <c r="J7" s="74">
        <v>8.5000000000000006E-2</v>
      </c>
      <c r="K7" s="1251">
        <f>SUMIF('数据-汇总表'!C$19:C$33,A7,'数据-汇总表'!E$19:E$33)</f>
        <v>29549.379999999997</v>
      </c>
      <c r="L7" s="803">
        <v>2600</v>
      </c>
      <c r="M7" s="75">
        <f t="shared" si="0"/>
        <v>7683</v>
      </c>
      <c r="N7" s="801">
        <v>0.65</v>
      </c>
      <c r="O7" s="75">
        <f t="shared" ref="O7:O14" si="3">IF($N$5="成新度","——",ROUND(M7*N7,0))</f>
        <v>4994</v>
      </c>
      <c r="P7" s="76">
        <f t="shared" ref="P7:P14" si="4">IF($N$5="成新度","——",M7-O7)</f>
        <v>2689</v>
      </c>
      <c r="Q7" s="2972">
        <v>0.03</v>
      </c>
      <c r="R7" s="77">
        <f ca="1">SUMIF('数据-汇总表'!C$19:C$33,A7,'数据-汇总表'!R$19:R$27)</f>
        <v>8414.42</v>
      </c>
      <c r="S7" s="54">
        <f>IF('数据-汇总表'!$I$17="按面积比例",SUMIF('数据-汇总表'!C$19:C$33,A7,'数据-汇总表'!K$19:K$33),SUMIF('数据-汇总表'!C$19:C$33,A7,'数据-汇总表'!N$19:N$33))</f>
        <v>1686.45</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v>1.4999999999999999E-2</v>
      </c>
      <c r="AL7" s="88">
        <v>1.5E-3</v>
      </c>
      <c r="AM7" s="89">
        <v>1.4999999999999999E-2</v>
      </c>
      <c r="AN7" s="2304"/>
      <c r="AO7" s="55" t="e">
        <f t="shared" ref="AO7:AO13" ca="1" si="8">SUMIF(INDIRECT("'"&amp;AN7&amp;"'"&amp;"!A:A"),"总价",INDIRECT("'"&amp;AN7&amp;"'"&amp;"!B:B"))</f>
        <v>#REF!</v>
      </c>
      <c r="AP7" s="2305">
        <f t="shared" ref="AP7:AP13" si="9">IF(C7="住宅",K7*L7,0)</f>
        <v>76828388</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1" customFormat="1" ht="14.25">
      <c r="A8" s="2301" t="str">
        <f>'数据-汇总表'!C21</f>
        <v>限价房</v>
      </c>
      <c r="B8" s="2302" t="str">
        <f t="shared" si="1"/>
        <v>经营性</v>
      </c>
      <c r="C8" s="2303" t="s">
        <v>3124</v>
      </c>
      <c r="D8" s="1051">
        <f>SUMIF(项目基本情况!D$12:I$12,C8,项目基本情况!D$14:I$14)</f>
        <v>70</v>
      </c>
      <c r="E8" s="1048">
        <f>IF(B8="","",SUMIF(项目基本情况!D$12:I$12,C8,项目基本情况!D$13:I$13))</f>
        <v>67921</v>
      </c>
      <c r="F8" s="72">
        <f>SUMIF(项目基本情况!D$12:I$12,C8,项目基本情况!D$15:I$15)</f>
        <v>67.97</v>
      </c>
      <c r="G8" s="73">
        <f t="shared" si="2"/>
        <v>0.99399999999999999</v>
      </c>
      <c r="H8" s="802">
        <v>0.04</v>
      </c>
      <c r="I8" s="802">
        <v>0.05</v>
      </c>
      <c r="J8" s="74">
        <v>8.5000000000000006E-2</v>
      </c>
      <c r="K8" s="1251">
        <f>SUMIF('数据-汇总表'!C$19:C$33,A8,'数据-汇总表'!E$19:E$33)</f>
        <v>8358.5999999999676</v>
      </c>
      <c r="L8" s="803">
        <v>2400</v>
      </c>
      <c r="M8" s="75">
        <f>ROUND(K8*L8/10000,0)</f>
        <v>2006</v>
      </c>
      <c r="N8" s="801">
        <v>0.75</v>
      </c>
      <c r="O8" s="75">
        <f t="shared" si="3"/>
        <v>1505</v>
      </c>
      <c r="P8" s="76">
        <f t="shared" si="4"/>
        <v>501</v>
      </c>
      <c r="Q8" s="2972">
        <v>0.03</v>
      </c>
      <c r="R8" s="77">
        <f ca="1">SUMIF('数据-汇总表'!C$19:C$33,A8,'数据-汇总表'!R$19:R$27)</f>
        <v>2380.1800000000003</v>
      </c>
      <c r="S8" s="54">
        <f>IF('数据-汇总表'!$I$17="按面积比例",SUMIF('数据-汇总表'!C$19:C$33,A8,'数据-汇总表'!K$19:K$33),SUMIF('数据-汇总表'!C$19:C$33,A8,'数据-汇总表'!N$19:N$33))</f>
        <v>477.04</v>
      </c>
      <c r="T8" s="1443">
        <f t="shared" si="5"/>
        <v>0</v>
      </c>
      <c r="U8" s="805"/>
      <c r="V8" s="806"/>
      <c r="W8" s="806"/>
      <c r="X8" s="1261"/>
      <c r="Y8" s="807"/>
      <c r="Z8" s="81"/>
      <c r="AA8" s="74"/>
      <c r="AB8" s="74"/>
      <c r="AC8" s="1261"/>
      <c r="AD8" s="82"/>
      <c r="AE8" s="1262">
        <f t="shared" ca="1" si="6"/>
        <v>0</v>
      </c>
      <c r="AF8" s="1804"/>
      <c r="AG8" s="147">
        <f t="shared" si="7"/>
        <v>0</v>
      </c>
      <c r="AH8" s="808"/>
      <c r="AI8" s="85"/>
      <c r="AJ8" s="86"/>
      <c r="AK8" s="87">
        <v>1.4999999999999999E-2</v>
      </c>
      <c r="AL8" s="88">
        <v>1.5E-3</v>
      </c>
      <c r="AM8" s="89">
        <v>1.4999999999999999E-2</v>
      </c>
      <c r="AN8" s="2304"/>
      <c r="AO8" s="55" t="e">
        <f t="shared" ca="1" si="8"/>
        <v>#REF!</v>
      </c>
      <c r="AP8" s="2305">
        <f t="shared" si="9"/>
        <v>20060639.999999922</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1" customFormat="1" ht="14.25">
      <c r="A9" s="2301" t="str">
        <f>'数据-汇总表'!C22</f>
        <v>仓储</v>
      </c>
      <c r="B9" s="2302" t="str">
        <f t="shared" si="1"/>
        <v>经营性</v>
      </c>
      <c r="C9" s="2303" t="s">
        <v>3136</v>
      </c>
      <c r="D9" s="1051">
        <f>SUMIF(项目基本情况!D$12:I$12,C9,项目基本情况!D$14:I$14)</f>
        <v>50</v>
      </c>
      <c r="E9" s="1048">
        <f>IF(B9="","",SUMIF(项目基本情况!D$12:I$12,C9,项目基本情况!D$13:I$13))</f>
        <v>60616</v>
      </c>
      <c r="F9" s="72">
        <f>SUMIF(项目基本情况!D$12:I$12,C9,项目基本情况!D$15:I$15)</f>
        <v>47.95</v>
      </c>
      <c r="G9" s="73">
        <f t="shared" si="2"/>
        <v>0.98599999999999999</v>
      </c>
      <c r="H9" s="74">
        <v>0.04</v>
      </c>
      <c r="I9" s="802">
        <v>0.05</v>
      </c>
      <c r="J9" s="74">
        <v>8.5000000000000006E-2</v>
      </c>
      <c r="K9" s="1251">
        <f>SUMIF('数据-汇总表'!C$19:C$33,A9,'数据-汇总表'!E$19:E$33)</f>
        <v>14071.829999999998</v>
      </c>
      <c r="L9" s="803">
        <v>2200</v>
      </c>
      <c r="M9" s="75">
        <f t="shared" si="0"/>
        <v>3096</v>
      </c>
      <c r="N9" s="801">
        <v>0.9</v>
      </c>
      <c r="O9" s="75">
        <f t="shared" si="3"/>
        <v>2786</v>
      </c>
      <c r="P9" s="76">
        <f t="shared" si="4"/>
        <v>310</v>
      </c>
      <c r="Q9" s="90">
        <v>0.1</v>
      </c>
      <c r="R9" s="77">
        <f ca="1">SUMIF('数据-汇总表'!C$19:C$33,A9,'数据-汇总表'!R$19:R$27)</f>
        <v>4007.06</v>
      </c>
      <c r="S9" s="54">
        <f>IF('数据-汇总表'!$I$17="按面积比例",SUMIF('数据-汇总表'!C$19:C$33,A9,'数据-汇总表'!K$19:K$33),SUMIF('数据-汇总表'!C$19:C$33,A9,'数据-汇总表'!N$19:N$33))</f>
        <v>803.11</v>
      </c>
      <c r="T9" s="1443">
        <f t="shared" si="5"/>
        <v>0</v>
      </c>
      <c r="U9" s="78">
        <v>1.3</v>
      </c>
      <c r="V9" s="79">
        <v>2.5000000000000001E-2</v>
      </c>
      <c r="W9" s="79">
        <v>0.1</v>
      </c>
      <c r="X9" s="1261"/>
      <c r="Y9" s="80">
        <v>1</v>
      </c>
      <c r="Z9" s="81"/>
      <c r="AA9" s="74"/>
      <c r="AB9" s="74"/>
      <c r="AC9" s="1261"/>
      <c r="AD9" s="82"/>
      <c r="AE9" s="1262">
        <f t="shared" ca="1" si="6"/>
        <v>47.550000000000004</v>
      </c>
      <c r="AF9" s="1804"/>
      <c r="AG9" s="147">
        <f t="shared" si="7"/>
        <v>0</v>
      </c>
      <c r="AH9" s="83"/>
      <c r="AI9" s="85">
        <v>365</v>
      </c>
      <c r="AJ9" s="86"/>
      <c r="AK9" s="87">
        <v>1.4999999999999999E-2</v>
      </c>
      <c r="AL9" s="88">
        <v>1.5E-3</v>
      </c>
      <c r="AM9" s="89">
        <v>1.4999999999999999E-2</v>
      </c>
      <c r="AN9" s="2304" t="s">
        <v>3147</v>
      </c>
      <c r="AO9" s="55">
        <f t="shared" ca="1" si="8"/>
        <v>12249</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1" customFormat="1" ht="14.25">
      <c r="A10" s="2301" t="str">
        <f>'数据-汇总表'!C23</f>
        <v>车库</v>
      </c>
      <c r="B10" s="2302" t="str">
        <f t="shared" si="1"/>
        <v>经营性</v>
      </c>
      <c r="C10" s="2303" t="s">
        <v>3133</v>
      </c>
      <c r="D10" s="1051">
        <f>SUMIF(项目基本情况!D$12:I$12,C10,项目基本情况!D$14:I$14)</f>
        <v>50</v>
      </c>
      <c r="E10" s="1048">
        <f>IF(B10="","",SUMIF(项目基本情况!D$12:I$12,C10,项目基本情况!D$13:I$13))</f>
        <v>60616</v>
      </c>
      <c r="F10" s="72">
        <f>SUMIF(项目基本情况!D$12:I$12,C10,项目基本情况!D$15:I$15)</f>
        <v>47.95</v>
      </c>
      <c r="G10" s="73">
        <f t="shared" si="2"/>
        <v>0.98599999999999999</v>
      </c>
      <c r="H10" s="74">
        <v>0.04</v>
      </c>
      <c r="I10" s="802">
        <v>0.05</v>
      </c>
      <c r="J10" s="74">
        <v>8.5000000000000006E-2</v>
      </c>
      <c r="K10" s="1251">
        <f>SUMIF('数据-汇总表'!C$19:C$33,A10,'数据-汇总表'!E$19:E$33)</f>
        <v>26747.949999999997</v>
      </c>
      <c r="L10" s="803">
        <v>2200</v>
      </c>
      <c r="M10" s="75">
        <f t="shared" si="0"/>
        <v>5885</v>
      </c>
      <c r="N10" s="801">
        <v>0.9</v>
      </c>
      <c r="O10" s="75">
        <f t="shared" si="3"/>
        <v>5297</v>
      </c>
      <c r="P10" s="76">
        <f t="shared" si="4"/>
        <v>588</v>
      </c>
      <c r="Q10" s="90">
        <v>0.1</v>
      </c>
      <c r="R10" s="77">
        <f ca="1">SUMIF('数据-汇总表'!C$19:C$33,A10,'数据-汇总表'!R$19:R$27)</f>
        <v>7616.6900000000005</v>
      </c>
      <c r="S10" s="54">
        <f>IF('数据-汇总表'!$I$17="按面积比例",SUMIF('数据-汇总表'!C$19:C$33,A10,'数据-汇总表'!K$19:K$33),SUMIF('数据-汇总表'!C$19:C$33,A10,'数据-汇总表'!N$19:N$33))</f>
        <v>1526.56</v>
      </c>
      <c r="T10" s="1443">
        <f t="shared" si="5"/>
        <v>0</v>
      </c>
      <c r="U10" s="78">
        <v>1.4</v>
      </c>
      <c r="V10" s="79">
        <v>2.5000000000000001E-2</v>
      </c>
      <c r="W10" s="79">
        <v>0.1</v>
      </c>
      <c r="X10" s="1261"/>
      <c r="Y10" s="80">
        <v>1</v>
      </c>
      <c r="Z10" s="81"/>
      <c r="AA10" s="74"/>
      <c r="AB10" s="74"/>
      <c r="AC10" s="1261"/>
      <c r="AD10" s="82"/>
      <c r="AE10" s="1262">
        <f t="shared" ca="1" si="6"/>
        <v>47.550000000000004</v>
      </c>
      <c r="AF10" s="1804"/>
      <c r="AG10" s="147">
        <f t="shared" si="7"/>
        <v>0</v>
      </c>
      <c r="AH10" s="83"/>
      <c r="AI10" s="85">
        <v>365</v>
      </c>
      <c r="AJ10" s="86"/>
      <c r="AK10" s="87">
        <v>1.4999999999999999E-2</v>
      </c>
      <c r="AL10" s="88">
        <v>1.5E-3</v>
      </c>
      <c r="AM10" s="89">
        <v>1.4999999999999999E-2</v>
      </c>
      <c r="AN10" s="2304" t="s">
        <v>3148</v>
      </c>
      <c r="AO10" s="55">
        <f t="shared" ca="1" si="8"/>
        <v>25481</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1"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1"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1"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1" customFormat="1" ht="14.25">
      <c r="A14" s="2306" t="s">
        <v>2009</v>
      </c>
      <c r="B14" s="2302" t="s">
        <v>2010</v>
      </c>
      <c r="C14" s="2307" t="s">
        <v>2009</v>
      </c>
      <c r="D14" s="1051"/>
      <c r="E14" s="1048"/>
      <c r="F14" s="72"/>
      <c r="G14" s="73"/>
      <c r="H14" s="1250"/>
      <c r="I14" s="1250"/>
      <c r="J14" s="1250"/>
      <c r="K14" s="1251">
        <f>SUMIF('数据-汇总表'!C$19:C$33,A14,'数据-汇总表'!E$19:E$33)</f>
        <v>4493.16</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1" customFormat="1" ht="27">
      <c r="A15" s="2306" t="s">
        <v>2011</v>
      </c>
      <c r="B15" s="2302" t="s">
        <v>2010</v>
      </c>
      <c r="C15" s="2307" t="s">
        <v>2012</v>
      </c>
      <c r="D15" s="1051"/>
      <c r="E15" s="1048"/>
      <c r="F15" s="72"/>
      <c r="G15" s="73"/>
      <c r="H15" s="1250"/>
      <c r="I15" s="1250"/>
      <c r="J15" s="1250"/>
      <c r="K15" s="1251">
        <f>SUMIF('数据-汇总表'!C$19:C$33,A15,'数据-汇总表'!E$19:E$33)</f>
        <v>1994.7600000000002</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1" customFormat="1" ht="15.75" thickBot="1">
      <c r="A16" s="2308" t="s">
        <v>2013</v>
      </c>
      <c r="B16" s="97"/>
      <c r="C16" s="1005"/>
      <c r="D16" s="2309"/>
      <c r="E16" s="97"/>
      <c r="F16" s="97"/>
      <c r="G16" s="98">
        <f>ROUND(SUMPRODUCT(G6:G13,K6:K13)/SUMPRODUCT((G6:G13&gt;0)*(K6:K13)),3)</f>
        <v>0.99</v>
      </c>
      <c r="H16" s="99">
        <f>ROUND(SUMPRODUCT(H6:H13,K6:K13)/SUMPRODUCT((H6:H13&gt;0)*(K6:K13)),3)</f>
        <v>0.04</v>
      </c>
      <c r="I16" s="100"/>
      <c r="J16" s="100"/>
      <c r="K16" s="101">
        <f>SUM(K6:K15)</f>
        <v>85215.679999999964</v>
      </c>
      <c r="L16" s="102">
        <f>ROUND(M16*10000/SUM(K6:K14),0)</f>
        <v>2243</v>
      </c>
      <c r="M16" s="102">
        <f>SUM(M6:M14)</f>
        <v>18670</v>
      </c>
      <c r="N16" s="103">
        <f>ROUND(SUMPRODUCT(M6:M14,N6:N14)/M16,3)</f>
        <v>0.78100000000000003</v>
      </c>
      <c r="O16" s="102">
        <f>SUM(O6:O14)</f>
        <v>14582</v>
      </c>
      <c r="P16" s="102">
        <f>SUM(P6:P14)</f>
        <v>4088</v>
      </c>
      <c r="Q16" s="104">
        <f>ROUND(SUMPRODUCT(Q6:Q13,K6:K13)/SUMPRODUCT((Q6:Q13&gt;0)*(K6:K13)),2)</f>
        <v>7.0000000000000007E-2</v>
      </c>
      <c r="R16" s="1255">
        <f ca="1">SUM(R6:R13)</f>
        <v>22418.35</v>
      </c>
      <c r="S16" s="105">
        <f>SUM(S6:S13)</f>
        <v>4493.16</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1"/>
      <c r="D17" s="2268"/>
      <c r="E17" s="2268"/>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5"/>
      <c r="C18" s="2272"/>
      <c r="D18" s="2273"/>
      <c r="E18" s="2272"/>
      <c r="F18" s="2272"/>
      <c r="G18" s="2272"/>
      <c r="H18" s="2272"/>
      <c r="I18" s="2272"/>
      <c r="J18" s="2272"/>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1" t="s">
        <v>2015</v>
      </c>
      <c r="B19" s="112"/>
      <c r="C19" s="2272" t="s">
        <v>2016</v>
      </c>
      <c r="D19" s="2273"/>
      <c r="E19" s="2272"/>
      <c r="F19" s="2272"/>
      <c r="G19" s="2272"/>
      <c r="H19" s="2272"/>
      <c r="I19" s="2272"/>
      <c r="J19" s="2272"/>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2" t="s">
        <v>2017</v>
      </c>
      <c r="B20" s="113">
        <v>2</v>
      </c>
      <c r="C20" s="2272" t="s">
        <v>2018</v>
      </c>
      <c r="D20" s="2273"/>
      <c r="E20" s="2272"/>
      <c r="F20" s="2272"/>
      <c r="G20" s="2272"/>
      <c r="H20" s="2272"/>
      <c r="I20" s="2272"/>
      <c r="J20" s="2272"/>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3" t="s">
        <v>2019</v>
      </c>
      <c r="B21" s="113">
        <f>ROUND(B20*N16,1)</f>
        <v>1.6</v>
      </c>
      <c r="C21" s="2272"/>
      <c r="D21" s="2273"/>
      <c r="E21" s="2272"/>
      <c r="F21" s="2272"/>
      <c r="G21" s="2272"/>
      <c r="H21" s="2272"/>
      <c r="I21" s="2272"/>
      <c r="J21" s="2272"/>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2" t="s">
        <v>2020</v>
      </c>
      <c r="B22" s="114">
        <f>B19+B20</f>
        <v>2</v>
      </c>
      <c r="C22" s="2272"/>
      <c r="D22" s="2273"/>
      <c r="E22" s="2272"/>
      <c r="F22" s="2272"/>
      <c r="G22" s="2272"/>
      <c r="H22" s="2272"/>
      <c r="I22" s="2272"/>
      <c r="J22" s="2272"/>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3" t="s">
        <v>2021</v>
      </c>
      <c r="B23" s="114">
        <f>B19+B21</f>
        <v>1.6</v>
      </c>
      <c r="C23" s="2272"/>
      <c r="D23" s="2273"/>
      <c r="E23" s="2272"/>
      <c r="F23" s="2272"/>
      <c r="G23" s="2272"/>
      <c r="H23" s="2272"/>
      <c r="I23" s="2272"/>
      <c r="J23" s="2272"/>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4" t="s">
        <v>2022</v>
      </c>
      <c r="B24" s="115">
        <f>B20-B21</f>
        <v>0.39999999999999991</v>
      </c>
      <c r="C24" s="2272"/>
      <c r="D24" s="2273"/>
      <c r="E24" s="2272"/>
      <c r="F24" s="2272"/>
      <c r="G24" s="2272"/>
      <c r="H24" s="2272"/>
      <c r="I24" s="2272"/>
      <c r="J24" s="2272"/>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5"/>
      <c r="C25" s="2272"/>
      <c r="D25" s="2273"/>
      <c r="E25" s="2272"/>
      <c r="F25" s="2272"/>
      <c r="G25" s="2272"/>
      <c r="H25" s="2272"/>
      <c r="I25" s="2272"/>
      <c r="J25" s="2272"/>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1" t="s">
        <v>2023</v>
      </c>
      <c r="B26" s="2315" t="s">
        <v>2024</v>
      </c>
      <c r="C26" s="2316" t="s">
        <v>2025</v>
      </c>
      <c r="D26" s="2273"/>
      <c r="E26" s="2272"/>
      <c r="F26" s="2272"/>
      <c r="G26" s="2272"/>
      <c r="H26" s="2272"/>
      <c r="I26" s="2272"/>
      <c r="J26" s="2272"/>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9" customFormat="1" ht="27.75">
      <c r="A27" s="2317" t="s">
        <v>2026</v>
      </c>
      <c r="B27" s="116">
        <v>150</v>
      </c>
      <c r="C27" s="1764" t="s">
        <v>2027</v>
      </c>
      <c r="D27" s="2318"/>
      <c r="E27" s="1427"/>
      <c r="F27" s="1427"/>
      <c r="G27" s="2272"/>
      <c r="H27" s="2272"/>
      <c r="I27" s="2272"/>
      <c r="J27" s="2272"/>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2028</v>
      </c>
      <c r="B28" s="119">
        <v>190</v>
      </c>
      <c r="C28" s="2321"/>
      <c r="D28" s="2318"/>
      <c r="E28" s="1427"/>
      <c r="F28" s="1427"/>
      <c r="G28" s="2272"/>
      <c r="H28" s="2272"/>
      <c r="I28" s="2272"/>
      <c r="J28" s="2272"/>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2029</v>
      </c>
      <c r="B29" s="121"/>
      <c r="C29" s="1764" t="s">
        <v>2030</v>
      </c>
      <c r="D29" s="2318"/>
      <c r="E29" s="1427"/>
      <c r="F29" s="1427"/>
      <c r="G29" s="2272"/>
      <c r="H29" s="2272"/>
      <c r="I29" s="2272"/>
      <c r="J29" s="2272"/>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2031</v>
      </c>
      <c r="B30" s="724">
        <v>200</v>
      </c>
      <c r="C30" s="2321"/>
      <c r="D30" s="2318"/>
      <c r="E30" s="1427"/>
      <c r="F30" s="1427"/>
      <c r="G30" s="2272"/>
      <c r="H30" s="2272"/>
      <c r="I30" s="2272"/>
      <c r="J30" s="2272"/>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2032</v>
      </c>
      <c r="B31" s="120">
        <f>B30-B32</f>
        <v>90</v>
      </c>
      <c r="C31" s="1764"/>
      <c r="D31" s="2318"/>
      <c r="E31" s="1427"/>
      <c r="F31" s="1427"/>
      <c r="G31" s="2272"/>
      <c r="H31" s="2272"/>
      <c r="I31" s="2272"/>
      <c r="J31" s="2272"/>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2033</v>
      </c>
      <c r="B32" s="725">
        <v>110</v>
      </c>
      <c r="C32" s="2321"/>
      <c r="D32" s="2273"/>
      <c r="E32" s="2272"/>
      <c r="F32" s="2272"/>
      <c r="G32" s="2272"/>
      <c r="H32" s="2272"/>
      <c r="I32" s="2272"/>
      <c r="J32" s="2272"/>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2034</v>
      </c>
      <c r="B33" s="726">
        <v>0.03</v>
      </c>
      <c r="C33" s="1763" t="s">
        <v>2035</v>
      </c>
      <c r="D33" s="2273"/>
      <c r="E33" s="2272"/>
      <c r="F33" s="2272"/>
      <c r="G33" s="2272"/>
      <c r="H33" s="2272"/>
      <c r="I33" s="2272"/>
      <c r="J33" s="2272"/>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2036</v>
      </c>
      <c r="B34" s="122">
        <v>0.03</v>
      </c>
      <c r="C34" s="1763" t="s">
        <v>2037</v>
      </c>
      <c r="D34" s="2273" t="s">
        <v>2038</v>
      </c>
      <c r="E34" s="732"/>
      <c r="F34" s="2272"/>
      <c r="G34" s="2272"/>
      <c r="H34" s="2272"/>
      <c r="I34" s="2272"/>
      <c r="J34" s="2272"/>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2039</v>
      </c>
      <c r="B35" s="119">
        <v>200</v>
      </c>
      <c r="C35" s="1763" t="s">
        <v>2040</v>
      </c>
      <c r="D35" s="2318"/>
      <c r="E35" s="1427"/>
      <c r="F35" s="1427"/>
      <c r="G35" s="2272"/>
      <c r="H35" s="2272"/>
      <c r="I35" s="2272"/>
      <c r="J35" s="2272"/>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2041</v>
      </c>
      <c r="B36" s="123">
        <v>1.4999999999999999E-2</v>
      </c>
      <c r="C36" s="1763" t="s">
        <v>2042</v>
      </c>
      <c r="D36" s="2273"/>
      <c r="E36" s="2272"/>
      <c r="F36" s="2272"/>
      <c r="G36" s="2272"/>
      <c r="H36" s="2272"/>
      <c r="I36" s="2272"/>
      <c r="J36" s="2272"/>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3" t="s">
        <v>2043</v>
      </c>
      <c r="B37" s="124">
        <v>0.02</v>
      </c>
      <c r="C37" s="1763" t="s">
        <v>2044</v>
      </c>
      <c r="D37" s="2273"/>
      <c r="E37" s="2272"/>
      <c r="F37" s="2272"/>
      <c r="G37" s="2272"/>
      <c r="H37" s="2272"/>
      <c r="I37" s="2272"/>
      <c r="J37" s="2272"/>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0" t="s">
        <v>2045</v>
      </c>
      <c r="B38" s="122">
        <v>0.02</v>
      </c>
      <c r="C38" s="1763" t="s">
        <v>2044</v>
      </c>
      <c r="D38" s="2273"/>
      <c r="E38" s="2272"/>
      <c r="F38" s="2272"/>
      <c r="G38" s="2272"/>
      <c r="H38" s="2272"/>
      <c r="I38" s="2272"/>
      <c r="J38" s="2272"/>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4" t="s">
        <v>2046</v>
      </c>
      <c r="B39" s="362">
        <f ca="1">存贷款利率!I1</f>
        <v>1.4999999999999999E-2</v>
      </c>
      <c r="C39" s="1763"/>
      <c r="D39" s="2273"/>
      <c r="E39" s="2272"/>
      <c r="F39" s="2272"/>
      <c r="G39" s="2272"/>
      <c r="H39" s="2272"/>
      <c r="I39" s="2272"/>
      <c r="J39" s="2272"/>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4" t="s">
        <v>2047</v>
      </c>
      <c r="B40" s="1300">
        <f ca="1">存贷款利率!G1</f>
        <v>4.7500000000000001E-2</v>
      </c>
      <c r="C40" s="1763" t="s">
        <v>2048</v>
      </c>
      <c r="D40" s="1581"/>
      <c r="E40" s="2273"/>
      <c r="F40" s="2272"/>
      <c r="G40" s="2272"/>
      <c r="H40" s="2272"/>
      <c r="I40" s="2272"/>
      <c r="J40" s="2272"/>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7" t="s">
        <v>2049</v>
      </c>
      <c r="B41" s="125">
        <f>B42+B43</f>
        <v>5.5000000000000007E-2</v>
      </c>
      <c r="C41" s="1764"/>
      <c r="D41" s="1581"/>
      <c r="E41" s="2273"/>
      <c r="F41" s="2272"/>
      <c r="G41" s="2272"/>
      <c r="H41" s="2272"/>
      <c r="I41" s="2272"/>
      <c r="J41" s="2272"/>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5" t="s">
        <v>2050</v>
      </c>
      <c r="B42" s="126">
        <v>0.05</v>
      </c>
      <c r="C42" s="2326">
        <f>IF(B2&lt;DATE(2016,5,1),0,B42)</f>
        <v>0.05</v>
      </c>
      <c r="D42" s="2273"/>
      <c r="E42" s="2272"/>
      <c r="F42" s="2272"/>
      <c r="G42" s="2272"/>
      <c r="H42" s="2272"/>
      <c r="I42" s="2272"/>
      <c r="J42" s="2272"/>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5" t="s">
        <v>2051</v>
      </c>
      <c r="B43" s="127">
        <f>B42*(B44+B45+B46)+B47</f>
        <v>5.000000000000001E-3</v>
      </c>
      <c r="C43" s="1764"/>
      <c r="D43" s="2273"/>
      <c r="E43" s="2272"/>
      <c r="F43" s="2272"/>
      <c r="G43" s="2272"/>
      <c r="H43" s="2272"/>
      <c r="I43" s="2272"/>
      <c r="J43" s="2272"/>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7" t="s">
        <v>2052</v>
      </c>
      <c r="B44" s="128">
        <v>0.05</v>
      </c>
      <c r="C44" s="1763" t="s">
        <v>2053</v>
      </c>
      <c r="D44" s="2273"/>
      <c r="E44" s="2272"/>
      <c r="F44" s="2272"/>
      <c r="G44" s="2272"/>
      <c r="H44" s="2272"/>
      <c r="I44" s="2272"/>
      <c r="J44" s="2272"/>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7" t="s">
        <v>2054</v>
      </c>
      <c r="B45" s="126">
        <v>0.03</v>
      </c>
      <c r="C45" s="1764" t="s">
        <v>2055</v>
      </c>
      <c r="D45" s="2273"/>
      <c r="E45" s="2272"/>
      <c r="F45" s="2272"/>
      <c r="G45" s="2272"/>
      <c r="H45" s="2272"/>
      <c r="I45" s="2272"/>
      <c r="J45" s="2272"/>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7" t="s">
        <v>2056</v>
      </c>
      <c r="B46" s="126">
        <v>0.02</v>
      </c>
      <c r="C46" s="1764" t="s">
        <v>2057</v>
      </c>
      <c r="D46" s="2273"/>
      <c r="E46" s="2272"/>
      <c r="F46" s="2272"/>
      <c r="G46" s="2272"/>
      <c r="H46" s="2272"/>
      <c r="I46" s="2272"/>
      <c r="J46" s="2272"/>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8" t="s">
        <v>2058</v>
      </c>
      <c r="B47" s="129"/>
      <c r="C47" s="1764" t="s">
        <v>2059</v>
      </c>
      <c r="D47" s="2273"/>
      <c r="E47" s="2272"/>
      <c r="F47" s="2272"/>
      <c r="G47" s="2272"/>
      <c r="H47" s="2272"/>
      <c r="I47" s="2272"/>
      <c r="J47" s="2272"/>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9" t="s">
        <v>2060</v>
      </c>
      <c r="B48" s="130">
        <v>0.03</v>
      </c>
      <c r="C48" s="1771" t="s">
        <v>2061</v>
      </c>
      <c r="D48" s="2273"/>
      <c r="E48" s="2272"/>
      <c r="F48" s="2272"/>
      <c r="G48" s="2272"/>
      <c r="H48" s="2272"/>
      <c r="I48" s="2272"/>
      <c r="J48" s="2272"/>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4" t="s">
        <v>2062</v>
      </c>
      <c r="B49" s="126">
        <v>5.0000000000000001E-4</v>
      </c>
      <c r="C49" s="1771" t="s">
        <v>2063</v>
      </c>
      <c r="D49" s="2273"/>
      <c r="E49" s="2272"/>
      <c r="F49" s="2272"/>
      <c r="G49" s="2272"/>
      <c r="H49" s="2272"/>
      <c r="I49" s="2272"/>
      <c r="J49" s="2272"/>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0" t="s">
        <v>2064</v>
      </c>
      <c r="B50" s="131">
        <v>1.2E-2</v>
      </c>
      <c r="C50" s="1427"/>
      <c r="D50" s="2273"/>
      <c r="E50" s="2272"/>
      <c r="F50" s="2272"/>
      <c r="G50" s="2272"/>
      <c r="H50" s="2272"/>
      <c r="I50" s="2272"/>
      <c r="J50" s="2272"/>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2" t="s">
        <v>2065</v>
      </c>
      <c r="B51" s="132">
        <v>0.12</v>
      </c>
      <c r="C51" s="1427"/>
      <c r="D51" s="2273"/>
      <c r="E51" s="2272"/>
      <c r="F51" s="2272"/>
      <c r="G51" s="2272"/>
      <c r="H51" s="2272"/>
      <c r="I51" s="2272"/>
      <c r="J51" s="2272"/>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0" t="s">
        <v>2066</v>
      </c>
      <c r="B52" s="133">
        <f>SUMIF(A54:A63,B53,B54:B63)</f>
        <v>1.5</v>
      </c>
      <c r="C52" s="1427"/>
      <c r="D52" s="2273"/>
      <c r="E52" s="2272"/>
      <c r="F52" s="2272"/>
      <c r="G52" s="2272"/>
      <c r="H52" s="2272"/>
      <c r="I52" s="2272"/>
      <c r="J52" s="2272"/>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0" t="s">
        <v>2067</v>
      </c>
      <c r="B53" s="2331" t="s">
        <v>56</v>
      </c>
      <c r="C53" s="1427" t="s">
        <v>2068</v>
      </c>
      <c r="D53" s="2332" t="s">
        <v>2069</v>
      </c>
      <c r="E53" s="2272"/>
      <c r="F53" s="2272"/>
      <c r="G53" s="2272"/>
      <c r="H53" s="2272"/>
      <c r="I53" s="2272"/>
      <c r="J53" s="2272"/>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3" t="s">
        <v>2070</v>
      </c>
      <c r="B54" s="84"/>
      <c r="C54" s="1427">
        <v>30</v>
      </c>
      <c r="D54" s="2273"/>
      <c r="E54" s="2272"/>
      <c r="F54" s="2272"/>
      <c r="G54" s="2272"/>
      <c r="H54" s="2272"/>
      <c r="I54" s="2272"/>
      <c r="J54" s="2272"/>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3" t="s">
        <v>2071</v>
      </c>
      <c r="B55" s="84"/>
      <c r="C55" s="1427">
        <v>24</v>
      </c>
      <c r="D55" s="2273"/>
      <c r="E55" s="2272"/>
      <c r="F55" s="2272"/>
      <c r="G55" s="2272"/>
      <c r="H55" s="2272"/>
      <c r="I55" s="2334"/>
      <c r="J55" s="2272"/>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3" t="s">
        <v>2072</v>
      </c>
      <c r="B56" s="84"/>
      <c r="C56" s="1427">
        <v>18</v>
      </c>
      <c r="D56" s="2273"/>
      <c r="E56" s="2272"/>
      <c r="F56" s="2272"/>
      <c r="G56" s="2272"/>
      <c r="H56" s="2272"/>
      <c r="I56" s="2272"/>
      <c r="J56" s="2272"/>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3" t="s">
        <v>2073</v>
      </c>
      <c r="B57" s="84"/>
      <c r="C57" s="1427">
        <v>12</v>
      </c>
      <c r="D57" s="2273"/>
      <c r="E57" s="2272"/>
      <c r="F57" s="2272"/>
      <c r="G57" s="2272"/>
      <c r="H57" s="2272"/>
      <c r="I57" s="2272"/>
      <c r="J57" s="2272"/>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3" t="s">
        <v>2074</v>
      </c>
      <c r="B58" s="84"/>
      <c r="C58" s="1427">
        <v>3</v>
      </c>
      <c r="D58" s="2273"/>
      <c r="E58" s="2272"/>
      <c r="F58" s="2272"/>
      <c r="G58" s="2272"/>
      <c r="H58" s="2272"/>
      <c r="I58" s="2272"/>
      <c r="J58" s="2272"/>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3" t="s">
        <v>2075</v>
      </c>
      <c r="B59" s="84">
        <v>1.5</v>
      </c>
      <c r="C59" s="1427">
        <v>1.5</v>
      </c>
      <c r="D59" s="2273"/>
      <c r="E59" s="2272"/>
      <c r="F59" s="2272"/>
      <c r="G59" s="2272"/>
      <c r="H59" s="2272"/>
      <c r="I59" s="2272"/>
      <c r="J59" s="2272"/>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3" t="s">
        <v>2076</v>
      </c>
      <c r="B60" s="84"/>
      <c r="C60" s="2272"/>
      <c r="D60" s="2273"/>
      <c r="E60" s="2272"/>
      <c r="F60" s="2272"/>
      <c r="G60" s="2272"/>
      <c r="H60" s="2272"/>
      <c r="I60" s="2272"/>
      <c r="J60" s="2272"/>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3" t="s">
        <v>2077</v>
      </c>
      <c r="B61" s="84"/>
      <c r="C61" s="2272"/>
      <c r="D61" s="2273"/>
      <c r="E61" s="2272"/>
      <c r="F61" s="2272"/>
      <c r="G61" s="2272"/>
      <c r="H61" s="2272"/>
      <c r="I61" s="2272"/>
      <c r="J61" s="2272"/>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3" t="s">
        <v>2078</v>
      </c>
      <c r="B62" s="84"/>
      <c r="C62" s="2272"/>
      <c r="D62" s="2273"/>
      <c r="E62" s="2272"/>
      <c r="F62" s="2272"/>
      <c r="G62" s="2272"/>
      <c r="H62" s="2272"/>
      <c r="I62" s="2272"/>
      <c r="J62" s="2272"/>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5" t="s">
        <v>2079</v>
      </c>
      <c r="B63" s="134"/>
      <c r="C63" s="2272"/>
      <c r="D63" s="2273"/>
      <c r="E63" s="2272"/>
      <c r="F63" s="2272"/>
      <c r="G63" s="2272"/>
      <c r="H63" s="2272"/>
      <c r="I63" s="2272"/>
      <c r="J63" s="2272"/>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77" t="s">
        <v>2080</v>
      </c>
      <c r="B1" s="3078"/>
      <c r="C1" s="3078"/>
      <c r="D1" s="3078"/>
      <c r="E1" s="3078"/>
      <c r="F1" s="3078"/>
      <c r="G1" s="307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81">
      <c r="A3" s="415" t="s">
        <v>2083</v>
      </c>
      <c r="B3" s="1268" t="s">
        <v>2084</v>
      </c>
      <c r="C3" s="2974" t="s">
        <v>3151</v>
      </c>
      <c r="D3" s="2365"/>
      <c r="E3" s="431" t="s">
        <v>2083</v>
      </c>
      <c r="F3" s="2366" t="s">
        <v>2085</v>
      </c>
      <c r="G3" s="2367" t="s">
        <v>2086</v>
      </c>
      <c r="H3" s="2363"/>
      <c r="I3" s="2363"/>
      <c r="J3" s="2363"/>
      <c r="K3" s="2363"/>
      <c r="L3" s="2363"/>
      <c r="M3" s="2363"/>
      <c r="N3" s="2363"/>
      <c r="O3" s="2363"/>
      <c r="P3" s="2363"/>
      <c r="Q3" s="2363"/>
      <c r="R3" s="2363"/>
    </row>
    <row r="4" spans="1:29" ht="41.25">
      <c r="A4" s="431"/>
      <c r="B4" s="1795" t="s">
        <v>2087</v>
      </c>
      <c r="C4" s="2368" t="s">
        <v>2088</v>
      </c>
      <c r="D4" s="2365"/>
      <c r="E4" s="2369"/>
      <c r="F4" s="42" t="s">
        <v>2089</v>
      </c>
      <c r="G4" s="2370" t="s">
        <v>2090</v>
      </c>
      <c r="H4" s="2363"/>
      <c r="I4" s="2363"/>
      <c r="J4" s="2363"/>
      <c r="K4" s="2363"/>
      <c r="L4" s="2363"/>
      <c r="M4" s="2363"/>
      <c r="N4" s="2363"/>
      <c r="O4" s="2363"/>
      <c r="P4" s="2363"/>
      <c r="Q4" s="2363"/>
      <c r="R4" s="2363"/>
    </row>
    <row r="5" spans="1:29" ht="41.25">
      <c r="A5" s="431"/>
      <c r="B5" s="1795" t="s">
        <v>2091</v>
      </c>
      <c r="C5" s="2368" t="s">
        <v>2092</v>
      </c>
      <c r="D5" s="2365"/>
      <c r="E5" s="2369"/>
      <c r="F5" s="1795" t="s">
        <v>2093</v>
      </c>
      <c r="G5" s="2370" t="s">
        <v>2094</v>
      </c>
      <c r="H5" s="2363"/>
      <c r="I5" s="2363"/>
      <c r="J5" s="2363"/>
      <c r="K5" s="2363"/>
      <c r="L5" s="2363"/>
      <c r="M5" s="2363"/>
      <c r="N5" s="2363"/>
      <c r="O5" s="2363"/>
      <c r="P5" s="2363"/>
      <c r="Q5" s="2363"/>
      <c r="R5" s="2363"/>
    </row>
    <row r="6" spans="1:29" ht="67.5">
      <c r="A6" s="431"/>
      <c r="B6" s="1795" t="s">
        <v>2095</v>
      </c>
      <c r="C6" s="2975" t="s">
        <v>3260</v>
      </c>
      <c r="D6" s="2365"/>
      <c r="E6" s="2369"/>
      <c r="F6" s="1795" t="s">
        <v>2096</v>
      </c>
      <c r="G6" s="2370" t="s">
        <v>2097</v>
      </c>
      <c r="H6" s="2363"/>
      <c r="I6" s="2363"/>
      <c r="J6" s="2363"/>
      <c r="K6" s="2363"/>
      <c r="L6" s="2363"/>
      <c r="M6" s="2363"/>
      <c r="N6" s="2363"/>
      <c r="O6" s="2363"/>
      <c r="P6" s="2363"/>
      <c r="Q6" s="2363"/>
      <c r="R6" s="2363"/>
    </row>
    <row r="7" spans="1:29" ht="122.25" thickBot="1">
      <c r="A7" s="431"/>
      <c r="B7" s="1795" t="s">
        <v>2093</v>
      </c>
      <c r="C7" s="2975" t="s">
        <v>3267</v>
      </c>
      <c r="D7" s="2371"/>
      <c r="E7" s="2372"/>
      <c r="F7" s="2373" t="s">
        <v>2098</v>
      </c>
      <c r="G7" s="2374" t="s">
        <v>2099</v>
      </c>
      <c r="H7" s="2363"/>
      <c r="I7" s="2363"/>
      <c r="J7" s="2363"/>
      <c r="K7" s="2363"/>
      <c r="L7" s="2363"/>
      <c r="M7" s="2363"/>
      <c r="N7" s="2363"/>
      <c r="O7" s="2363"/>
      <c r="P7" s="2363"/>
      <c r="Q7" s="2363"/>
      <c r="R7" s="2363"/>
    </row>
    <row r="8" spans="1:29" ht="27">
      <c r="A8" s="431"/>
      <c r="B8" s="1795" t="s">
        <v>2096</v>
      </c>
      <c r="C8" s="2975" t="s">
        <v>3265</v>
      </c>
      <c r="D8" s="2371"/>
      <c r="E8" s="2371"/>
      <c r="F8" s="1133"/>
      <c r="G8" s="1133"/>
      <c r="H8" s="2363"/>
      <c r="I8" s="2363"/>
      <c r="J8" s="2363"/>
      <c r="K8" s="2363"/>
      <c r="L8" s="2363"/>
      <c r="M8" s="2363"/>
      <c r="N8" s="2363"/>
      <c r="O8" s="2363"/>
      <c r="P8" s="2363"/>
      <c r="Q8" s="2363"/>
      <c r="R8" s="2363"/>
    </row>
    <row r="9" spans="1:29" ht="54">
      <c r="A9" s="431"/>
      <c r="B9" s="1795" t="s">
        <v>2100</v>
      </c>
      <c r="C9" s="2976" t="s">
        <v>3269</v>
      </c>
      <c r="D9" s="2365"/>
      <c r="E9" s="2371"/>
      <c r="F9" s="1133"/>
      <c r="G9" s="1133"/>
      <c r="H9" s="2363"/>
      <c r="I9" s="2363"/>
      <c r="J9" s="2363"/>
      <c r="K9" s="2363"/>
      <c r="L9" s="2363"/>
      <c r="M9" s="2363"/>
      <c r="N9" s="2363"/>
      <c r="O9" s="2363"/>
      <c r="P9" s="2363"/>
      <c r="Q9" s="2363"/>
      <c r="R9" s="2363"/>
    </row>
    <row r="10" spans="1:29" s="117" customFormat="1" ht="15.75" thickBot="1">
      <c r="A10" s="2375"/>
      <c r="B10" s="2376" t="s">
        <v>2101</v>
      </c>
      <c r="C10" s="2973" t="s">
        <v>3279</v>
      </c>
      <c r="D10" s="2365"/>
      <c r="E10" s="2365"/>
      <c r="F10" s="1133"/>
      <c r="G10" s="1133"/>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5"/>
      <c r="D11" s="2365"/>
      <c r="E11" s="2365"/>
      <c r="F11" s="2371"/>
      <c r="G11" s="1151"/>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5"/>
      <c r="D12" s="2381"/>
      <c r="E12" s="2365"/>
      <c r="F12" s="2371"/>
      <c r="G12" s="1151"/>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2102</v>
      </c>
      <c r="B13" s="2381"/>
      <c r="C13" s="2381"/>
      <c r="D13" s="2388"/>
      <c r="E13" s="2381"/>
      <c r="F13" s="2381"/>
      <c r="G13" s="2381"/>
    </row>
    <row r="14" spans="1:29" ht="15.75" thickBot="1">
      <c r="A14" s="2392"/>
      <c r="B14" s="2393"/>
      <c r="C14" s="2394" t="s">
        <v>2103</v>
      </c>
      <c r="D14" s="2365"/>
      <c r="E14" s="2395"/>
      <c r="F14" s="2395"/>
      <c r="G14" s="2360" t="s">
        <v>2104</v>
      </c>
    </row>
    <row r="15" spans="1:29" ht="85.5">
      <c r="A15" s="68" t="s">
        <v>2105</v>
      </c>
      <c r="B15" s="1267" t="s">
        <v>2084</v>
      </c>
      <c r="C15" s="2396" t="str">
        <f>C3</f>
        <v>估价对象周边居住用地比例大、居住小区规模大且社区发展完善程度较好，如北京晨浩花园、海德堡小区、柏林在线等住宅小区，综合评价居住社区成熟度好。</v>
      </c>
      <c r="D15" s="2365"/>
      <c r="E15" s="2397" t="s">
        <v>2106</v>
      </c>
      <c r="F15" s="1267" t="s">
        <v>2107</v>
      </c>
      <c r="G15" s="135" t="str">
        <f>G3</f>
        <v>估价对象位于XX开发区，园区建设成熟度XX，产业集聚程度XX</v>
      </c>
    </row>
    <row r="16" spans="1:29" ht="42.75">
      <c r="A16" s="645"/>
      <c r="B16" s="2398" t="s">
        <v>2087</v>
      </c>
      <c r="C16" s="2399" t="str">
        <f>C4</f>
        <v>估价对象位于XX商圈，周边商业氛围成熟，人流量大，商业繁华度好</v>
      </c>
      <c r="D16" s="2365"/>
      <c r="E16" s="2400"/>
      <c r="F16" s="2401" t="s">
        <v>2089</v>
      </c>
      <c r="G16" s="136" t="str">
        <f>G4</f>
        <v>估价对象周边道路状况、公共交通通达情况、停车便捷程度，综合评价交通便捷度较好</v>
      </c>
    </row>
    <row r="17" spans="1:18" ht="42.75">
      <c r="A17" s="645"/>
      <c r="B17" s="2398" t="s">
        <v>2091</v>
      </c>
      <c r="C17" s="2399" t="str">
        <f>C5</f>
        <v>估价对象位于XX商圈，周边办公楼项目较多，入驻率高，办公集聚程度较好</v>
      </c>
      <c r="D17" s="2371"/>
      <c r="E17" s="2400"/>
      <c r="F17" s="2401" t="s">
        <v>2108</v>
      </c>
      <c r="G17" s="1569"/>
    </row>
    <row r="18" spans="1:18" ht="71.25">
      <c r="A18" s="645"/>
      <c r="B18" s="2401" t="s">
        <v>2095</v>
      </c>
      <c r="C18" s="136" t="str">
        <f>C6</f>
        <v>估价对象多面临街，周边道路路网较为密集，公共交通通达情况较好，有417、533路等、停车便捷程度较好，综合评价交通便捷度较好。</v>
      </c>
      <c r="D18" s="2371"/>
      <c r="E18" s="2400"/>
      <c r="F18" s="2401" t="s">
        <v>2098</v>
      </c>
      <c r="G18" s="136" t="str">
        <f>G7</f>
        <v>该园区内是否有污染型企业，绿化情况，卫生条件，整体环境状况判断</v>
      </c>
    </row>
    <row r="19" spans="1:18" ht="28.5">
      <c r="A19" s="645"/>
      <c r="B19" s="2401" t="s">
        <v>2109</v>
      </c>
      <c r="C19" s="2977" t="s">
        <v>3262</v>
      </c>
      <c r="D19" s="2365"/>
      <c r="E19" s="2400"/>
      <c r="F19" s="1795" t="s">
        <v>2093</v>
      </c>
      <c r="G19" s="136" t="str">
        <f>G5</f>
        <v>估价对象所在区域公共配套设施齐备情况</v>
      </c>
    </row>
    <row r="20" spans="1:18" ht="57">
      <c r="A20" s="645"/>
      <c r="B20" s="2401" t="s">
        <v>2110</v>
      </c>
      <c r="C20" s="2399" t="str">
        <f>C9</f>
        <v>区域自然环境：未来科技城滨河公园；人文环境：无展览馆、博物馆等；综合评价环境状况一般。</v>
      </c>
      <c r="D20" s="2371"/>
      <c r="E20" s="2400"/>
      <c r="F20" s="1795" t="s">
        <v>2111</v>
      </c>
      <c r="G20" s="136" t="str">
        <f>G6</f>
        <v>估价对象所在区域基础设施水平</v>
      </c>
    </row>
    <row r="21" spans="1:18" ht="128.25">
      <c r="A21" s="645"/>
      <c r="B21" s="1795" t="s">
        <v>2093</v>
      </c>
      <c r="C21" s="136" t="str">
        <f>C7</f>
        <v>估价对象所在区域2公里范围内有：银行（中国银行、北京农村商业银行），购物（物联隆超市、超市发超市）、医院（北七家社区卫生服务中心），学校（北京市晨星学校、伊顿双语幼儿园），餐饮等，公共配套设施齐备情况较好。</v>
      </c>
      <c r="D21" s="2365"/>
      <c r="E21" s="2400"/>
      <c r="F21" s="2401" t="s">
        <v>2112</v>
      </c>
      <c r="G21" s="2402"/>
    </row>
    <row r="22" spans="1:18" ht="13.5" customHeight="1">
      <c r="A22" s="645"/>
      <c r="B22" s="1795" t="s">
        <v>2096</v>
      </c>
      <c r="C22" s="136" t="str">
        <f>C8</f>
        <v>估价对象所在区域基础设施水平达到“七通”。</v>
      </c>
      <c r="D22" s="2365"/>
      <c r="E22" s="2400"/>
      <c r="F22" s="2401" t="s">
        <v>2101</v>
      </c>
      <c r="G22" s="1569"/>
    </row>
    <row r="23" spans="1:18" s="2363" customFormat="1" ht="15.75" thickBot="1">
      <c r="A23" s="645"/>
      <c r="B23" s="2401" t="s">
        <v>2112</v>
      </c>
      <c r="C23" s="2402" t="s">
        <v>3150</v>
      </c>
      <c r="D23" s="2389"/>
      <c r="E23" s="2403"/>
      <c r="F23" s="2404" t="s">
        <v>2113</v>
      </c>
      <c r="G23" s="2405"/>
      <c r="H23" s="2389"/>
      <c r="I23" s="2390"/>
      <c r="J23" s="2389"/>
      <c r="K23" s="2389"/>
      <c r="L23" s="2390"/>
      <c r="M23" s="2389"/>
      <c r="N23" s="2389"/>
      <c r="O23" s="2390"/>
      <c r="P23" s="2389"/>
      <c r="Q23" s="2389"/>
      <c r="R23" s="2391"/>
    </row>
    <row r="24" spans="1:18" s="2363" customFormat="1" ht="15.75" thickBot="1">
      <c r="A24" s="2406"/>
      <c r="B24" s="2404" t="s">
        <v>2114</v>
      </c>
      <c r="C24" s="137" t="str">
        <f>C10</f>
        <v>城市支路——沟自头街</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RowHeight="13.5"/>
  <cols>
    <col min="1" max="1" width="23.375" style="1738" customWidth="1"/>
    <col min="2" max="9" width="15.75" style="1738" customWidth="1"/>
    <col min="10" max="16384" width="9" style="1738"/>
  </cols>
  <sheetData>
    <row r="1" spans="1:10" ht="16.5">
      <c r="A1" s="1743" t="s">
        <v>1365</v>
      </c>
      <c r="B1" s="1743">
        <f>SUM(B14:B23)</f>
        <v>180792.43999999997</v>
      </c>
      <c r="C1" s="1742"/>
      <c r="D1" s="1742"/>
      <c r="E1" s="1742"/>
      <c r="F1" s="1742"/>
      <c r="G1" s="1740"/>
    </row>
    <row r="2" spans="1:10" ht="16.5">
      <c r="A2" s="1743" t="s">
        <v>1353</v>
      </c>
      <c r="B2" s="1743">
        <f>SUM(C14:C23)</f>
        <v>51883.15</v>
      </c>
      <c r="C2" s="1742"/>
      <c r="D2" s="1742"/>
      <c r="E2" s="1742"/>
      <c r="F2" s="1742"/>
      <c r="G2" s="1740"/>
    </row>
    <row r="3" spans="1:10" ht="16.5">
      <c r="A3" s="1743" t="s">
        <v>1362</v>
      </c>
      <c r="B3" s="1744">
        <f>项目基本情况!D3</f>
        <v>43111</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251981</v>
      </c>
      <c r="C5" s="1743">
        <f ca="1">ROUND(B5*10000/$B$1,0)</f>
        <v>13938</v>
      </c>
      <c r="D5" s="1743">
        <f ca="1">ROUND(B5*10000/$B$2,0)</f>
        <v>48567</v>
      </c>
      <c r="E5" s="1742"/>
      <c r="F5" s="1740"/>
      <c r="G5" s="1740"/>
    </row>
    <row r="6" spans="1:10" ht="16.5">
      <c r="A6" s="1743" t="s">
        <v>1356</v>
      </c>
      <c r="B6" s="1743">
        <f ca="1">SUM(G14:G23)</f>
        <v>251981</v>
      </c>
      <c r="C6" s="1743">
        <f ca="1">ROUND(B6*10000/$B$1,0)</f>
        <v>13938</v>
      </c>
      <c r="D6" s="1743">
        <f ca="1">ROUND(B6*10000/$B$2,0)</f>
        <v>48567</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85215.679999999964</v>
      </c>
      <c r="C14" s="1741">
        <f>结果表!C118</f>
        <v>22955.7</v>
      </c>
      <c r="D14" s="1741">
        <f ca="1">结果表!H118</f>
        <v>66986</v>
      </c>
      <c r="E14" s="1741">
        <f ca="1">ROUND(D14*10000/B14,0)</f>
        <v>7861</v>
      </c>
      <c r="F14" s="1741">
        <f ca="1">ROUND(D14*10000/C14,0)</f>
        <v>29181</v>
      </c>
      <c r="G14" s="1741">
        <f ca="1">结果表!D122</f>
        <v>66986</v>
      </c>
      <c r="H14" s="1741" t="str">
        <f>结果表!D124</f>
        <v>——</v>
      </c>
      <c r="I14" s="1741" t="str">
        <f>结果表!D126</f>
        <v>——</v>
      </c>
      <c r="J14" s="1740"/>
    </row>
    <row r="15" spans="1:10" ht="16.5">
      <c r="A15" s="1739" t="s">
        <v>1349</v>
      </c>
      <c r="B15" s="1746">
        <f>[2]系统读取表!$B$14</f>
        <v>71225.760000000009</v>
      </c>
      <c r="C15" s="1746">
        <f>[2]系统读取表!$C$14</f>
        <v>19187.05</v>
      </c>
      <c r="D15" s="1746">
        <f ca="1">[2]系统读取表!$D$14</f>
        <v>146877</v>
      </c>
      <c r="E15" s="1741">
        <f t="shared" ref="E15:E23" ca="1" si="0">ROUND(D15*10000/B15,0)</f>
        <v>20621</v>
      </c>
      <c r="F15" s="1741">
        <f t="shared" ref="F15:F23" ca="1" si="1">ROUND(D15*10000/C15,0)</f>
        <v>76550</v>
      </c>
      <c r="G15" s="1747">
        <f ca="1">[2]系统读取表!$G$14</f>
        <v>146877</v>
      </c>
      <c r="H15" s="1747"/>
      <c r="I15" s="1746"/>
      <c r="J15" s="1740"/>
    </row>
    <row r="16" spans="1:10" ht="16.5">
      <c r="A16" s="1739" t="s">
        <v>1348</v>
      </c>
      <c r="B16" s="1746">
        <f>[3]系统读取表!$B$14</f>
        <v>24351</v>
      </c>
      <c r="C16" s="1746">
        <f>[3]系统读取表!$C$14</f>
        <v>9740.4</v>
      </c>
      <c r="D16" s="1746">
        <f ca="1">[3]系统读取表!$D$14</f>
        <v>38118</v>
      </c>
      <c r="E16" s="1741">
        <f t="shared" ca="1" si="0"/>
        <v>15654</v>
      </c>
      <c r="F16" s="1741">
        <f t="shared" ca="1" si="1"/>
        <v>39134</v>
      </c>
      <c r="G16" s="1747">
        <f ca="1">[3]系统读取表!$G$14</f>
        <v>38118</v>
      </c>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2115</v>
      </c>
      <c r="B1" s="2412"/>
      <c r="C1" s="2413"/>
      <c r="D1" s="2412"/>
      <c r="E1" s="2412"/>
      <c r="F1" s="2414" t="s">
        <v>2116</v>
      </c>
      <c r="G1" s="2068" t="s">
        <v>2117</v>
      </c>
      <c r="H1" s="2415" t="str">
        <f>IF(G1="现房","——","估价对象范围")</f>
        <v>估价对象范围</v>
      </c>
      <c r="I1" s="2416"/>
    </row>
    <row r="2" spans="1:12" ht="21.75" customHeight="1" thickBot="1">
      <c r="A2" s="3151" t="str">
        <f>项目基本情况!S2</f>
        <v>北京市昌平区北七家镇GZT-05-2地块出让国有建设用地使用权及在建建筑物房地产</v>
      </c>
      <c r="B2" s="3152"/>
      <c r="C2" s="3152"/>
      <c r="D2" s="3152"/>
      <c r="E2" s="3152"/>
      <c r="F2" s="3152"/>
      <c r="G2" s="3152"/>
      <c r="H2" s="3152"/>
      <c r="I2" s="3153"/>
    </row>
    <row r="3" spans="1:12" ht="12.75">
      <c r="A3" s="3154" t="s">
        <v>2118</v>
      </c>
      <c r="B3" s="3155"/>
      <c r="C3" s="3155"/>
      <c r="D3" s="3155"/>
      <c r="E3" s="3155"/>
      <c r="F3" s="3155"/>
      <c r="G3" s="3155"/>
      <c r="H3" s="3155"/>
      <c r="I3" s="3155"/>
    </row>
    <row r="4" spans="1:12" ht="14.25">
      <c r="A4" s="2419" t="s">
        <v>2119</v>
      </c>
      <c r="B4" s="2420" t="s">
        <v>2120</v>
      </c>
      <c r="C4" s="2421" t="s">
        <v>3156</v>
      </c>
      <c r="D4" s="2421" t="s">
        <v>3157</v>
      </c>
      <c r="E4" s="3135" t="s">
        <v>2121</v>
      </c>
      <c r="F4" s="3148"/>
      <c r="G4" s="3148"/>
      <c r="H4" s="3148"/>
      <c r="I4" s="3136"/>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126" t="s">
        <v>2122</v>
      </c>
      <c r="B5" s="3052">
        <v>25</v>
      </c>
      <c r="C5" s="3156"/>
      <c r="D5" s="3144"/>
      <c r="E5" s="140" t="s">
        <v>2123</v>
      </c>
      <c r="F5" s="2423"/>
      <c r="G5" s="2423"/>
      <c r="H5" s="2423"/>
      <c r="I5" s="1831"/>
    </row>
    <row r="6" spans="1:12" ht="12.75">
      <c r="A6" s="3126"/>
      <c r="B6" s="3052"/>
      <c r="C6" s="3158"/>
      <c r="D6" s="3144"/>
      <c r="E6" s="140" t="s">
        <v>2124</v>
      </c>
      <c r="F6" s="2423"/>
      <c r="G6" s="2423"/>
      <c r="H6" s="2423"/>
      <c r="I6" s="1831"/>
    </row>
    <row r="7" spans="1:12" ht="12.75">
      <c r="A7" s="3126"/>
      <c r="B7" s="3052"/>
      <c r="C7" s="3157"/>
      <c r="D7" s="3144"/>
      <c r="E7" s="140" t="s">
        <v>2125</v>
      </c>
      <c r="F7" s="2423"/>
      <c r="G7" s="2423"/>
      <c r="H7" s="2423"/>
      <c r="I7" s="1831"/>
    </row>
    <row r="8" spans="1:12" ht="12.75">
      <c r="A8" s="3126" t="s">
        <v>2126</v>
      </c>
      <c r="B8" s="3052">
        <v>15</v>
      </c>
      <c r="C8" s="3156"/>
      <c r="D8" s="3144"/>
      <c r="E8" s="140" t="s">
        <v>2127</v>
      </c>
      <c r="F8" s="2423"/>
      <c r="G8" s="2423"/>
      <c r="H8" s="2423"/>
      <c r="I8" s="1831"/>
    </row>
    <row r="9" spans="1:12" ht="12.75">
      <c r="A9" s="3126"/>
      <c r="B9" s="3052"/>
      <c r="C9" s="3157"/>
      <c r="D9" s="3144"/>
      <c r="E9" s="140" t="s">
        <v>2128</v>
      </c>
      <c r="F9" s="2423"/>
      <c r="G9" s="2423"/>
      <c r="H9" s="2423"/>
      <c r="I9" s="1831"/>
    </row>
    <row r="10" spans="1:12" ht="12.75">
      <c r="A10" s="3126" t="s">
        <v>2129</v>
      </c>
      <c r="B10" s="3052">
        <v>15</v>
      </c>
      <c r="C10" s="3156"/>
      <c r="D10" s="3144"/>
      <c r="E10" s="140" t="s">
        <v>2130</v>
      </c>
      <c r="F10" s="2423"/>
      <c r="G10" s="2423"/>
      <c r="H10" s="2423"/>
      <c r="I10" s="1831"/>
    </row>
    <row r="11" spans="1:12" ht="12.75">
      <c r="A11" s="3126"/>
      <c r="B11" s="3052"/>
      <c r="C11" s="3157"/>
      <c r="D11" s="3144"/>
      <c r="E11" s="140" t="s">
        <v>2131</v>
      </c>
      <c r="F11" s="2423"/>
      <c r="G11" s="2423"/>
      <c r="H11" s="2423"/>
      <c r="I11" s="1831"/>
    </row>
    <row r="12" spans="1:12" ht="12.75">
      <c r="A12" s="3126" t="s">
        <v>2132</v>
      </c>
      <c r="B12" s="3052">
        <v>15</v>
      </c>
      <c r="C12" s="3156"/>
      <c r="D12" s="3144"/>
      <c r="E12" s="140" t="s">
        <v>2133</v>
      </c>
      <c r="F12" s="2423"/>
      <c r="G12" s="2423"/>
      <c r="H12" s="2423"/>
      <c r="I12" s="1831"/>
    </row>
    <row r="13" spans="1:12" ht="12.75">
      <c r="A13" s="3126"/>
      <c r="B13" s="3052"/>
      <c r="C13" s="3157"/>
      <c r="D13" s="3144"/>
      <c r="E13" s="140" t="s">
        <v>2134</v>
      </c>
      <c r="F13" s="2423"/>
      <c r="G13" s="2423"/>
      <c r="H13" s="2423"/>
      <c r="I13" s="1831"/>
    </row>
    <row r="14" spans="1:12" ht="12.75">
      <c r="A14" s="3126" t="s">
        <v>2135</v>
      </c>
      <c r="B14" s="3052">
        <v>30</v>
      </c>
      <c r="C14" s="3156">
        <v>5</v>
      </c>
      <c r="D14" s="3144">
        <v>5</v>
      </c>
      <c r="E14" s="140" t="s">
        <v>2136</v>
      </c>
      <c r="F14" s="2423"/>
      <c r="G14" s="2423"/>
      <c r="H14" s="2423"/>
      <c r="I14" s="1831"/>
    </row>
    <row r="15" spans="1:12" ht="12.75">
      <c r="A15" s="3126"/>
      <c r="B15" s="3052"/>
      <c r="C15" s="3158"/>
      <c r="D15" s="3144"/>
      <c r="E15" s="140" t="s">
        <v>2137</v>
      </c>
      <c r="F15" s="2423"/>
      <c r="G15" s="2423"/>
      <c r="H15" s="2423"/>
      <c r="I15" s="1831"/>
    </row>
    <row r="16" spans="1:12" ht="12.75">
      <c r="A16" s="3126"/>
      <c r="B16" s="3052"/>
      <c r="C16" s="3157"/>
      <c r="D16" s="3144"/>
      <c r="E16" s="140" t="s">
        <v>2138</v>
      </c>
      <c r="F16" s="2423"/>
      <c r="G16" s="2423"/>
      <c r="H16" s="2423"/>
      <c r="I16" s="1831"/>
    </row>
    <row r="17" spans="1:35" ht="15">
      <c r="A17" s="2424" t="s">
        <v>2139</v>
      </c>
      <c r="B17" s="64"/>
      <c r="C17" s="141">
        <f>SUM(C5:C16)</f>
        <v>5</v>
      </c>
      <c r="D17" s="141">
        <f>SUM(D5:D16)</f>
        <v>5</v>
      </c>
      <c r="E17" s="138"/>
      <c r="F17" s="138"/>
      <c r="G17" s="138"/>
      <c r="H17" s="138"/>
      <c r="I17" s="138"/>
      <c r="K17" s="2422"/>
      <c r="L17" s="2425" t="s">
        <v>2140</v>
      </c>
      <c r="M17" s="2425" t="s">
        <v>2141</v>
      </c>
    </row>
    <row r="18" spans="1:35" ht="15.75" thickBot="1">
      <c r="A18" s="2426" t="s">
        <v>2142</v>
      </c>
      <c r="B18" s="2427"/>
      <c r="C18" s="142">
        <f>ROUND(C17/SUM(C17:D17),2)</f>
        <v>0.5</v>
      </c>
      <c r="D18" s="142">
        <f>1-C18</f>
        <v>0.5</v>
      </c>
      <c r="E18" s="138"/>
      <c r="F18" s="138"/>
      <c r="G18" s="138"/>
      <c r="H18" s="138"/>
      <c r="I18" s="138"/>
      <c r="K18" s="2422" t="s">
        <v>2143</v>
      </c>
      <c r="L18" s="2422">
        <f>IF(C1="",'数据-汇总表'!E3,SUMIF(项目类型,C1,'数据-汇总表'!E17:E26)+SUMIF(项目类型,C1,'数据-汇总表'!I17:I26))</f>
        <v>85215.679999999964</v>
      </c>
      <c r="M18" s="2422">
        <f>IF(C1="",'数据-汇总表'!E3,SUMIF(项目类型,C1,'数据-汇总表'!E17:E26))</f>
        <v>85215.679999999964</v>
      </c>
    </row>
    <row r="19" spans="1:35" ht="15">
      <c r="A19" s="2428" t="s">
        <v>2144</v>
      </c>
      <c r="B19" s="2429" t="s">
        <v>2145</v>
      </c>
      <c r="C19" s="143">
        <f ca="1">SUMIF(INDIRECT("'"&amp;C4&amp;"'"&amp;"!A:A"),结果表!B19,INDIRECT("'"&amp;C4&amp;"'"&amp;"!B:B"))</f>
        <v>67480</v>
      </c>
      <c r="D19" s="144">
        <f ca="1">SUMIF(INDIRECT("'"&amp;D4&amp;"'"&amp;"!A:A"),结果表!B19,INDIRECT("'"&amp;D4&amp;"'"&amp;"!B:B"))</f>
        <v>66492</v>
      </c>
      <c r="E19" s="2428" t="s">
        <v>2146</v>
      </c>
      <c r="F19" s="2429" t="s">
        <v>2145</v>
      </c>
      <c r="G19" s="145">
        <f ca="1">ROUND(C19*$C$18+D19*$D$18,0)</f>
        <v>66986</v>
      </c>
      <c r="H19" s="2430" t="s">
        <v>2147</v>
      </c>
      <c r="I19" s="138"/>
      <c r="J19" s="795">
        <f ca="1">G19+[2]结果表!$G$19+[3]结果表!$G$19</f>
        <v>251981</v>
      </c>
      <c r="K19" s="2422" t="s">
        <v>2148</v>
      </c>
      <c r="L19" s="2422">
        <f>IF(C1="",'数据-汇总表'!D3,SUMIF(项目类型,C1,'数据-汇总表'!D17:D26)+SUMIF(项目类型,C1,'数据-汇总表'!H17:H27))</f>
        <v>22955.7</v>
      </c>
      <c r="M19" s="2422">
        <f>IF(C1="",'数据-汇总表'!D3,SUMIF(项目类型,C1,'数据-汇总表'!D17:D26))</f>
        <v>22955.7</v>
      </c>
    </row>
    <row r="20" spans="1:35" ht="15">
      <c r="A20" s="2431"/>
      <c r="B20" s="1247" t="s">
        <v>2149</v>
      </c>
      <c r="C20" s="146">
        <f ca="1">SUMIF(INDIRECT("'"&amp;C4&amp;"'"&amp;"!A:A"),结果表!B20,INDIRECT("'"&amp;C4&amp;"'"&amp;"!B:B"))</f>
        <v>7919</v>
      </c>
      <c r="D20" s="147">
        <f ca="1">SUMIF(INDIRECT("'"&amp;D4&amp;"'"&amp;"!A:A"),结果表!B20,INDIRECT("'"&amp;D4&amp;"'"&amp;"!B:B"))</f>
        <v>7803</v>
      </c>
      <c r="E20" s="2431"/>
      <c r="F20" s="1247" t="s">
        <v>2149</v>
      </c>
      <c r="G20" s="148">
        <f ca="1">ROUND(C20*$C$18+D20*$D$18,0)</f>
        <v>7861</v>
      </c>
      <c r="H20" s="980" t="s">
        <v>2150</v>
      </c>
      <c r="I20" s="138"/>
    </row>
    <row r="21" spans="1:35" ht="15" customHeight="1" thickBot="1">
      <c r="A21" s="1000"/>
      <c r="B21" s="2432" t="s">
        <v>2151</v>
      </c>
      <c r="C21" s="789">
        <f ca="1">ROUND(C19*10000/L19,0)</f>
        <v>29396</v>
      </c>
      <c r="D21" s="790">
        <f ca="1">ROUND(D19*10000/L19,0)</f>
        <v>28965</v>
      </c>
      <c r="E21" s="1000"/>
      <c r="F21" s="2432" t="s">
        <v>2151</v>
      </c>
      <c r="G21" s="149">
        <f ca="1">ROUND(G19*10000/L19,0)</f>
        <v>29181</v>
      </c>
      <c r="H21" s="2433" t="s">
        <v>2150</v>
      </c>
      <c r="I21" s="138"/>
    </row>
    <row r="22" spans="1:35" ht="15" thickBot="1">
      <c r="A22" s="2276" t="s">
        <v>2152</v>
      </c>
      <c r="B22" s="2434"/>
      <c r="C22" s="2435"/>
      <c r="D22" s="791">
        <f ca="1">IF(C19&lt;D19,D19/C19-1,C19/D19-1)</f>
        <v>1.4858930397641856E-2</v>
      </c>
      <c r="E22" s="138"/>
      <c r="F22" s="138"/>
      <c r="G22" s="138"/>
      <c r="H22" s="138"/>
      <c r="I22" s="138"/>
    </row>
    <row r="23" spans="1:35" ht="13.5" thickBot="1">
      <c r="A23" s="2412"/>
      <c r="B23" s="2412"/>
      <c r="C23" s="2412"/>
      <c r="D23" s="2412"/>
      <c r="E23" s="138"/>
      <c r="F23" s="138"/>
      <c r="G23" s="138"/>
      <c r="H23" s="138"/>
      <c r="I23" s="138"/>
    </row>
    <row r="24" spans="1:35" ht="14.25">
      <c r="A24" s="3165" t="s">
        <v>2153</v>
      </c>
      <c r="B24" s="2429" t="s">
        <v>2145</v>
      </c>
      <c r="C24" s="145">
        <f>IF(B30=0,0,D30)</f>
        <v>0</v>
      </c>
      <c r="D24" s="2436"/>
      <c r="E24" s="138"/>
      <c r="F24" s="138"/>
      <c r="G24" s="138"/>
      <c r="H24" s="138"/>
      <c r="I24" s="138"/>
    </row>
    <row r="25" spans="1:35" ht="14.25">
      <c r="A25" s="3166"/>
      <c r="B25" s="1247" t="s">
        <v>2149</v>
      </c>
      <c r="C25" s="150">
        <f>IF(B30=0,0,C30)</f>
        <v>0</v>
      </c>
      <c r="D25" s="2437"/>
      <c r="E25" s="138"/>
      <c r="F25" s="138"/>
      <c r="G25" s="138"/>
      <c r="H25" s="138"/>
      <c r="I25" s="138"/>
    </row>
    <row r="26" spans="1:35" ht="13.5" customHeight="1">
      <c r="A26" s="2438" t="s">
        <v>2154</v>
      </c>
      <c r="B26" s="151" t="s">
        <v>2155</v>
      </c>
      <c r="C26" s="151" t="s">
        <v>2156</v>
      </c>
      <c r="D26" s="152" t="s">
        <v>2157</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2158</v>
      </c>
      <c r="B30" s="151"/>
      <c r="C30" s="151"/>
      <c r="D30" s="151"/>
      <c r="E30" s="2921" t="s">
        <v>3035</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2159</v>
      </c>
      <c r="B32" s="2442"/>
      <c r="C32" s="153">
        <f ca="1">IF(D32="总价",G19-C24,G20-C25)</f>
        <v>66986</v>
      </c>
      <c r="D32" s="2443" t="s">
        <v>2160</v>
      </c>
      <c r="E32" s="138"/>
      <c r="F32" s="138"/>
      <c r="G32" s="138"/>
      <c r="H32" s="138"/>
      <c r="I32" s="138"/>
    </row>
    <row r="33" spans="1:15" ht="15">
      <c r="A33" s="957" t="s">
        <v>2161</v>
      </c>
      <c r="B33" s="2444"/>
      <c r="C33" s="2445" t="s">
        <v>3292</v>
      </c>
      <c r="D33" s="2446" t="s">
        <v>3156</v>
      </c>
      <c r="E33" s="2447" t="s">
        <v>2162</v>
      </c>
      <c r="F33" s="2448" t="str">
        <f>IF(D32="楼面单价","取值（单价）","取值（总价）")</f>
        <v>取值（总价）</v>
      </c>
      <c r="G33" s="138"/>
      <c r="H33" s="138"/>
      <c r="I33" s="138"/>
    </row>
    <row r="34" spans="1:15" ht="15">
      <c r="A34" s="2449"/>
      <c r="B34" s="2450" t="s">
        <v>2163</v>
      </c>
      <c r="C34" s="157">
        <f ca="1">IF(C33="自定义",F34,C32-C35)</f>
        <v>46689</v>
      </c>
      <c r="D34" s="1055">
        <f ca="1">IF(C33="自定义",ROUND(C34/C32,3),IF(C33="收益比率",SUMIF(INDIRECT("'"&amp;D33&amp;"'"&amp;"!b:b"),"土地收益比率",INDIRECT("'"&amp;D33&amp;"'"&amp;"!c:c")),SUMIF(INDIRECT("'"&amp;D33&amp;"'"&amp;"!b:b"),"土地成本比率",INDIRECT("'"&amp;D33&amp;"'"&amp;"!c:c"))))</f>
        <v>0.69700000000000006</v>
      </c>
      <c r="E34" s="2451" t="s">
        <v>2164</v>
      </c>
      <c r="F34" s="1736"/>
      <c r="G34" s="138"/>
      <c r="H34" s="138"/>
      <c r="I34" s="138"/>
    </row>
    <row r="35" spans="1:15" ht="15.75" thickBot="1">
      <c r="A35" s="2452"/>
      <c r="B35" s="2453" t="s">
        <v>2165</v>
      </c>
      <c r="C35" s="1441">
        <f ca="1">IF(C33="自定义",F35,ROUND(C32*D35,0))</f>
        <v>20297</v>
      </c>
      <c r="D35" s="1442">
        <f ca="1">IF(C33="自定义",ROUND(C35/C32,3),IF(C33="收益比率",SUMIF(INDIRECT("'"&amp;D33&amp;"'"&amp;"!b:b"),"建筑物收益比率",INDIRECT("'"&amp;D33&amp;"'"&amp;"!c:c")),SUMIF(INDIRECT("'"&amp;D33&amp;"'"&amp;"!b:b"),"建筑物成本比率",INDIRECT("'"&amp;D33&amp;"'"&amp;"!c:c"))))</f>
        <v>0.30299999999999999</v>
      </c>
      <c r="E35" s="2454" t="s">
        <v>2166</v>
      </c>
      <c r="F35" s="163"/>
      <c r="G35" s="138"/>
      <c r="H35" s="138"/>
      <c r="I35" s="138"/>
    </row>
    <row r="36" spans="1:15" ht="15.75" thickBot="1">
      <c r="A36" s="3145" t="s">
        <v>2167</v>
      </c>
      <c r="B36" s="2455" t="s">
        <v>2168</v>
      </c>
      <c r="C36" s="154"/>
      <c r="D36" s="2456"/>
      <c r="E36" s="2457"/>
      <c r="F36" s="2458"/>
      <c r="G36" s="138"/>
      <c r="H36" s="138"/>
      <c r="I36" s="138"/>
    </row>
    <row r="37" spans="1:15" ht="15.75" thickBot="1">
      <c r="A37" s="3146"/>
      <c r="B37" s="2262" t="s">
        <v>2169</v>
      </c>
      <c r="C37" s="156"/>
      <c r="D37" s="1392"/>
      <c r="E37" s="1392"/>
      <c r="F37" s="2458"/>
      <c r="G37" s="138"/>
      <c r="H37" s="138"/>
      <c r="I37" s="138"/>
    </row>
    <row r="38" spans="1:15" ht="15.75" thickBot="1">
      <c r="A38" s="3147"/>
      <c r="B38" s="2459" t="s">
        <v>2170</v>
      </c>
      <c r="C38" s="727"/>
      <c r="D38" s="2460" t="s">
        <v>2171</v>
      </c>
      <c r="E38" s="1392"/>
      <c r="F38" s="2458"/>
      <c r="G38" s="138"/>
      <c r="H38" s="138"/>
      <c r="I38" s="138"/>
    </row>
    <row r="39" spans="1:15" ht="15">
      <c r="A39" s="2431" t="s">
        <v>2172</v>
      </c>
      <c r="B39" s="2461" t="s">
        <v>2173</v>
      </c>
      <c r="C39" s="2462" t="s">
        <v>2174</v>
      </c>
      <c r="D39" s="2462" t="s">
        <v>2175</v>
      </c>
      <c r="E39" s="2463" t="s">
        <v>2176</v>
      </c>
      <c r="F39" s="2458"/>
      <c r="G39" s="138"/>
      <c r="H39" s="138"/>
      <c r="I39" s="138"/>
    </row>
    <row r="40" spans="1:15" ht="14.25">
      <c r="A40" s="2464" t="s">
        <v>2177</v>
      </c>
      <c r="B40" s="158"/>
      <c r="C40" s="159"/>
      <c r="D40" s="159"/>
      <c r="E40" s="160"/>
      <c r="F40" s="2458"/>
      <c r="G40" s="138"/>
      <c r="H40" s="138"/>
      <c r="I40" s="138"/>
    </row>
    <row r="41" spans="1:15" ht="14.25">
      <c r="A41" s="2464" t="s">
        <v>2178</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2179</v>
      </c>
      <c r="B44" s="2469"/>
      <c r="C44" s="2469"/>
      <c r="D44" s="2470"/>
      <c r="E44" s="2470"/>
      <c r="F44" s="2471"/>
      <c r="G44" s="2471"/>
      <c r="H44" s="2471"/>
      <c r="I44" s="2471"/>
      <c r="J44" s="2472" t="s">
        <v>2180</v>
      </c>
      <c r="K44" s="2473"/>
      <c r="L44" s="2473"/>
      <c r="M44" s="2473"/>
      <c r="N44" s="2473"/>
      <c r="O44" s="2473"/>
    </row>
    <row r="45" spans="1:15" ht="14.25" customHeight="1" thickBot="1">
      <c r="A45" s="3162" t="s">
        <v>2181</v>
      </c>
      <c r="B45" s="3163"/>
      <c r="C45" s="3164"/>
      <c r="D45" s="164">
        <f ca="1">ROUND(H101*F45,0)</f>
        <v>66986</v>
      </c>
      <c r="E45" s="165" t="s">
        <v>2182</v>
      </c>
      <c r="F45" s="166">
        <v>1</v>
      </c>
      <c r="G45" s="167" t="s">
        <v>2183</v>
      </c>
      <c r="H45" s="138"/>
      <c r="I45" s="138"/>
      <c r="J45" s="3081" t="s">
        <v>2184</v>
      </c>
      <c r="K45" s="3081"/>
      <c r="L45" s="3081"/>
      <c r="M45" s="3081"/>
      <c r="N45" s="3081"/>
      <c r="O45" s="3081"/>
    </row>
    <row r="46" spans="1:15" ht="14.25" customHeight="1">
      <c r="A46" s="3159" t="s">
        <v>2185</v>
      </c>
      <c r="B46" s="3160"/>
      <c r="C46" s="3160"/>
      <c r="D46" s="3160"/>
      <c r="E46" s="3160"/>
      <c r="F46" s="3160"/>
      <c r="G46" s="3161"/>
      <c r="H46" s="2474"/>
      <c r="I46" s="168"/>
      <c r="J46" s="1809">
        <v>1</v>
      </c>
      <c r="K46" s="3081" t="s">
        <v>2186</v>
      </c>
      <c r="L46" s="3081"/>
      <c r="M46" s="3082"/>
      <c r="N46" s="3082"/>
      <c r="O46" s="3082"/>
    </row>
    <row r="47" spans="1:15" ht="12" customHeight="1">
      <c r="A47" s="169" t="s">
        <v>2187</v>
      </c>
      <c r="B47" s="170"/>
      <c r="C47" s="171"/>
      <c r="D47" s="172" t="s">
        <v>2188</v>
      </c>
      <c r="E47" s="24" t="s">
        <v>2189</v>
      </c>
      <c r="F47" s="173" t="s">
        <v>2190</v>
      </c>
      <c r="G47" s="174" t="s">
        <v>2191</v>
      </c>
      <c r="H47" s="2474"/>
      <c r="I47" s="168"/>
      <c r="J47" s="1809">
        <v>2</v>
      </c>
      <c r="K47" s="3081" t="s">
        <v>2192</v>
      </c>
      <c r="L47" s="3081"/>
      <c r="M47" s="3083">
        <f>'数据-取费表'!B2</f>
        <v>43111</v>
      </c>
      <c r="N47" s="3083"/>
      <c r="O47" s="3083"/>
    </row>
    <row r="48" spans="1:15" ht="25.5">
      <c r="A48" s="3149" t="s">
        <v>2193</v>
      </c>
      <c r="B48" s="3150"/>
      <c r="C48" s="3150"/>
      <c r="D48" s="140">
        <f>IF(H48="情况1",0,IF(H48="情况2",D52,IF(H48="情况3",D53,IF(H48="情况4",D54))))</f>
        <v>0</v>
      </c>
      <c r="E48" s="1798" t="str">
        <f>IF(H48="情况4","(销售额-原购置价)×税（费）率","销售额×税（费）率")</f>
        <v>销售额×税（费）率</v>
      </c>
      <c r="F48" s="175" t="str">
        <f>IF(H48="情况1","免征",'数据-取费表'!B41)</f>
        <v>免征</v>
      </c>
      <c r="G48" s="2475" t="s">
        <v>2194</v>
      </c>
      <c r="H48" s="2476" t="s">
        <v>2195</v>
      </c>
      <c r="I48" s="2474"/>
      <c r="J48" s="1809">
        <v>3</v>
      </c>
      <c r="K48" s="3081" t="s">
        <v>2196</v>
      </c>
      <c r="L48" s="3081"/>
      <c r="M48" s="3084">
        <f ca="1">H101</f>
        <v>66986</v>
      </c>
      <c r="N48" s="3084"/>
      <c r="O48" s="3084"/>
    </row>
    <row r="49" spans="1:35" ht="25.5" customHeight="1">
      <c r="A49" s="176" t="s">
        <v>2197</v>
      </c>
      <c r="B49" s="3129" t="s">
        <v>2198</v>
      </c>
      <c r="C49" s="3129"/>
      <c r="D49" s="177">
        <v>0</v>
      </c>
      <c r="E49" s="23" t="s">
        <v>2199</v>
      </c>
      <c r="F49" s="28" t="s">
        <v>34</v>
      </c>
      <c r="G49" s="3110"/>
      <c r="H49" s="138"/>
      <c r="I49" s="2477"/>
      <c r="J49" s="1809">
        <v>4</v>
      </c>
      <c r="K49" s="3081" t="str">
        <f>IF(项目基本情况!E8="房地产抵押价值","房地产抵押价值","抵押担保权已注销时的房地产抵押价值")</f>
        <v>房地产抵押价值</v>
      </c>
      <c r="L49" s="3081"/>
      <c r="M49" s="3084">
        <f ca="1">IF(项目基本情况!E8="房地产抵押价值",H107,H109)</f>
        <v>66986</v>
      </c>
      <c r="N49" s="3084"/>
      <c r="O49" s="3084"/>
    </row>
    <row r="50" spans="1:35" ht="25.5" customHeight="1">
      <c r="A50" s="178"/>
      <c r="B50" s="3129" t="s">
        <v>2200</v>
      </c>
      <c r="C50" s="3129"/>
      <c r="D50" s="179"/>
      <c r="E50" s="31"/>
      <c r="F50" s="180"/>
      <c r="G50" s="3111"/>
      <c r="H50" s="138"/>
      <c r="I50" s="2477"/>
      <c r="J50" s="3081" t="s">
        <v>2201</v>
      </c>
      <c r="K50" s="3081"/>
      <c r="L50" s="3081"/>
      <c r="M50" s="3081"/>
      <c r="N50" s="3081"/>
      <c r="O50" s="3081"/>
    </row>
    <row r="51" spans="1:35" ht="12" customHeight="1">
      <c r="A51" s="181"/>
      <c r="B51" s="3129" t="s">
        <v>2202</v>
      </c>
      <c r="C51" s="3129"/>
      <c r="D51" s="182"/>
      <c r="E51" s="30"/>
      <c r="F51" s="180"/>
      <c r="G51" s="3112"/>
      <c r="H51" s="138"/>
      <c r="I51" s="2477"/>
      <c r="J51" s="2478" t="s">
        <v>2203</v>
      </c>
      <c r="K51" s="3081" t="s">
        <v>2204</v>
      </c>
      <c r="L51" s="3081"/>
      <c r="M51" s="2478" t="s">
        <v>2205</v>
      </c>
      <c r="N51" s="2478" t="s">
        <v>2206</v>
      </c>
      <c r="O51" s="2478" t="s">
        <v>2207</v>
      </c>
    </row>
    <row r="52" spans="1:35" ht="24" customHeight="1">
      <c r="A52" s="183" t="s">
        <v>2208</v>
      </c>
      <c r="B52" s="3129" t="s">
        <v>2209</v>
      </c>
      <c r="C52" s="3129"/>
      <c r="D52" s="182">
        <f ca="1">ROUND(D45*'数据-取费表'!B41/(1+'数据-取费表'!C42),0)</f>
        <v>3509</v>
      </c>
      <c r="E52" s="11" t="s">
        <v>2210</v>
      </c>
      <c r="F52" s="184">
        <f>'数据-取费表'!B41</f>
        <v>5.5000000000000007E-2</v>
      </c>
      <c r="G52" s="2479"/>
      <c r="H52" s="138"/>
      <c r="I52" s="2477"/>
      <c r="J52" s="1809">
        <v>1</v>
      </c>
      <c r="K52" s="3104" t="s">
        <v>2211</v>
      </c>
      <c r="L52" s="3104"/>
      <c r="M52" s="1751">
        <f>D48</f>
        <v>0</v>
      </c>
      <c r="N52" s="1809" t="str">
        <f>E48</f>
        <v>销售额×税（费）率</v>
      </c>
      <c r="O52" s="1752" t="str">
        <f>F48</f>
        <v>免征</v>
      </c>
    </row>
    <row r="53" spans="1:35" ht="12" customHeight="1">
      <c r="A53" s="183" t="s">
        <v>2212</v>
      </c>
      <c r="B53" s="3130" t="s">
        <v>2213</v>
      </c>
      <c r="C53" s="3131"/>
      <c r="D53" s="182">
        <f ca="1">ROUND(D45*'数据-取费表'!B41/(1+'数据-取费表'!C42),0)</f>
        <v>3509</v>
      </c>
      <c r="E53" s="11" t="s">
        <v>2210</v>
      </c>
      <c r="F53" s="184">
        <f>'数据-取费表'!B41</f>
        <v>5.5000000000000007E-2</v>
      </c>
      <c r="G53" s="2479"/>
      <c r="H53" s="138"/>
      <c r="I53" s="2477"/>
      <c r="J53" s="1809">
        <v>2</v>
      </c>
      <c r="K53" s="3104" t="s">
        <v>2214</v>
      </c>
      <c r="L53" s="3104"/>
      <c r="M53" s="1751">
        <f t="shared" ref="M53:O54" ca="1" si="0">D55</f>
        <v>33</v>
      </c>
      <c r="N53" s="1809" t="str">
        <f t="shared" si="0"/>
        <v>销售额×税（费）率</v>
      </c>
      <c r="O53" s="1752">
        <f t="shared" si="0"/>
        <v>5.0000000000000001E-4</v>
      </c>
    </row>
    <row r="54" spans="1:35" ht="12" customHeight="1">
      <c r="A54" s="183" t="s">
        <v>2215</v>
      </c>
      <c r="B54" s="3130" t="s">
        <v>2216</v>
      </c>
      <c r="C54" s="3131"/>
      <c r="D54" s="182">
        <f ca="1">C68</f>
        <v>3509</v>
      </c>
      <c r="E54" s="30" t="s">
        <v>2217</v>
      </c>
      <c r="F54" s="184">
        <f>'数据-取费表'!B41</f>
        <v>5.5000000000000007E-2</v>
      </c>
      <c r="G54" s="2479"/>
      <c r="H54" s="2480"/>
      <c r="I54" s="2477"/>
      <c r="J54" s="1809">
        <v>3</v>
      </c>
      <c r="K54" s="3104" t="s">
        <v>2218</v>
      </c>
      <c r="L54" s="3104"/>
      <c r="M54" s="1751">
        <f t="shared" ca="1" si="0"/>
        <v>37975</v>
      </c>
      <c r="N54" s="1809" t="str">
        <f t="shared" si="0"/>
        <v>增值额×税（费）率</v>
      </c>
      <c r="O54" s="1753" t="str">
        <f t="shared" si="0"/>
        <v>——</v>
      </c>
    </row>
    <row r="55" spans="1:35" ht="24" customHeight="1">
      <c r="A55" s="3168" t="s">
        <v>2219</v>
      </c>
      <c r="B55" s="3150"/>
      <c r="C55" s="3150"/>
      <c r="D55" s="185">
        <f ca="1">IF(H55="个人住宅",0,ROUND(D45*I55,0))</f>
        <v>33</v>
      </c>
      <c r="E55" s="11" t="s">
        <v>2220</v>
      </c>
      <c r="F55" s="184">
        <f>IF(H55="正常",I55,"免征")</f>
        <v>5.0000000000000001E-4</v>
      </c>
      <c r="G55" s="2479"/>
      <c r="H55" s="2476" t="s">
        <v>2221</v>
      </c>
      <c r="I55" s="186">
        <f>'数据-取费表'!B49</f>
        <v>5.0000000000000001E-4</v>
      </c>
      <c r="J55" s="1809" t="str">
        <f>IF(H59="非个人房产","",4)</f>
        <v/>
      </c>
      <c r="K55" s="3104" t="str">
        <f>IF(H59="非个人房产","——","个人所得税")</f>
        <v>——</v>
      </c>
      <c r="L55" s="3104"/>
      <c r="M55" s="1754" t="str">
        <f>D59</f>
        <v>——</v>
      </c>
      <c r="N55" s="1807" t="str">
        <f>E59</f>
        <v>——</v>
      </c>
      <c r="O55" s="1755" t="str">
        <f>F59</f>
        <v>——</v>
      </c>
    </row>
    <row r="56" spans="1:35" ht="24.75">
      <c r="A56" s="3168" t="s">
        <v>2222</v>
      </c>
      <c r="B56" s="3150"/>
      <c r="C56" s="3150"/>
      <c r="D56" s="185">
        <f ca="1">IF(H56="个人住宅",D57,D58)</f>
        <v>37975</v>
      </c>
      <c r="E56" s="11" t="s">
        <v>2223</v>
      </c>
      <c r="F56" s="184" t="str">
        <f>IF(H56="正常",F58,"免征")</f>
        <v>——</v>
      </c>
      <c r="G56" s="2481" t="s">
        <v>2224</v>
      </c>
      <c r="H56" s="2482" t="s">
        <v>2221</v>
      </c>
      <c r="I56" s="2483"/>
      <c r="J56" s="1809" t="str">
        <f>IF(项目基本情况!K6="上海银行",IF(J55="",4,J55+1),"")</f>
        <v/>
      </c>
      <c r="K56" s="3087" t="str">
        <f>IF(项目基本情况!K6="上海银行","其他处置费用","")</f>
        <v/>
      </c>
      <c r="L56" s="3088"/>
      <c r="M56" s="1751" t="str">
        <f>IF(项目基本情况!K6="上海银行",M69,"")</f>
        <v/>
      </c>
      <c r="N56" s="3090" t="str">
        <f>IF(项目基本情况!K6="上海银行","包含处置中涉及的律师、诉讼、拍卖、评估等费用","")</f>
        <v/>
      </c>
      <c r="O56" s="3091"/>
    </row>
    <row r="57" spans="1:35" ht="12.75">
      <c r="A57" s="183" t="s">
        <v>2197</v>
      </c>
      <c r="B57" s="3135" t="s">
        <v>2225</v>
      </c>
      <c r="C57" s="3136"/>
      <c r="D57" s="187">
        <v>0</v>
      </c>
      <c r="E57" s="23" t="s">
        <v>2199</v>
      </c>
      <c r="F57" s="155"/>
      <c r="G57" s="2479"/>
      <c r="H57" s="2483"/>
      <c r="I57" s="2483"/>
      <c r="J57" s="3104">
        <f>IF(AND(J55="",J56=""),4,IF(项目基本情况!K6="上海银行",结果表!J56+1,结果表!J55+1))</f>
        <v>4</v>
      </c>
      <c r="K57" s="3104" t="s">
        <v>2226</v>
      </c>
      <c r="L57" s="2484" t="s">
        <v>2227</v>
      </c>
      <c r="M57" s="1756"/>
      <c r="N57" s="1757">
        <f ca="1">SUMIF(M52:M56,"&lt;9e307")</f>
        <v>38008</v>
      </c>
      <c r="O57" s="2485"/>
      <c r="P57" s="1750">
        <f ca="1">N57/M49</f>
        <v>0.56740214373152598</v>
      </c>
    </row>
    <row r="58" spans="1:35" ht="24.75">
      <c r="A58" s="183" t="s">
        <v>2208</v>
      </c>
      <c r="B58" s="3135" t="s">
        <v>2228</v>
      </c>
      <c r="C58" s="3148"/>
      <c r="D58" s="185">
        <f ca="1">IF(H58="转让取得",C81,C97)</f>
        <v>37975</v>
      </c>
      <c r="E58" s="11" t="s">
        <v>2223</v>
      </c>
      <c r="F58" s="24" t="s">
        <v>34</v>
      </c>
      <c r="G58" s="2479"/>
      <c r="H58" s="2482" t="s">
        <v>2229</v>
      </c>
      <c r="I58" s="2483"/>
      <c r="J58" s="3104"/>
      <c r="K58" s="3104"/>
      <c r="L58" s="2484" t="s">
        <v>2230</v>
      </c>
      <c r="M58" s="1758"/>
      <c r="N58" s="2486" t="str">
        <f ca="1">NUMBERSTRING(INT(N57*10000),2)&amp;"元整"</f>
        <v>叁亿捌仟零捌万元整</v>
      </c>
      <c r="O58" s="2487"/>
    </row>
    <row r="59" spans="1:35" ht="24.75" thickBot="1">
      <c r="A59" s="3108" t="s">
        <v>2231</v>
      </c>
      <c r="B59" s="3109"/>
      <c r="C59" s="3109"/>
      <c r="D59" s="188" t="str">
        <f>IF(H59="非个人房产","——",IF(H59="个人住宅",0,ROUND(D45*I59,0)))</f>
        <v>——</v>
      </c>
      <c r="E59" s="189" t="str">
        <f>IF(H59="非个人房产","——","销售额×税（费）率")</f>
        <v>——</v>
      </c>
      <c r="F59" s="190" t="str">
        <f>IF(H59="非个人房产","——",IF(H59="个人住宅","免征",I59))</f>
        <v>——</v>
      </c>
      <c r="G59" s="2488" t="s">
        <v>2224</v>
      </c>
      <c r="H59" s="2482" t="s">
        <v>2232</v>
      </c>
      <c r="I59" s="191">
        <v>0.01</v>
      </c>
      <c r="J59" s="3106">
        <f>J57+1</f>
        <v>5</v>
      </c>
      <c r="K59" s="3104" t="s">
        <v>2233</v>
      </c>
      <c r="L59" s="1809" t="s">
        <v>2227</v>
      </c>
      <c r="M59" s="1759"/>
      <c r="N59" s="1760">
        <f ca="1">M49-N57</f>
        <v>28978</v>
      </c>
      <c r="O59" s="2489"/>
    </row>
    <row r="60" spans="1:35" ht="12" customHeight="1">
      <c r="A60" s="2490"/>
      <c r="B60" s="2412"/>
      <c r="C60" s="2412"/>
      <c r="D60" s="2412"/>
      <c r="E60" s="2162"/>
      <c r="F60" s="2483"/>
      <c r="G60" s="2483"/>
      <c r="H60" s="2491"/>
      <c r="I60" s="138"/>
      <c r="J60" s="3107"/>
      <c r="K60" s="3104"/>
      <c r="L60" s="2484" t="s">
        <v>2230</v>
      </c>
      <c r="M60" s="1758"/>
      <c r="N60" s="2486" t="str">
        <f ca="1">NUMBERSTRING(INT(N59*10000),2)&amp;"元整"</f>
        <v>贰亿捌仟玖佰柒拾捌万元整</v>
      </c>
      <c r="O60" s="2487"/>
    </row>
    <row r="61" spans="1:35" ht="13.5" thickBot="1">
      <c r="A61" s="3167" t="s">
        <v>2234</v>
      </c>
      <c r="B61" s="3167"/>
      <c r="C61" s="3167"/>
      <c r="D61" s="3167"/>
      <c r="E61" s="3167"/>
      <c r="F61" s="2483"/>
      <c r="G61" s="2483"/>
      <c r="H61" s="2491"/>
      <c r="I61" s="138"/>
      <c r="J61" s="1809">
        <f>J59+1</f>
        <v>6</v>
      </c>
      <c r="K61" s="3104" t="s">
        <v>2235</v>
      </c>
      <c r="L61" s="3104"/>
      <c r="M61" s="1761"/>
      <c r="N61" s="1762">
        <f ca="1">ROUND(N59*10000/'数据-汇总表'!E3,0)</f>
        <v>3401</v>
      </c>
      <c r="O61" s="2492"/>
    </row>
    <row r="62" spans="1:35" ht="12.75">
      <c r="A62" s="3124" t="s">
        <v>2236</v>
      </c>
      <c r="B62" s="3125"/>
      <c r="C62" s="1801"/>
      <c r="D62" s="1801" t="s">
        <v>2237</v>
      </c>
      <c r="E62" s="192" t="s">
        <v>2238</v>
      </c>
      <c r="F62" s="2483"/>
      <c r="G62" s="2483"/>
      <c r="H62" s="2491"/>
      <c r="I62" s="138"/>
    </row>
    <row r="63" spans="1:35" ht="12.75">
      <c r="A63" s="203" t="s">
        <v>775</v>
      </c>
      <c r="B63" s="193" t="s">
        <v>2239</v>
      </c>
      <c r="C63" s="194">
        <f ca="1">ROUND((C64+C65)/(1+'数据-取费表'!C42),0)</f>
        <v>63796</v>
      </c>
      <c r="D63" s="195"/>
      <c r="E63" s="196"/>
      <c r="F63" s="2483"/>
      <c r="G63" s="2483"/>
      <c r="H63" s="2491"/>
      <c r="I63" s="138"/>
      <c r="J63" s="3089" t="s">
        <v>2240</v>
      </c>
      <c r="K63" s="2493" t="s">
        <v>2241</v>
      </c>
      <c r="L63" s="1749">
        <f ca="1">IF(M49&gt;10000,M49*0.5%,IF(AND(M49&gt;1000,M49&lt;=10000),M49*1%,IF(AND(M49&gt;100,M49&lt;=1000),M49*3%,IF(AND(M49&gt;10,M49&lt;=100),M49*5%,M49*8%))))</f>
        <v>334.93</v>
      </c>
      <c r="M63" s="24">
        <f ca="1">ROUND(L63,1)</f>
        <v>334.9</v>
      </c>
      <c r="Z63" s="2417"/>
      <c r="AI63" s="2418"/>
    </row>
    <row r="64" spans="1:35" ht="14.25" customHeight="1">
      <c r="A64" s="197" t="s">
        <v>770</v>
      </c>
      <c r="B64" s="198" t="s">
        <v>2242</v>
      </c>
      <c r="C64" s="199">
        <f ca="1">D45</f>
        <v>66986</v>
      </c>
      <c r="D64" s="200" t="s">
        <v>32</v>
      </c>
      <c r="E64" s="201"/>
      <c r="F64" s="2483"/>
      <c r="G64" s="2483"/>
      <c r="H64" s="2491"/>
      <c r="I64" s="138"/>
      <c r="J64" s="3089"/>
      <c r="K64" s="2493" t="s">
        <v>2243</v>
      </c>
      <c r="L64" s="1749">
        <f ca="1">IF(M49&gt;2000,M49*0.5%,IF(AND(M49&gt;1000,M49&lt;=2000),M49*0.6%,IF(AND(M49&gt;500,M49&lt;=1000),M49*0.7%,IF(AND(M49&gt;200,M49&lt;=500),M49*0.8%,IF(AND(M49&gt;100,M49&lt;=200),M49*0.9%,IF(AND(M49&gt;50,M49&lt;=100),M49*1%,IF(AND(M49&gt;20,M49&lt;=50),M49*1.5%,IF(AND(M49&gt;10,M49&lt;=20),M49*2%,IF(AND(M49&gt;1,M49&lt;=10),M49*2.5%)))))))))</f>
        <v>334.93</v>
      </c>
      <c r="M64" s="24">
        <f t="shared" ref="M64:M65" ca="1" si="1">ROUND(L64,1)</f>
        <v>334.9</v>
      </c>
      <c r="N64" s="138" t="s">
        <v>2244</v>
      </c>
      <c r="Z64" s="2417"/>
      <c r="AI64" s="2418"/>
    </row>
    <row r="65" spans="1:35" ht="14.25" customHeight="1">
      <c r="A65" s="197" t="s">
        <v>771</v>
      </c>
      <c r="B65" s="198" t="s">
        <v>2245</v>
      </c>
      <c r="C65" s="202"/>
      <c r="D65" s="200"/>
      <c r="E65" s="201"/>
      <c r="F65" s="2483"/>
      <c r="G65" s="2483"/>
      <c r="H65" s="2491"/>
      <c r="I65" s="138"/>
      <c r="J65" s="3089"/>
      <c r="K65" s="2493" t="s">
        <v>2246</v>
      </c>
      <c r="L65" s="1749">
        <f ca="1">IF(M49&gt;1000,M49*0.1%,IF(AND(M49&gt;500,M49&lt;=1000),M49*0.5%,IF(AND(M49&gt;50,M49&lt;=500),M49*1%,IF(AND(M49&gt;1,M49&lt;=50),M49*1.5%))))</f>
        <v>66.986000000000004</v>
      </c>
      <c r="M65" s="24">
        <f t="shared" ca="1" si="1"/>
        <v>67</v>
      </c>
      <c r="N65" s="138" t="s">
        <v>2244</v>
      </c>
      <c r="Z65" s="2417"/>
      <c r="AI65" s="2418"/>
    </row>
    <row r="66" spans="1:35" ht="14.25" customHeight="1">
      <c r="A66" s="203" t="s">
        <v>772</v>
      </c>
      <c r="B66" s="204" t="s">
        <v>2247</v>
      </c>
      <c r="C66" s="205"/>
      <c r="D66" s="206" t="s">
        <v>32</v>
      </c>
      <c r="E66" s="1773" t="s">
        <v>1371</v>
      </c>
      <c r="F66" s="2483"/>
      <c r="G66" s="2483"/>
      <c r="H66" s="2491"/>
      <c r="I66" s="138"/>
      <c r="J66" s="3089"/>
      <c r="K66" s="2493" t="s">
        <v>2248</v>
      </c>
      <c r="L66" s="1749">
        <f ca="1">M49*0.5%</f>
        <v>334.93</v>
      </c>
      <c r="M66" s="24">
        <f ca="1">IF(L66&gt;0.5,0.5,ROUND(L66,0))</f>
        <v>0.5</v>
      </c>
      <c r="N66" s="138" t="s">
        <v>2249</v>
      </c>
      <c r="Z66" s="2417"/>
      <c r="AI66" s="2418"/>
    </row>
    <row r="67" spans="1:35" ht="14.25" customHeight="1">
      <c r="A67" s="203" t="s">
        <v>773</v>
      </c>
      <c r="B67" s="204" t="s">
        <v>2250</v>
      </c>
      <c r="C67" s="207">
        <f ca="1">C63-C66</f>
        <v>63796</v>
      </c>
      <c r="D67" s="200" t="s">
        <v>32</v>
      </c>
      <c r="E67" s="201"/>
      <c r="F67" s="2483"/>
      <c r="G67" s="2483"/>
      <c r="H67" s="2491"/>
      <c r="I67" s="138"/>
      <c r="J67" s="3089"/>
      <c r="K67" s="2493" t="s">
        <v>2251</v>
      </c>
      <c r="L67" s="1749">
        <f ca="1">IF(M49&gt;=10000,(8.25+(M49-10000)*0.01%),IF(AND(M49&gt;=8000,M49&lt;10000),(7.85+(M49-8000)*0.02%),IF(AND(M49&gt;=5000,M49&lt;8000),(6.65+(M49-5000)*0.04%),IF(AND(M49&gt;=2000,M49&lt;5000),(4.25+(PM49-2000)*0.08%),IF(AND(M49&gt;=1000,M49&lt;2000),(2.75+(M49-1000)*0.15%),IF(AND(M49&gt;=100,M49&lt;1000),(0.5+(M49-100)*0.25%),IF(AND(M49&gt;0,M49&lt;100),M49*0.5%)))))))</f>
        <v>13.948599999999999</v>
      </c>
      <c r="M67" s="24">
        <f ca="1">ROUND(L67*0.9,1)</f>
        <v>12.6</v>
      </c>
      <c r="Z67" s="2417"/>
      <c r="AI67" s="2418"/>
    </row>
    <row r="68" spans="1:35" ht="14.25" customHeight="1" thickBot="1">
      <c r="A68" s="208" t="s">
        <v>774</v>
      </c>
      <c r="B68" s="209" t="s">
        <v>2252</v>
      </c>
      <c r="C68" s="210">
        <f ca="1">IF(C67&lt;=0,0,ROUND(C67*D68,0))</f>
        <v>3509</v>
      </c>
      <c r="D68" s="211">
        <f>'数据-取费表'!B41</f>
        <v>5.5000000000000007E-2</v>
      </c>
      <c r="E68" s="212"/>
      <c r="F68" s="2483"/>
      <c r="G68" s="2483"/>
      <c r="H68" s="2491"/>
      <c r="I68" s="138"/>
      <c r="J68" s="3089"/>
      <c r="K68" s="2493" t="s">
        <v>2253</v>
      </c>
      <c r="L68" s="1749">
        <f ca="1">IF(M49&gt;10000,M49*0.5%,IF(AND(M49&gt;5000,M49&lt;=10000),M49*1%,IF(AND(M49&gt;1000,M49&lt;=5000),M49*2%,IF(AND(M49&gt;200,M49&lt;=1000),M49*3%,M49*5%))))</f>
        <v>334.93</v>
      </c>
      <c r="M68" s="24">
        <f ca="1">ROUND(L68,1)</f>
        <v>334.9</v>
      </c>
      <c r="Z68" s="2417"/>
      <c r="AI68" s="2418"/>
    </row>
    <row r="69" spans="1:35" s="2440" customFormat="1" ht="16.5" customHeight="1">
      <c r="A69" s="2494"/>
      <c r="B69" s="2495"/>
      <c r="C69" s="2496"/>
      <c r="D69" s="2497"/>
      <c r="E69" s="2498"/>
      <c r="F69" s="2162"/>
      <c r="G69" s="2162"/>
      <c r="H69" s="2161"/>
      <c r="I69" s="2412"/>
      <c r="J69" s="3089"/>
      <c r="K69" s="2493" t="s">
        <v>2254</v>
      </c>
      <c r="L69" s="2499"/>
      <c r="M69" s="24">
        <f ca="1">ROUND(SUM(M63:M68),0)</f>
        <v>1085</v>
      </c>
      <c r="N69" s="1750">
        <f ca="1">M69/M49</f>
        <v>1.6197414385095393E-2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33" t="s">
        <v>2255</v>
      </c>
      <c r="B70" s="3134"/>
      <c r="C70" s="3134"/>
      <c r="D70" s="3134"/>
      <c r="E70" s="3134"/>
      <c r="F70" s="3134"/>
      <c r="G70" s="3134"/>
      <c r="H70" s="313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24" t="s">
        <v>2236</v>
      </c>
      <c r="B71" s="3125"/>
      <c r="C71" s="1801"/>
      <c r="D71" s="1801" t="s">
        <v>2237</v>
      </c>
      <c r="E71" s="213" t="s">
        <v>2238</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2256</v>
      </c>
      <c r="C72" s="207">
        <f ca="1">ROUND(D45/(1+'数据-取费表'!C42),0)</f>
        <v>63796</v>
      </c>
      <c r="D72" s="200" t="s">
        <v>32</v>
      </c>
      <c r="E72" s="1800"/>
      <c r="F72" s="1794"/>
      <c r="G72" s="1794"/>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2257</v>
      </c>
      <c r="C73" s="207">
        <f ca="1">C74+C78</f>
        <v>319</v>
      </c>
      <c r="D73" s="200" t="s">
        <v>32</v>
      </c>
      <c r="E73" s="1800"/>
      <c r="F73" s="1794"/>
      <c r="G73" s="1794"/>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2258</v>
      </c>
      <c r="C74" s="200">
        <f>ROUND(IF(G77="2016年5月1日后购买",C75/(1+'数据-取费表'!C42)+C76+C77,C75+C76+C77),0)</f>
        <v>0</v>
      </c>
      <c r="D74" s="200" t="s">
        <v>32</v>
      </c>
      <c r="E74" s="1800"/>
      <c r="F74" s="1794"/>
      <c r="G74" s="1794"/>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2259</v>
      </c>
      <c r="C75" s="218"/>
      <c r="D75" s="200" t="s">
        <v>32</v>
      </c>
      <c r="E75" s="219" t="s">
        <v>2260</v>
      </c>
      <c r="F75" s="2505" t="s">
        <v>2261</v>
      </c>
      <c r="G75" s="219" t="s">
        <v>2262</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2263</v>
      </c>
      <c r="C76" s="200">
        <f>IF(F75="购房发票",ROUND(C75*H75*D76,0),0)</f>
        <v>0</v>
      </c>
      <c r="D76" s="222">
        <v>0.05</v>
      </c>
      <c r="E76" s="3130" t="s">
        <v>2264</v>
      </c>
      <c r="F76" s="3129"/>
      <c r="G76" s="3129"/>
      <c r="H76" s="313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7" t="s">
        <v>2267</v>
      </c>
      <c r="H77" s="180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2268</v>
      </c>
      <c r="C78" s="225">
        <f ca="1">ROUND(D45*D78/(1+'数据-取费表'!C42),0)</f>
        <v>319</v>
      </c>
      <c r="D78" s="226">
        <f>'数据-取费表'!B43</f>
        <v>5.000000000000001E-3</v>
      </c>
      <c r="E78" s="3121" t="s">
        <v>2269</v>
      </c>
      <c r="F78" s="3122"/>
      <c r="G78" s="3122"/>
      <c r="H78" s="312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2270</v>
      </c>
      <c r="C79" s="207">
        <f ca="1">C72-C73</f>
        <v>63477</v>
      </c>
      <c r="D79" s="200" t="s">
        <v>32</v>
      </c>
      <c r="E79" s="1800"/>
      <c r="F79" s="1794"/>
      <c r="G79" s="1794"/>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2271</v>
      </c>
      <c r="C80" s="227">
        <f ca="1">IF(C79&lt;=0,0,C79/C73)</f>
        <v>198.98746081504703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2272</v>
      </c>
      <c r="C81" s="228">
        <f ca="1">ROUND(IF(C79&lt;=0,0,IF(C80&gt;=200%,C79*60%-C73*35%,IF(C80&gt;=100%,C79*50%-C73*15%,IF(C80&gt;=50%,C79*40%-C73*5%,IF(C80&lt;50%,C79*30%,0))))),0)</f>
        <v>37975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33" t="s">
        <v>2273</v>
      </c>
      <c r="B83" s="3134"/>
      <c r="C83" s="3134"/>
      <c r="D83" s="3134"/>
      <c r="E83" s="3134"/>
      <c r="F83" s="3134"/>
      <c r="G83" s="3134"/>
      <c r="H83" s="313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24" t="s">
        <v>2236</v>
      </c>
      <c r="B84" s="3125"/>
      <c r="C84" s="1801"/>
      <c r="D84" s="1801" t="s">
        <v>2237</v>
      </c>
      <c r="E84" s="213" t="s">
        <v>2238</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2256</v>
      </c>
      <c r="C85" s="207">
        <f ca="1">ROUND(D45/(1+'数据-取费表'!C42),0)</f>
        <v>63796</v>
      </c>
      <c r="D85" s="200" t="s">
        <v>32</v>
      </c>
      <c r="E85" s="1800"/>
      <c r="F85" s="1794"/>
      <c r="G85" s="1794"/>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2257</v>
      </c>
      <c r="C86" s="207">
        <f ca="1">IF(H88="仅含出让金",C87+C90+C91+C92+C93+C94,C87+C91+C92+C93+C94)</f>
        <v>319</v>
      </c>
      <c r="D86" s="235"/>
      <c r="E86" s="1800"/>
      <c r="F86" s="1794"/>
      <c r="G86" s="1794"/>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2274</v>
      </c>
      <c r="C87" s="225">
        <f>C88+C89</f>
        <v>0</v>
      </c>
      <c r="D87" s="226"/>
      <c r="E87" s="1796"/>
      <c r="F87" s="1797"/>
      <c r="G87" s="1797"/>
      <c r="H87" s="179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2275</v>
      </c>
      <c r="C88" s="236"/>
      <c r="D88" s="226"/>
      <c r="E88" s="237" t="s">
        <v>2276</v>
      </c>
      <c r="F88" s="1797"/>
      <c r="G88" s="238" t="s">
        <v>2277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2265</v>
      </c>
      <c r="C89" s="225">
        <f>ROUND(C88*D89,0)</f>
        <v>0</v>
      </c>
      <c r="D89" s="226">
        <f>'数据-取费表'!B48+'数据-取费表'!B49</f>
        <v>3.0499999999999999E-2</v>
      </c>
      <c r="E89" s="237" t="s">
        <v>2278</v>
      </c>
      <c r="F89" s="1797"/>
      <c r="G89" s="1797"/>
      <c r="H89" s="179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2279</v>
      </c>
      <c r="C90" s="236"/>
      <c r="D90" s="226"/>
      <c r="E90" s="237" t="str">
        <f>IF(H88="-","土地取得成本中已包含该笔费用"," ")</f>
        <v xml:space="preserve"> </v>
      </c>
      <c r="F90" s="1797"/>
      <c r="G90" s="1797"/>
      <c r="H90" s="179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2280</v>
      </c>
      <c r="B91" s="198" t="s">
        <v>2281</v>
      </c>
      <c r="C91" s="225">
        <f>IF(H91="——",成本法!C33,I91)</f>
        <v>0</v>
      </c>
      <c r="D91" s="226"/>
      <c r="E91" s="3121" t="s">
        <v>2282</v>
      </c>
      <c r="F91" s="3122"/>
      <c r="G91" s="3122"/>
      <c r="H91" s="2512" t="s">
        <v>2283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2284</v>
      </c>
      <c r="B92" s="198" t="s">
        <v>2285</v>
      </c>
      <c r="C92" s="225">
        <f>ROUND((C87+C90+C91)*D92,0)</f>
        <v>0</v>
      </c>
      <c r="D92" s="226">
        <v>0.1</v>
      </c>
      <c r="E92" s="3121" t="s">
        <v>2286</v>
      </c>
      <c r="F92" s="3122"/>
      <c r="G92" s="3122"/>
      <c r="H92" s="312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2287</v>
      </c>
      <c r="B93" s="198" t="s">
        <v>2268</v>
      </c>
      <c r="C93" s="225">
        <f ca="1">ROUND(D45*D93/(1+'数据-取费表'!C42),0)</f>
        <v>319</v>
      </c>
      <c r="D93" s="226">
        <f>'数据-取费表'!B43</f>
        <v>5.000000000000001E-3</v>
      </c>
      <c r="E93" s="3121" t="s">
        <v>2269</v>
      </c>
      <c r="F93" s="3122"/>
      <c r="G93" s="3122"/>
      <c r="H93" s="312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2288</v>
      </c>
      <c r="B94" s="198" t="s">
        <v>2289</v>
      </c>
      <c r="C94" s="236">
        <f>ROUND((C87+C90+C91)*D94,0)</f>
        <v>0</v>
      </c>
      <c r="D94" s="226">
        <v>0.2</v>
      </c>
      <c r="E94" s="3169" t="s">
        <v>2290</v>
      </c>
      <c r="F94" s="3170"/>
      <c r="G94" s="3170"/>
      <c r="H94" s="317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2270</v>
      </c>
      <c r="C95" s="207">
        <f ca="1">ROUND(C85-C86,0)</f>
        <v>63477</v>
      </c>
      <c r="D95" s="200" t="s">
        <v>32</v>
      </c>
      <c r="E95" s="1800"/>
      <c r="F95" s="1794"/>
      <c r="G95" s="1794"/>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2271</v>
      </c>
      <c r="C96" s="227">
        <f ca="1">IF(C95&lt;=0,0,C95/C86)</f>
        <v>198.98746081504703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2272</v>
      </c>
      <c r="C97" s="228">
        <f ca="1">ROUND(IF(C95&lt;=0,0,IF(C96&gt;=200%,C95*60%-C86*35%,IF(C96&gt;=100%,C95*50%-C86*15%,IF(C96&gt;=50%,C95*40%-C86*5%,IF(C96&lt;50%,C95*30%,0))))),0)</f>
        <v>37975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2291</v>
      </c>
      <c r="B99" s="2412"/>
      <c r="C99" s="2412"/>
      <c r="D99" s="2412"/>
      <c r="E99" s="2162"/>
      <c r="F99" s="2162"/>
      <c r="G99" s="2162"/>
      <c r="H99" s="2161"/>
      <c r="I99" s="138"/>
    </row>
    <row r="100" spans="1:35" ht="18.75" customHeight="1">
      <c r="A100" s="3073" t="s">
        <v>2292</v>
      </c>
      <c r="B100" s="3074"/>
      <c r="C100" s="3074"/>
      <c r="D100" s="3105"/>
      <c r="E100" s="3074" t="s">
        <v>2293</v>
      </c>
      <c r="F100" s="3074"/>
      <c r="G100" s="3074"/>
      <c r="H100" s="3105"/>
      <c r="I100" s="138"/>
    </row>
    <row r="101" spans="1:35" ht="18.75" customHeight="1">
      <c r="A101" s="3113" t="s">
        <v>2294</v>
      </c>
      <c r="B101" s="3114"/>
      <c r="C101" s="736" t="str">
        <f>C4</f>
        <v>成本法</v>
      </c>
      <c r="D101" s="737" t="str">
        <f>D4</f>
        <v>假设开发法</v>
      </c>
      <c r="E101" s="3085" t="s">
        <v>2295</v>
      </c>
      <c r="F101" s="3086"/>
      <c r="G101" s="2514" t="s">
        <v>2296</v>
      </c>
      <c r="H101" s="1045">
        <f ca="1">H118</f>
        <v>66986</v>
      </c>
      <c r="I101" s="138"/>
    </row>
    <row r="102" spans="1:35" ht="18.75" customHeight="1">
      <c r="A102" s="3115" t="s">
        <v>2297</v>
      </c>
      <c r="B102" s="2514" t="s">
        <v>2296</v>
      </c>
      <c r="C102" s="736">
        <f ca="1">C19</f>
        <v>67480</v>
      </c>
      <c r="D102" s="737">
        <f ca="1">D19</f>
        <v>66492</v>
      </c>
      <c r="E102" s="3085"/>
      <c r="F102" s="3086"/>
      <c r="G102" s="2514" t="s">
        <v>2298</v>
      </c>
      <c r="H102" s="371">
        <f ca="1">I118</f>
        <v>7861</v>
      </c>
      <c r="I102" s="138"/>
    </row>
    <row r="103" spans="1:35" ht="42.75" customHeight="1">
      <c r="A103" s="3115"/>
      <c r="B103" s="2514" t="s">
        <v>2298</v>
      </c>
      <c r="C103" s="738">
        <f ca="1">C20</f>
        <v>7919</v>
      </c>
      <c r="D103" s="739">
        <f ca="1">D20</f>
        <v>7803</v>
      </c>
      <c r="E103" s="3079" t="s">
        <v>2299</v>
      </c>
      <c r="F103" s="3080"/>
      <c r="G103" s="2515" t="s">
        <v>2300</v>
      </c>
      <c r="H103" s="1045">
        <f>IF(D36="正常操作",H104+H105+H106,H105+H106)</f>
        <v>0</v>
      </c>
      <c r="I103" s="138"/>
    </row>
    <row r="104" spans="1:35" ht="18.75" customHeight="1">
      <c r="A104" s="3115" t="s">
        <v>2301</v>
      </c>
      <c r="B104" s="2516" t="s">
        <v>2296</v>
      </c>
      <c r="C104" s="740">
        <f ca="1">H118</f>
        <v>66986</v>
      </c>
      <c r="D104" s="741"/>
      <c r="E104" s="2262" t="s">
        <v>2302</v>
      </c>
      <c r="F104" s="2254"/>
      <c r="G104" s="2515" t="s">
        <v>2300</v>
      </c>
      <c r="H104" s="1046">
        <f>IF(D36="同一抵押权人同一抵押物续贷",C36&amp;"（未扣减，详见特别提示）",C36)</f>
        <v>0</v>
      </c>
      <c r="I104" s="138"/>
    </row>
    <row r="105" spans="1:35" ht="18.75" customHeight="1" thickBot="1">
      <c r="A105" s="3127"/>
      <c r="B105" s="2517" t="s">
        <v>2298</v>
      </c>
      <c r="C105" s="742">
        <f ca="1">I118</f>
        <v>7861</v>
      </c>
      <c r="D105" s="743"/>
      <c r="E105" s="2262" t="s">
        <v>2303</v>
      </c>
      <c r="F105" s="2254"/>
      <c r="G105" s="2515" t="s">
        <v>2300</v>
      </c>
      <c r="H105" s="1046">
        <f>C37</f>
        <v>0</v>
      </c>
      <c r="I105" s="138"/>
    </row>
    <row r="106" spans="1:35" ht="18.75" customHeight="1">
      <c r="A106" s="2412" t="s">
        <v>2304</v>
      </c>
      <c r="B106" s="2412"/>
      <c r="C106" s="2412"/>
      <c r="D106" s="2412"/>
      <c r="E106" s="2518" t="s">
        <v>2305</v>
      </c>
      <c r="F106" s="2254"/>
      <c r="G106" s="2515" t="s">
        <v>2300</v>
      </c>
      <c r="H106" s="1046">
        <f>C38</f>
        <v>0</v>
      </c>
      <c r="I106" s="138"/>
    </row>
    <row r="107" spans="1:35" ht="18.75" customHeight="1">
      <c r="A107" s="138"/>
      <c r="B107" s="138"/>
      <c r="C107" s="138"/>
      <c r="D107" s="138"/>
      <c r="E107" s="3116" t="str">
        <f>IF(项目基本情况!E8="已注销","——","3.房地产抵押价值")</f>
        <v>3.房地产抵押价值</v>
      </c>
      <c r="F107" s="3086"/>
      <c r="G107" s="2514" t="s">
        <v>2296</v>
      </c>
      <c r="H107" s="1045">
        <f ca="1">IF(E107="——","——",H101-H103)</f>
        <v>66986</v>
      </c>
      <c r="I107" s="138"/>
    </row>
    <row r="108" spans="1:35" ht="18.75" customHeight="1">
      <c r="A108" s="138"/>
      <c r="B108" s="138"/>
      <c r="C108" s="138"/>
      <c r="D108" s="138"/>
      <c r="E108" s="3116"/>
      <c r="F108" s="3086"/>
      <c r="G108" s="2514" t="s">
        <v>2298</v>
      </c>
      <c r="H108" s="371">
        <f ca="1">ROUND(H107*10000/'数据-汇总表'!E3,0)</f>
        <v>7861</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086"/>
      <c r="G109" s="2514" t="s">
        <v>2296</v>
      </c>
      <c r="H109" s="348" t="str">
        <f>IF(E109="——","——",H101-H105-H106)</f>
        <v>——</v>
      </c>
      <c r="I109" s="138"/>
    </row>
    <row r="110" spans="1:35" ht="18.75" customHeight="1">
      <c r="A110" s="138"/>
      <c r="B110" s="138"/>
      <c r="C110" s="138"/>
      <c r="D110" s="138"/>
      <c r="E110" s="3116"/>
      <c r="F110" s="3086"/>
      <c r="G110" s="2514" t="s">
        <v>2298</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v>
      </c>
      <c r="F111" s="3118"/>
      <c r="G111" s="2514" t="s">
        <v>2296</v>
      </c>
      <c r="H111" s="1045" t="str">
        <f>IF(E111="——","——",N59)</f>
        <v>——</v>
      </c>
      <c r="I111" s="138"/>
    </row>
    <row r="112" spans="1:35" ht="18.75" customHeight="1" thickBot="1">
      <c r="A112" s="138"/>
      <c r="B112" s="138"/>
      <c r="C112" s="138"/>
      <c r="D112" s="138"/>
      <c r="E112" s="3119"/>
      <c r="F112" s="3120"/>
      <c r="G112" s="2519" t="s">
        <v>2298</v>
      </c>
      <c r="H112" s="790" t="str">
        <f>IF(E111="——","——",N61)</f>
        <v>——</v>
      </c>
      <c r="I112" s="138"/>
    </row>
    <row r="113" spans="1:11" ht="18.75" customHeight="1">
      <c r="A113" s="138"/>
      <c r="B113" s="138"/>
      <c r="C113" s="138"/>
      <c r="D113" s="138"/>
      <c r="E113" s="3128" t="s">
        <v>2304</v>
      </c>
      <c r="F113" s="3128"/>
      <c r="G113" s="3128"/>
      <c r="H113" s="3128"/>
      <c r="I113" s="138"/>
    </row>
    <row r="114" spans="1:11" ht="3.75" customHeight="1">
      <c r="A114" s="2412"/>
      <c r="B114" s="2412"/>
      <c r="C114" s="2412"/>
      <c r="D114" s="2412"/>
      <c r="E114" s="2490"/>
      <c r="F114" s="2490"/>
      <c r="G114" s="2490"/>
      <c r="H114" s="2490"/>
      <c r="I114" s="2412"/>
    </row>
    <row r="115" spans="1:11" ht="18.75" customHeight="1">
      <c r="A115" s="3141" t="s">
        <v>2306</v>
      </c>
      <c r="B115" s="3142"/>
      <c r="C115" s="3142"/>
      <c r="D115" s="3142"/>
      <c r="E115" s="3142"/>
      <c r="F115" s="3142"/>
      <c r="G115" s="3142"/>
      <c r="H115" s="3142"/>
      <c r="I115" s="3143"/>
    </row>
    <row r="116" spans="1:11" ht="27" customHeight="1">
      <c r="A116" s="3052" t="s">
        <v>2307</v>
      </c>
      <c r="B116" s="3095" t="s">
        <v>2308</v>
      </c>
      <c r="C116" s="3095" t="s">
        <v>2309</v>
      </c>
      <c r="D116" s="3101" t="s">
        <v>2310</v>
      </c>
      <c r="E116" s="3102"/>
      <c r="F116" s="3137" t="s">
        <v>2311</v>
      </c>
      <c r="G116" s="3137"/>
      <c r="H116" s="3052" t="s">
        <v>2312</v>
      </c>
      <c r="I116" s="3052"/>
    </row>
    <row r="117" spans="1:11" ht="18.75" customHeight="1">
      <c r="A117" s="3052"/>
      <c r="B117" s="3096"/>
      <c r="C117" s="3096"/>
      <c r="D117" s="1795" t="s">
        <v>2313</v>
      </c>
      <c r="E117" s="1795" t="s">
        <v>2314</v>
      </c>
      <c r="F117" s="1795" t="s">
        <v>2313</v>
      </c>
      <c r="G117" s="1795" t="s">
        <v>2315</v>
      </c>
      <c r="H117" s="1795" t="s">
        <v>2313</v>
      </c>
      <c r="I117" s="1795" t="s">
        <v>2315</v>
      </c>
    </row>
    <row r="118" spans="1:11" ht="24.75" customHeight="1">
      <c r="A118" s="2520" t="str">
        <f>项目基本情况!S2</f>
        <v>北京市昌平区北七家镇GZT-05-2地块出让国有建设用地使用权及在建建筑物房地产</v>
      </c>
      <c r="B118" s="1795">
        <f>M18</f>
        <v>85215.679999999964</v>
      </c>
      <c r="C118" s="1795">
        <f>M19</f>
        <v>22955.7</v>
      </c>
      <c r="D118" s="1795">
        <f ca="1">ROUND(IF(D32="总价",C34,E118*B118/10000),0)</f>
        <v>46689</v>
      </c>
      <c r="E118" s="1795">
        <f ca="1">ROUND(IF(C33="自定义",IF(D32="楼面单价",C34,D118*10000/B118),I118-G118),0)</f>
        <v>5479</v>
      </c>
      <c r="F118" s="1795">
        <f ca="1">ROUND(IF(D32="总价",C35,G118*B118/10000),0)</f>
        <v>20297</v>
      </c>
      <c r="G118" s="1795">
        <f ca="1">ROUND(IF(D32="楼面单价",C35,F118*10000/B118),0)</f>
        <v>2382</v>
      </c>
      <c r="H118" s="1795">
        <f ca="1">ROUND(IF(D32="总价",C32,I118*B118/10000),0)</f>
        <v>66986</v>
      </c>
      <c r="I118" s="1795">
        <f ca="1">ROUND(IF(D32="楼面单价",C32,H118*10000/B118),0)</f>
        <v>7861</v>
      </c>
    </row>
    <row r="119" spans="1:11" ht="18.75" customHeight="1">
      <c r="A119" s="3052" t="s">
        <v>2316</v>
      </c>
      <c r="B119" s="3052"/>
      <c r="C119" s="3052"/>
      <c r="D119" s="3097" t="str">
        <f ca="1">NUMBERSTRING(INT(D118*10000),2)&amp;"元整"</f>
        <v>肆亿陆仟陆佰捌拾玖万元整</v>
      </c>
      <c r="E119" s="3098"/>
      <c r="F119" s="3097" t="str">
        <f ca="1">NUMBERSTRING(INT(F118*10000),2)&amp;"元整"</f>
        <v>贰亿零贰佰玖拾柒万元整</v>
      </c>
      <c r="G119" s="3098"/>
      <c r="H119" s="3097" t="str">
        <f ca="1">NUMBERSTRING(INT(H118*10000),2)&amp;"元整"</f>
        <v>陆亿陆仟玖佰捌拾陆万元整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17" t="str">
        <f>IF(D120=0,"故，本次评估不存在"&amp;A120,"故，本次评估"&amp;A120&amp;"为人民币"&amp;D120&amp;"万元整。")</f>
        <v>故，本次评估不存在估价师知悉的法定优先受偿款</v>
      </c>
    </row>
    <row r="121" spans="1:11" ht="18.75" customHeight="1">
      <c r="A121" s="3138" t="s">
        <v>2316</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66986</v>
      </c>
      <c r="E122" s="3093"/>
      <c r="F122" s="3093"/>
      <c r="G122" s="3093"/>
      <c r="H122" s="3093"/>
      <c r="I122" s="3094"/>
    </row>
    <row r="123" spans="1:11" ht="18.75" customHeight="1">
      <c r="A123" s="3052" t="s">
        <v>2316</v>
      </c>
      <c r="B123" s="3052"/>
      <c r="C123" s="3052"/>
      <c r="D123" s="3097" t="str">
        <f ca="1">NUMBERSTRING(INT(D122*10000),2)&amp;"元整"</f>
        <v>陆亿陆仟玖佰捌拾陆万元整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2" t="s">
        <v>2316</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2316</v>
      </c>
      <c r="B127" s="3052"/>
      <c r="C127" s="3052"/>
      <c r="D127" s="3097" t="e">
        <f>NUMBERSTRING(INT(D126*10000),2)&amp;"元整"</f>
        <v>#VALUE!</v>
      </c>
      <c r="E127" s="3099"/>
      <c r="F127" s="3099"/>
      <c r="G127" s="3099"/>
      <c r="H127" s="3099"/>
      <c r="I127" s="3098"/>
    </row>
    <row r="128" spans="1:11" ht="21.75" customHeight="1">
      <c r="A128" s="3100" t="s">
        <v>2317</v>
      </c>
      <c r="B128" s="3100"/>
      <c r="C128" s="3100"/>
      <c r="D128" s="3100"/>
      <c r="E128" s="3100"/>
      <c r="F128" s="3100"/>
      <c r="G128" s="3100"/>
      <c r="H128" s="3100"/>
      <c r="I128" s="3100"/>
    </row>
    <row r="129" spans="1:35" ht="21.75" customHeight="1">
      <c r="A129" s="2521" t="s">
        <v>2318</v>
      </c>
      <c r="B129" s="2522"/>
      <c r="C129" s="2523" t="s">
        <v>2319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2320</v>
      </c>
      <c r="G135" s="2538"/>
      <c r="H135" s="2538"/>
      <c r="I135" s="2539" t="s">
        <v>2321</v>
      </c>
    </row>
    <row r="136" spans="1:35" ht="21.75" customHeight="1">
      <c r="A136" s="795"/>
      <c r="B136" s="2540"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2323</v>
      </c>
    </row>
    <row r="139" spans="1:35" ht="21.75" customHeight="1">
      <c r="A139" s="795"/>
      <c r="B139" s="2540" t="s">
        <v>2324</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2323</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7"/>
      <c r="C1" s="242"/>
      <c r="D1" s="242"/>
      <c r="E1" s="242"/>
      <c r="F1" s="242"/>
      <c r="G1" s="1379">
        <f>MATCH(B1,'数据-取费表'!A6:A16,0)+5</f>
        <v>6</v>
      </c>
    </row>
    <row r="2" spans="1:9" s="244" customFormat="1" ht="18" customHeight="1">
      <c r="A2" s="245" t="s">
        <v>2326</v>
      </c>
      <c r="B2" s="246">
        <f ca="1">IF(D2="——",C52,C52-E2)</f>
        <v>67480</v>
      </c>
      <c r="C2" s="243" t="s">
        <v>2327</v>
      </c>
      <c r="D2" s="2543" t="s">
        <v>70</v>
      </c>
      <c r="E2" s="1440" t="e">
        <f ca="1">SUMIF(INDIRECT("'"&amp;G2&amp;"'"&amp;"!A:A"),"承租人权益价值",INDIRECT("'"&amp;G2&amp;"'"&amp;"!c:c"))</f>
        <v>#REF!</v>
      </c>
      <c r="F2" s="2544" t="s">
        <v>2327</v>
      </c>
      <c r="G2" s="2545"/>
    </row>
    <row r="3" spans="1:9" s="244" customFormat="1" ht="18" customHeight="1" thickBot="1">
      <c r="A3" s="247" t="s">
        <v>2328</v>
      </c>
      <c r="B3" s="248">
        <f ca="1">ROUND(B2*10000/(IF(B1="",'数据-汇总表'!E3,INDIRECT("'数据-取费表'!k"&amp;$G$1))),0)</f>
        <v>7919</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37678</v>
      </c>
      <c r="D5" s="255" t="s">
        <v>2333</v>
      </c>
      <c r="E5" s="256" t="s">
        <v>2334</v>
      </c>
      <c r="F5" s="256" t="s">
        <v>2335</v>
      </c>
      <c r="G5" s="257"/>
    </row>
    <row r="6" spans="1:9" s="258" customFormat="1" ht="13.5" customHeight="1">
      <c r="A6" s="949" t="s">
        <v>2336</v>
      </c>
      <c r="B6" s="259" t="s">
        <v>2337</v>
      </c>
      <c r="C6" s="260">
        <f>'土地比较法-住宅、综合'!B2</f>
        <v>36563</v>
      </c>
      <c r="D6" s="261"/>
      <c r="E6" s="262"/>
      <c r="F6" s="262"/>
      <c r="G6" s="263"/>
    </row>
    <row r="7" spans="1:9" s="258" customFormat="1" ht="13.5" customHeight="1">
      <c r="A7" s="949" t="s">
        <v>2338</v>
      </c>
      <c r="B7" s="259" t="s">
        <v>2339</v>
      </c>
      <c r="C7" s="264">
        <f>ROUND(C6*F7,0)</f>
        <v>1115</v>
      </c>
      <c r="D7" s="264"/>
      <c r="E7" s="262"/>
      <c r="F7" s="265">
        <f>'数据-取费表'!B48+'数据-取费表'!B49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46" t="s">
        <v>3142</v>
      </c>
    </row>
    <row r="9" spans="1:9" s="258" customFormat="1" ht="13.5" customHeight="1">
      <c r="A9" s="950" t="s">
        <v>800</v>
      </c>
      <c r="B9" s="268" t="s">
        <v>2342</v>
      </c>
      <c r="C9" s="269">
        <f ca="1">ROUND(D9*E9/10000,0)</f>
        <v>780</v>
      </c>
      <c r="D9" s="1032">
        <f ca="1">IF(B1="",'数据-汇总表'!E5,IF(INDIRECT("'数据-取费表'!c"&amp;$G$1)="住宅",INDIRECT("'数据-取费表'!k"&amp;$G$1),0))</f>
        <v>51979.809999999961</v>
      </c>
      <c r="E9" s="269">
        <f>'数据-取费表'!B27</f>
        <v>150</v>
      </c>
      <c r="F9" s="265"/>
      <c r="G9" s="2547"/>
      <c r="H9" s="1390"/>
      <c r="I9" s="2548" t="s">
        <v>2343</v>
      </c>
    </row>
    <row r="10" spans="1:9" s="258" customFormat="1" ht="13.5" customHeight="1">
      <c r="A10" s="950" t="s">
        <v>801</v>
      </c>
      <c r="B10" s="268" t="s">
        <v>2344</v>
      </c>
      <c r="C10" s="269">
        <f ca="1">ROUND(D10*E10/10000,0)</f>
        <v>631</v>
      </c>
      <c r="D10" s="1032">
        <f ca="1">IF(B1="",'数据-汇总表'!E6,IF(INDIRECT("'数据-取费表'!c"&amp;$G$1)="住宅",INDIRECT("'数据-取费表'!s"&amp;$G$1),INDIRECT("'数据-取费表'!k"&amp;$G$1)+INDIRECT("'数据-取费表'!s"&amp;$G$1)))</f>
        <v>33235.870000000003</v>
      </c>
      <c r="E10" s="269">
        <f>'数据-取费表'!B28</f>
        <v>190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85215.679999999964</v>
      </c>
      <c r="E19" s="255">
        <f>'数据-取费表'!B31</f>
        <v>90</v>
      </c>
      <c r="F19" s="275"/>
      <c r="G19" s="2546" t="s">
        <v>3144</v>
      </c>
    </row>
    <row r="20" spans="1:7" s="258" customFormat="1" ht="13.5" customHeight="1">
      <c r="A20" s="299" t="s">
        <v>2357</v>
      </c>
      <c r="B20" s="254" t="s">
        <v>2358</v>
      </c>
      <c r="C20" s="276">
        <f>ROUND((C5+C19)*F20,0)</f>
        <v>754</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2933</v>
      </c>
      <c r="D22" s="279">
        <f ca="1">C26</f>
        <v>8.0000000000000004E-4</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2904</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29</v>
      </c>
      <c r="D25" s="282"/>
      <c r="E25" s="285"/>
      <c r="F25" s="283"/>
      <c r="G25" s="286" t="s">
        <v>2374</v>
      </c>
    </row>
    <row r="26" spans="1:7" s="258" customFormat="1">
      <c r="A26" s="951" t="s">
        <v>795</v>
      </c>
      <c r="B26" s="259" t="s">
        <v>2375</v>
      </c>
      <c r="C26" s="282">
        <f ca="1">ROUND(IF('数据-取费表'!B22&lt;=1,F21*F22*'数据-取费表'!B23/2,F21*(POWER((1+F22),'数据-取费表'!B23/2)-1)),4)</f>
        <v>8.0000000000000004E-4</v>
      </c>
      <c r="D26" s="282"/>
      <c r="E26" s="285"/>
      <c r="F26" s="283"/>
      <c r="G26" s="287"/>
    </row>
    <row r="27" spans="1:7" s="258" customFormat="1" ht="24.75">
      <c r="A27" s="299" t="s">
        <v>2376</v>
      </c>
      <c r="B27" s="288" t="s">
        <v>2377</v>
      </c>
      <c r="C27" s="289">
        <f ca="1">C28</f>
        <v>2152</v>
      </c>
      <c r="D27" s="279">
        <f ca="1">C29</f>
        <v>1.1000000000000001E-3</v>
      </c>
      <c r="E27" s="280" t="s">
        <v>2378</v>
      </c>
      <c r="F27" s="290">
        <f ca="1">IF(B1="",'数据-取费表'!Q16,INDIRECT("'数据-取费表'!q"&amp;$G$1))</f>
        <v>7.0000000000000007E-2</v>
      </c>
      <c r="G27" s="291" t="s">
        <v>2379</v>
      </c>
    </row>
    <row r="28" spans="1:7" s="258" customFormat="1" ht="13.5" customHeight="1">
      <c r="A28" s="951" t="s">
        <v>791</v>
      </c>
      <c r="B28" s="292" t="s">
        <v>2380</v>
      </c>
      <c r="C28" s="293">
        <f ca="1">ROUND((C5+C19+C20)*F27*'数据-取费表'!B21/'数据-取费表'!B20,0)</f>
        <v>2152</v>
      </c>
      <c r="D28" s="279"/>
      <c r="E28" s="280"/>
      <c r="F28" s="290"/>
      <c r="G28" s="291"/>
    </row>
    <row r="29" spans="1:7" s="258" customFormat="1" ht="13.5" customHeight="1">
      <c r="A29" s="951" t="s">
        <v>792</v>
      </c>
      <c r="B29" s="292" t="s">
        <v>2381</v>
      </c>
      <c r="C29" s="282">
        <f ca="1">ROUND(C21*F27*'数据-取费表'!B21/'数据-取费表'!B20,4)</f>
        <v>1.1000000000000001E-3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47010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16764</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14582</v>
      </c>
      <c r="D34" s="261"/>
      <c r="E34" s="264"/>
      <c r="F34" s="301">
        <f ca="1">IF('数据-取费表'!B24=0,1,IF(B1="",'数据-取费表'!N16,INDIRECT("'数据-取费表'!n"&amp;$G$1)))</f>
        <v>0.78100000000000003</v>
      </c>
      <c r="G34" s="263" t="s">
        <v>2390</v>
      </c>
    </row>
    <row r="35" spans="1:7" ht="13.5" customHeight="1">
      <c r="A35" s="951" t="s">
        <v>796</v>
      </c>
      <c r="B35" s="259" t="s">
        <v>2391</v>
      </c>
      <c r="C35" s="264">
        <f ca="1">ROUND(C34*F35,0)</f>
        <v>437</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195</v>
      </c>
      <c r="D36" s="264"/>
      <c r="E36" s="264"/>
      <c r="F36" s="303">
        <f>'数据-取费表'!B34</f>
        <v>0.03</v>
      </c>
      <c r="G36" s="304" t="s">
        <v>2394</v>
      </c>
    </row>
    <row r="37" spans="1:7" s="302" customFormat="1" ht="13.5" customHeight="1">
      <c r="A37" s="951" t="s">
        <v>798</v>
      </c>
      <c r="B37" s="259" t="s">
        <v>2395</v>
      </c>
      <c r="C37" s="293">
        <f ca="1">ROUND(E37*D37*F34/10000,0)</f>
        <v>1331</v>
      </c>
      <c r="D37" s="261">
        <f ca="1">D19</f>
        <v>85215.679999999964</v>
      </c>
      <c r="E37" s="293">
        <f>'数据-取费表'!B35</f>
        <v>200</v>
      </c>
      <c r="F37" s="303"/>
      <c r="G37" s="305" t="s">
        <v>2396</v>
      </c>
    </row>
    <row r="38" spans="1:7" ht="13.5" customHeight="1">
      <c r="A38" s="951" t="s">
        <v>799</v>
      </c>
      <c r="B38" s="259" t="s">
        <v>2397</v>
      </c>
      <c r="C38" s="264">
        <f ca="1">ROUND(C34*F38,0)</f>
        <v>219</v>
      </c>
      <c r="D38" s="264"/>
      <c r="E38" s="264"/>
      <c r="F38" s="303">
        <f>'数据-取费表'!B36</f>
        <v>1.4999999999999999E-2</v>
      </c>
      <c r="G38" s="263" t="s">
        <v>2392</v>
      </c>
    </row>
    <row r="39" spans="1:7" s="258" customFormat="1" ht="13.5" customHeight="1">
      <c r="A39" s="299" t="s">
        <v>2398</v>
      </c>
      <c r="B39" s="254" t="s">
        <v>2399</v>
      </c>
      <c r="C39" s="276">
        <f ca="1">ROUND(C33*F20,0)</f>
        <v>335</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647</v>
      </c>
      <c r="D41" s="279">
        <f ca="1">C44</f>
        <v>8.0000000000000004E-4</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634</v>
      </c>
      <c r="D42" s="282"/>
      <c r="E42" s="282"/>
      <c r="F42" s="283"/>
      <c r="G42" s="3172" t="s">
        <v>2408</v>
      </c>
    </row>
    <row r="43" spans="1:7" ht="13.5" customHeight="1">
      <c r="A43" s="951" t="s">
        <v>792</v>
      </c>
      <c r="B43" s="259" t="s">
        <v>2409</v>
      </c>
      <c r="C43" s="282">
        <f ca="1">ROUND(IF('数据-取费表'!B22&lt;=1,C39*F22*'数据-取费表'!B21/2,C39*(POWER((1+F22),'数据-取费表'!B21/2)-1)),0)</f>
        <v>13</v>
      </c>
      <c r="D43" s="282"/>
      <c r="E43" s="282"/>
      <c r="F43" s="283"/>
      <c r="G43" s="3173"/>
    </row>
    <row r="44" spans="1:7" ht="13.5" customHeight="1">
      <c r="A44" s="951" t="s">
        <v>793</v>
      </c>
      <c r="B44" s="259" t="s">
        <v>2410</v>
      </c>
      <c r="C44" s="282">
        <f ca="1">ROUND(IF('数据-取费表'!B22&lt;=1,C40*F22*'数据-取费表'!B21/2,C40*(POWER((1+F22),'数据-取费表'!B21/2)-1)),4)</f>
        <v>8.0000000000000004E-4</v>
      </c>
      <c r="D44" s="282"/>
      <c r="E44" s="282"/>
      <c r="F44" s="283"/>
      <c r="G44" s="3174"/>
    </row>
    <row r="45" spans="1:7" s="258" customFormat="1" ht="13.5" customHeight="1">
      <c r="A45" s="299" t="s">
        <v>2411</v>
      </c>
      <c r="B45" s="288" t="s">
        <v>2377</v>
      </c>
      <c r="C45" s="289">
        <f ca="1">C46</f>
        <v>1197</v>
      </c>
      <c r="D45" s="279">
        <f ca="1">C47</f>
        <v>1.4E-3</v>
      </c>
      <c r="E45" s="280" t="s">
        <v>2403</v>
      </c>
      <c r="F45" s="290"/>
      <c r="G45" s="291" t="s">
        <v>2412</v>
      </c>
    </row>
    <row r="46" spans="1:7" s="258" customFormat="1" ht="13.5" customHeight="1">
      <c r="A46" s="951" t="s">
        <v>791</v>
      </c>
      <c r="B46" s="292" t="s">
        <v>2413</v>
      </c>
      <c r="C46" s="293">
        <f ca="1">ROUND((C33+C39)*F27,0)</f>
        <v>1197</v>
      </c>
      <c r="D46" s="307"/>
      <c r="E46" s="280"/>
      <c r="F46" s="290"/>
      <c r="G46" s="291"/>
    </row>
    <row r="47" spans="1:7" s="258" customFormat="1" ht="13.5" customHeight="1">
      <c r="A47" s="951" t="s">
        <v>792</v>
      </c>
      <c r="B47" s="292" t="s">
        <v>2414</v>
      </c>
      <c r="C47" s="282">
        <f ca="1">ROUND(C40*F27,4)</f>
        <v>1.4E-3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20470</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20470</v>
      </c>
      <c r="D51" s="276"/>
      <c r="E51" s="276"/>
      <c r="F51" s="308"/>
      <c r="G51" s="278" t="s">
        <v>2424</v>
      </c>
    </row>
    <row r="52" spans="1:7" s="252" customFormat="1" ht="16.5" thickBot="1">
      <c r="A52" s="309" t="s">
        <v>2425</v>
      </c>
      <c r="B52" s="310"/>
      <c r="C52" s="311">
        <f ca="1">C31+C51</f>
        <v>67480</v>
      </c>
      <c r="D52" s="310"/>
      <c r="E52" s="310"/>
      <c r="F52" s="310"/>
      <c r="G52" s="312"/>
    </row>
    <row r="55" spans="1:7" ht="15">
      <c r="B55" s="314" t="s">
        <v>2426</v>
      </c>
      <c r="C55" s="315"/>
    </row>
    <row r="56" spans="1:7">
      <c r="B56" s="317" t="s">
        <v>1514</v>
      </c>
      <c r="C56" s="319">
        <f ca="1">1-C57</f>
        <v>0.69700000000000006</v>
      </c>
    </row>
    <row r="57" spans="1:7">
      <c r="B57" s="317" t="s">
        <v>1515</v>
      </c>
      <c r="C57" s="318">
        <f ca="1">ROUND(C51/C52,3)</f>
        <v>0.30299999999999999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8" t="str">
        <f>项目基本情况!B1</f>
        <v>北京市昌平区北七家镇GZT-05-2地块出让国有建设用地使用权及在建建筑物房地产抵押价值预评估</v>
      </c>
      <c r="C37" s="2988"/>
      <c r="D37" s="2988"/>
      <c r="E37" s="2988"/>
      <c r="F37" s="2988"/>
      <c r="G37" s="2988"/>
      <c r="H37" s="2988"/>
      <c r="I37" s="2988"/>
    </row>
    <row r="38" spans="1:9">
      <c r="A38" s="1016"/>
      <c r="B38" s="1016"/>
    </row>
    <row r="39" spans="1:9">
      <c r="A39" s="1014" t="s">
        <v>818</v>
      </c>
      <c r="B39" s="1014" t="s">
        <v>820</v>
      </c>
    </row>
    <row r="40" spans="1:9">
      <c r="A40" s="1014"/>
      <c r="B40" s="1942" t="str">
        <f>项目基本情况!B5</f>
        <v>国瑞兴业（北京）投资有限公司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刘梅（注册号：1120140022)、吴薇（注册号：1419970001)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7"/>
      <c r="C1" s="2549" t="s">
        <v>2427</v>
      </c>
      <c r="D1" s="242"/>
      <c r="E1" s="242"/>
      <c r="F1" s="242"/>
      <c r="G1" s="1379">
        <f>MATCH(B1,'数据-取费表'!A6:A16,0)+5</f>
        <v>6</v>
      </c>
      <c r="H1" s="1282" t="str">
        <f>IF(ISERROR(FIND("住宅",B1)),"非住宅","住宅")</f>
        <v>非住宅</v>
      </c>
    </row>
    <row r="2" spans="1:8" s="244" customFormat="1" ht="18" customHeight="1">
      <c r="A2" s="245" t="s">
        <v>2326</v>
      </c>
      <c r="B2" s="246">
        <f ca="1">ROUND(IF(D2="——",C52/10000,C52/10000-E2),0)</f>
        <v>29294</v>
      </c>
      <c r="C2" s="243" t="s">
        <v>2327</v>
      </c>
      <c r="D2" s="2543" t="s">
        <v>70</v>
      </c>
      <c r="E2" s="1440" t="e">
        <f ca="1">SUMIF(INDIRECT("'"&amp;G2&amp;"'"&amp;"!A:A"),"承租人权益价值",INDIRECT("'"&amp;G2&amp;"'"&amp;"!c:c"))</f>
        <v>#REF!</v>
      </c>
      <c r="F2" s="2544" t="s">
        <v>2327</v>
      </c>
      <c r="G2" s="2545"/>
    </row>
    <row r="3" spans="1:8" s="244" customFormat="1" ht="18" customHeight="1" thickBot="1">
      <c r="A3" s="247" t="s">
        <v>2328</v>
      </c>
      <c r="B3" s="248">
        <f ca="1">ROUND(B2*10000/(IF(B1="",'数据-汇总表'!E3,INDIRECT("'数据-取费表'!k"&amp;$G$1))),0)</f>
        <v>3438</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14111786</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'数据-取费表'!B48+'数据-取费表'!B49</f>
        <v>3.0499999999999999E-2</v>
      </c>
      <c r="G7" s="263"/>
    </row>
    <row r="8" spans="1:8" s="267" customFormat="1">
      <c r="A8" s="949" t="s">
        <v>2340</v>
      </c>
      <c r="B8" s="259" t="s">
        <v>2341</v>
      </c>
      <c r="C8" s="264">
        <f ca="1">IF(G8="已包含在土地购买价格中",0,C9+C10)</f>
        <v>14111786</v>
      </c>
      <c r="D8" s="266"/>
      <c r="E8" s="264"/>
      <c r="F8" s="265"/>
      <c r="G8" s="2546"/>
    </row>
    <row r="9" spans="1:8" s="258" customFormat="1" ht="13.5" customHeight="1">
      <c r="A9" s="950" t="s">
        <v>800</v>
      </c>
      <c r="B9" s="268" t="s">
        <v>2342</v>
      </c>
      <c r="C9" s="269">
        <f ca="1">ROUND(D9*E9,0)</f>
        <v>7796971</v>
      </c>
      <c r="D9" s="1032">
        <f ca="1">IF(B1="",'数据-汇总表'!E5,IF(INDIRECT("'数据-取费表'!c"&amp;$G$1)="住宅",INDIRECT("'数据-取费表'!k"&amp;$G$1),0))</f>
        <v>51979.809999999961</v>
      </c>
      <c r="E9" s="269">
        <f>'数据-取费表'!B27</f>
        <v>150</v>
      </c>
      <c r="F9" s="265"/>
      <c r="G9" s="270"/>
    </row>
    <row r="10" spans="1:8" s="258" customFormat="1" ht="13.5" customHeight="1">
      <c r="A10" s="950" t="s">
        <v>801</v>
      </c>
      <c r="B10" s="268" t="s">
        <v>2344</v>
      </c>
      <c r="C10" s="269">
        <f ca="1">ROUND(D10*E10,0)</f>
        <v>6314815</v>
      </c>
      <c r="D10" s="1032">
        <f ca="1">IF(B1="",'数据-汇总表'!E6,IF(INDIRECT("'数据-取费表'!c"&amp;$G$1)="住宅",INDIRECT("'数据-取费表'!s"&amp;$G$1),INDIRECT("'数据-取费表'!k"&amp;$G$1)+INDIRECT("'数据-取费表'!s"&amp;$G$1)))</f>
        <v>33235.870000000003</v>
      </c>
      <c r="E10" s="269">
        <f>'数据-取费表'!B28</f>
        <v>190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7669411</v>
      </c>
      <c r="D19" s="1036">
        <f ca="1">D9+D10</f>
        <v>85215.679999999964</v>
      </c>
      <c r="E19" s="255">
        <f>'数据-取费表'!B31</f>
        <v>90</v>
      </c>
      <c r="F19" s="275"/>
      <c r="G19" s="2546"/>
    </row>
    <row r="20" spans="1:7" s="258" customFormat="1" ht="13.5" customHeight="1">
      <c r="A20" s="299" t="s">
        <v>2438</v>
      </c>
      <c r="B20" s="254" t="s">
        <v>2439</v>
      </c>
      <c r="C20" s="276">
        <f ca="1">ROUND((C5+C19)*F20,0)</f>
        <v>435624</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2139049</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1372459</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745898</v>
      </c>
      <c r="D24" s="282"/>
      <c r="E24" s="282"/>
      <c r="F24" s="283"/>
      <c r="G24" s="284" t="s">
        <v>2450</v>
      </c>
    </row>
    <row r="25" spans="1:7" s="258" customFormat="1" ht="24">
      <c r="A25" s="951" t="s">
        <v>2340</v>
      </c>
      <c r="B25" s="259" t="s">
        <v>2451</v>
      </c>
      <c r="C25" s="1381">
        <f ca="1">ROUND(IF('数据-取费表'!B22&lt;=1,C20*F22*'数据-取费表'!B22/2,C20*(POWER((1+F22),'数据-取费表'!B22/2)-1)),0)</f>
        <v>20692</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1555177</v>
      </c>
      <c r="D27" s="279">
        <f ca="1">C29</f>
        <v>1.4E-3</v>
      </c>
      <c r="E27" s="280" t="s">
        <v>2378</v>
      </c>
      <c r="F27" s="290">
        <f ca="1">IF(B1="",'数据-取费表'!Q16,INDIRECT("'数据-取费表'!q"&amp;$G$1))</f>
        <v>7.0000000000000007E-2</v>
      </c>
      <c r="G27" s="291" t="s">
        <v>2379</v>
      </c>
    </row>
    <row r="28" spans="1:7" s="258" customFormat="1" ht="13.5" customHeight="1">
      <c r="A28" s="951" t="s">
        <v>791</v>
      </c>
      <c r="B28" s="292" t="s">
        <v>2380</v>
      </c>
      <c r="C28" s="293">
        <f ca="1">ROUND((C5+C19+C20)*F27,0)</f>
        <v>1555177</v>
      </c>
      <c r="D28" s="279"/>
      <c r="E28" s="280"/>
      <c r="F28" s="290"/>
      <c r="G28" s="291"/>
    </row>
    <row r="29" spans="1:7" s="258" customFormat="1" ht="13.5" customHeight="1">
      <c r="A29" s="951" t="s">
        <v>792</v>
      </c>
      <c r="B29" s="292" t="s">
        <v>2381</v>
      </c>
      <c r="C29" s="282">
        <f ca="1">ROUND(C21*F27,4)</f>
        <v>1.4E-3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28005887</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215043515</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186692544</v>
      </c>
      <c r="D34" s="261"/>
      <c r="E34" s="264"/>
      <c r="F34" s="301"/>
      <c r="G34" s="263"/>
    </row>
    <row r="35" spans="1:7" ht="13.5" customHeight="1">
      <c r="A35" s="951" t="s">
        <v>796</v>
      </c>
      <c r="B35" s="259" t="s">
        <v>2391</v>
      </c>
      <c r="C35" s="264">
        <f ca="1">ROUND(C34*F35,0)</f>
        <v>5600776</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2906671</v>
      </c>
      <c r="D36" s="264"/>
      <c r="E36" s="264"/>
      <c r="F36" s="303">
        <f>'数据-取费表'!B34</f>
        <v>0.03</v>
      </c>
      <c r="G36" s="304" t="s">
        <v>2394</v>
      </c>
    </row>
    <row r="37" spans="1:7" s="302" customFormat="1" ht="13.5" customHeight="1">
      <c r="A37" s="951" t="s">
        <v>798</v>
      </c>
      <c r="B37" s="259" t="s">
        <v>2395</v>
      </c>
      <c r="C37" s="293">
        <f ca="1">ROUND(E37*D37,0)</f>
        <v>17043136</v>
      </c>
      <c r="D37" s="261">
        <f ca="1">D19</f>
        <v>85215.679999999964</v>
      </c>
      <c r="E37" s="293">
        <f>'数据-取费表'!B35</f>
        <v>200</v>
      </c>
      <c r="F37" s="303"/>
      <c r="G37" s="305"/>
    </row>
    <row r="38" spans="1:7" ht="13.5" customHeight="1">
      <c r="A38" s="951" t="s">
        <v>799</v>
      </c>
      <c r="B38" s="259" t="s">
        <v>2397</v>
      </c>
      <c r="C38" s="264">
        <f ca="1">ROUND(C34*F38,0)</f>
        <v>2800388</v>
      </c>
      <c r="D38" s="264"/>
      <c r="E38" s="264"/>
      <c r="F38" s="303">
        <f>'数据-取费表'!B36</f>
        <v>1.4999999999999999E-2</v>
      </c>
      <c r="G38" s="263" t="s">
        <v>2392</v>
      </c>
    </row>
    <row r="39" spans="1:7" s="258" customFormat="1" ht="13.5" customHeight="1">
      <c r="A39" s="299" t="s">
        <v>2398</v>
      </c>
      <c r="B39" s="254" t="s">
        <v>2399</v>
      </c>
      <c r="C39" s="276">
        <f ca="1">ROUND(C33*F20,0)</f>
        <v>4300870</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10418858</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10214567</v>
      </c>
      <c r="D42" s="282"/>
      <c r="E42" s="282"/>
      <c r="F42" s="283"/>
      <c r="G42" s="3172" t="s">
        <v>2455</v>
      </c>
    </row>
    <row r="43" spans="1:7" ht="13.5" customHeight="1">
      <c r="A43" s="951" t="s">
        <v>792</v>
      </c>
      <c r="B43" s="259" t="s">
        <v>2409</v>
      </c>
      <c r="C43" s="282">
        <f ca="1">ROUND(IF('数据-取费表'!B22&lt;=1,C39*F22*'数据-取费表'!B20/2,C39*(POWER((1+F22),'数据-取费表'!B20/2)-1)),0)</f>
        <v>204291</v>
      </c>
      <c r="D43" s="282"/>
      <c r="E43" s="282"/>
      <c r="F43" s="283"/>
      <c r="G43" s="3173"/>
    </row>
    <row r="44" spans="1:7" ht="13.5" customHeight="1">
      <c r="A44" s="951" t="s">
        <v>793</v>
      </c>
      <c r="B44" s="259" t="s">
        <v>2410</v>
      </c>
      <c r="C44" s="282">
        <f ca="1">ROUND(IF('数据-取费表'!B22&lt;=1,C40*F22*'数据-取费表'!B20/2,C40*(POWER((1+F22),'数据-取费表'!B20/2)-1)),4)</f>
        <v>1E-3</v>
      </c>
      <c r="D44" s="282"/>
      <c r="E44" s="282"/>
      <c r="F44" s="283"/>
      <c r="G44" s="3174"/>
    </row>
    <row r="45" spans="1:7" s="258" customFormat="1" ht="13.5" customHeight="1">
      <c r="A45" s="299" t="s">
        <v>2411</v>
      </c>
      <c r="B45" s="288" t="s">
        <v>2377</v>
      </c>
      <c r="C45" s="289">
        <f ca="1">C46</f>
        <v>15354107</v>
      </c>
      <c r="D45" s="279">
        <f ca="1">C47</f>
        <v>1.4E-3</v>
      </c>
      <c r="E45" s="280" t="s">
        <v>2403</v>
      </c>
      <c r="F45" s="290"/>
      <c r="G45" s="291" t="s">
        <v>2412</v>
      </c>
    </row>
    <row r="46" spans="1:7" s="258" customFormat="1" ht="13.5" customHeight="1">
      <c r="A46" s="951" t="s">
        <v>791</v>
      </c>
      <c r="B46" s="292" t="s">
        <v>2413</v>
      </c>
      <c r="C46" s="293">
        <f ca="1">ROUND((C33+C39)*F27,0)</f>
        <v>15354107</v>
      </c>
      <c r="D46" s="307"/>
      <c r="E46" s="280"/>
      <c r="F46" s="290"/>
      <c r="G46" s="291"/>
    </row>
    <row r="47" spans="1:7" s="258" customFormat="1" ht="13.5" customHeight="1">
      <c r="A47" s="951" t="s">
        <v>792</v>
      </c>
      <c r="B47" s="292" t="s">
        <v>2414</v>
      </c>
      <c r="C47" s="282">
        <f ca="1">ROUND(C40*F27,4)</f>
        <v>1.4E-3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264934447</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264934447</v>
      </c>
      <c r="D51" s="276"/>
      <c r="E51" s="276"/>
      <c r="F51" s="308"/>
      <c r="G51" s="278" t="s">
        <v>2424</v>
      </c>
    </row>
    <row r="52" spans="1:7" s="252" customFormat="1" ht="16.5" thickBot="1">
      <c r="A52" s="309" t="s">
        <v>2425</v>
      </c>
      <c r="B52" s="310"/>
      <c r="C52" s="311">
        <f ca="1">C31+C51</f>
        <v>292940334</v>
      </c>
      <c r="D52" s="310"/>
      <c r="E52" s="310"/>
      <c r="F52" s="310"/>
      <c r="G52" s="312"/>
    </row>
    <row r="55" spans="1:7" ht="15">
      <c r="B55" s="314" t="s">
        <v>2426</v>
      </c>
      <c r="C55" s="315"/>
    </row>
    <row r="56" spans="1:7">
      <c r="B56" s="317" t="s">
        <v>1514</v>
      </c>
      <c r="C56" s="319">
        <f ca="1">1-C57</f>
        <v>9.5999999999999974E-2</v>
      </c>
    </row>
    <row r="57" spans="1:7">
      <c r="B57" s="317" t="s">
        <v>1515</v>
      </c>
      <c r="C57" s="318">
        <f ca="1">ROUND(C51/C52,3)</f>
        <v>0.90400000000000003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I34" sqref="I34"/>
    </sheetView>
  </sheetViews>
  <sheetFormatPr defaultRowHeight="14.25"/>
  <cols>
    <col min="1" max="1" width="14.375" style="403" customWidth="1"/>
    <col min="2" max="2" width="15.75" style="403" customWidth="1"/>
    <col min="3" max="3" width="14.375" style="403" customWidth="1"/>
    <col min="4" max="4" width="14.125" style="403" customWidth="1"/>
    <col min="5" max="5" width="16.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36563</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4291</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193" t="s">
        <v>2642</v>
      </c>
      <c r="D4" s="3194"/>
      <c r="E4" s="3195" t="s">
        <v>2643</v>
      </c>
      <c r="F4" s="3196"/>
      <c r="G4" s="3193" t="s">
        <v>2644</v>
      </c>
      <c r="H4" s="3194"/>
      <c r="I4" s="3193" t="s">
        <v>2645</v>
      </c>
      <c r="J4" s="3194"/>
      <c r="K4" s="610" t="s">
        <v>2646</v>
      </c>
      <c r="L4" s="1130"/>
      <c r="M4" s="1131"/>
      <c r="N4" s="1131"/>
      <c r="O4" s="1131"/>
      <c r="P4" s="3197" t="s">
        <v>2647</v>
      </c>
      <c r="Q4" s="3198"/>
      <c r="R4" s="3180" t="s">
        <v>2643</v>
      </c>
      <c r="S4" s="3181"/>
      <c r="T4" s="3180" t="s">
        <v>2644</v>
      </c>
      <c r="U4" s="3181"/>
      <c r="V4" s="3205" t="s">
        <v>2645</v>
      </c>
      <c r="W4" s="3205"/>
      <c r="X4" s="1813"/>
      <c r="Y4" s="3180" t="s">
        <v>2647</v>
      </c>
      <c r="Z4" s="3181"/>
      <c r="AA4" s="3175" t="s">
        <v>2643</v>
      </c>
      <c r="AB4" s="3176" t="s">
        <v>2644</v>
      </c>
      <c r="AC4" s="3175" t="s">
        <v>2645</v>
      </c>
    </row>
    <row r="5" spans="1:30" ht="54.75" customHeight="1">
      <c r="A5" s="404"/>
      <c r="B5" s="405"/>
      <c r="C5" s="3186" t="s">
        <v>3180</v>
      </c>
      <c r="D5" s="3187"/>
      <c r="E5" s="3184" t="s">
        <v>3253</v>
      </c>
      <c r="F5" s="3185"/>
      <c r="G5" s="3186" t="s">
        <v>3256</v>
      </c>
      <c r="H5" s="3187"/>
      <c r="I5" s="3186" t="s">
        <v>3258</v>
      </c>
      <c r="J5" s="3187"/>
      <c r="K5" s="610"/>
      <c r="L5" s="1130"/>
      <c r="M5" s="1131"/>
      <c r="N5" s="1131"/>
      <c r="O5" s="1131"/>
      <c r="P5" s="3199"/>
      <c r="Q5" s="3200"/>
      <c r="R5" s="3182"/>
      <c r="S5" s="3183"/>
      <c r="T5" s="3182"/>
      <c r="U5" s="3183"/>
      <c r="V5" s="3205"/>
      <c r="W5" s="3205"/>
      <c r="X5" s="1813"/>
      <c r="Y5" s="3182"/>
      <c r="Z5" s="3183"/>
      <c r="AA5" s="3176"/>
      <c r="AB5" s="3176"/>
      <c r="AC5" s="3176"/>
    </row>
    <row r="6" spans="1:30" ht="15.75" thickBot="1">
      <c r="A6" s="406"/>
      <c r="B6" s="407"/>
      <c r="C6" s="3188" t="s">
        <v>3181</v>
      </c>
      <c r="D6" s="3189"/>
      <c r="E6" s="3190" t="s">
        <v>3254</v>
      </c>
      <c r="F6" s="3191"/>
      <c r="G6" s="3190" t="s">
        <v>3257</v>
      </c>
      <c r="H6" s="3191"/>
      <c r="I6" s="3188" t="s">
        <v>3259</v>
      </c>
      <c r="J6" s="3189"/>
      <c r="K6" s="610" t="s">
        <v>2543</v>
      </c>
      <c r="L6" s="1130"/>
      <c r="M6" s="1131"/>
      <c r="N6" s="1131"/>
      <c r="O6" s="1131"/>
      <c r="P6" s="3201"/>
      <c r="Q6" s="3202"/>
      <c r="R6" s="3182"/>
      <c r="S6" s="3183"/>
      <c r="T6" s="3203"/>
      <c r="U6" s="3204"/>
      <c r="V6" s="3205"/>
      <c r="W6" s="3205"/>
      <c r="X6" s="1813"/>
      <c r="Y6" s="3203"/>
      <c r="Z6" s="3204"/>
      <c r="AA6" s="3177"/>
      <c r="AB6" s="3177"/>
      <c r="AC6" s="3177"/>
    </row>
    <row r="7" spans="1:30" s="117" customFormat="1" ht="15.75" thickBot="1">
      <c r="A7" s="408" t="s">
        <v>2544</v>
      </c>
      <c r="B7" s="409"/>
      <c r="C7" s="410">
        <f>'数据-取费表'!B2</f>
        <v>43111</v>
      </c>
      <c r="D7" s="411">
        <v>100</v>
      </c>
      <c r="E7" s="412">
        <v>43083</v>
      </c>
      <c r="F7" s="413">
        <f>SUMIF(70:70,YEAR(E7)&amp;"-"&amp;INT((MONTH(E7)+2)/3),71:71)</f>
        <v>99.5</v>
      </c>
      <c r="G7" s="412">
        <v>42958</v>
      </c>
      <c r="H7" s="411">
        <f>SUMIF(70:70,YEAR(G7)&amp;"-"&amp;INT((MONTH(G7)+2)/3),71:71)</f>
        <v>99</v>
      </c>
      <c r="I7" s="2692">
        <v>42941</v>
      </c>
      <c r="J7" s="411">
        <f>SUMIF(70:70,YEAR(I7)&amp;"-"&amp;INT((MONTH(I7)+2)/3),71:71)</f>
        <v>99</v>
      </c>
      <c r="K7" s="611"/>
      <c r="L7" s="1132"/>
      <c r="M7" s="1133"/>
      <c r="N7" s="1133"/>
      <c r="O7" s="1133"/>
      <c r="P7" s="3178" t="s">
        <v>2545</v>
      </c>
      <c r="Q7" s="3206"/>
      <c r="R7" s="770" t="s">
        <v>17</v>
      </c>
      <c r="S7" s="771">
        <f t="shared" ref="S7:S15" si="0">F7</f>
        <v>99.5</v>
      </c>
      <c r="T7" s="770" t="s">
        <v>17</v>
      </c>
      <c r="U7" s="771">
        <f t="shared" ref="U7:U15" si="1">H7</f>
        <v>99</v>
      </c>
      <c r="V7" s="770" t="s">
        <v>17</v>
      </c>
      <c r="W7" s="771">
        <f t="shared" ref="W7:W15" si="2">J7</f>
        <v>99</v>
      </c>
      <c r="X7" s="772"/>
      <c r="Y7" s="3178" t="s">
        <v>2545</v>
      </c>
      <c r="Z7" s="3179"/>
      <c r="AA7" s="773">
        <f>D7/F7</f>
        <v>1.0050251256281406</v>
      </c>
      <c r="AB7" s="773">
        <f>D7/H7</f>
        <v>1.0101010101010102</v>
      </c>
      <c r="AC7" s="773">
        <f>D7/J7</f>
        <v>1.0101010101010102</v>
      </c>
    </row>
    <row r="8" spans="1:30" s="117" customFormat="1" ht="15.7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32"/>
      <c r="M8" s="1133"/>
      <c r="N8" s="1133"/>
      <c r="O8" s="1133"/>
      <c r="P8" s="3178" t="s">
        <v>2548</v>
      </c>
      <c r="Q8" s="3179"/>
      <c r="R8" s="770" t="s">
        <v>17</v>
      </c>
      <c r="S8" s="771">
        <f t="shared" si="0"/>
        <v>100</v>
      </c>
      <c r="T8" s="770" t="s">
        <v>17</v>
      </c>
      <c r="U8" s="771">
        <f t="shared" si="1"/>
        <v>100</v>
      </c>
      <c r="V8" s="770" t="s">
        <v>17</v>
      </c>
      <c r="W8" s="771">
        <f t="shared" si="2"/>
        <v>100</v>
      </c>
      <c r="X8" s="772"/>
      <c r="Y8" s="3178" t="s">
        <v>2548</v>
      </c>
      <c r="Z8" s="3179"/>
      <c r="AA8" s="773">
        <f t="shared" ref="AA8:AA45" si="3">D8/F8</f>
        <v>1</v>
      </c>
      <c r="AB8" s="773">
        <f t="shared" ref="AB8:AB45" si="4">D8/H8</f>
        <v>1</v>
      </c>
      <c r="AC8" s="773">
        <f t="shared" ref="AC8:AC45" si="5">D8/J8</f>
        <v>1</v>
      </c>
    </row>
    <row r="9" spans="1:30" s="117" customFormat="1">
      <c r="A9" s="415" t="s">
        <v>2549</v>
      </c>
      <c r="B9" s="71" t="s">
        <v>2550</v>
      </c>
      <c r="C9" s="2695" t="s">
        <v>3124</v>
      </c>
      <c r="D9" s="135">
        <v>100</v>
      </c>
      <c r="E9" s="2695" t="s">
        <v>3124</v>
      </c>
      <c r="F9" s="135">
        <f>SUMIF(75:75,E9,76:76)-SUMIF(75:75,C9,76:76)+100</f>
        <v>100</v>
      </c>
      <c r="G9" s="2695" t="s">
        <v>3124</v>
      </c>
      <c r="H9" s="135">
        <f>SUMIF(75:75,G9,76:76)-SUMIF(75:75,C9,76:76)+100</f>
        <v>100</v>
      </c>
      <c r="I9" s="2695" t="s">
        <v>3124</v>
      </c>
      <c r="J9" s="135">
        <f>SUMIF(75:75,I9,76:76)-SUMIF(75:75,C9,76:76)+100</f>
        <v>100</v>
      </c>
      <c r="K9" s="611"/>
      <c r="L9" s="1132"/>
      <c r="M9" s="1133"/>
      <c r="N9" s="1133"/>
      <c r="O9" s="1134"/>
      <c r="P9" s="3192" t="s">
        <v>2551</v>
      </c>
      <c r="Q9" s="1795" t="str">
        <f t="shared" ref="Q9:Q15" si="6">B9</f>
        <v>用途</v>
      </c>
      <c r="R9" s="770" t="s">
        <v>17</v>
      </c>
      <c r="S9" s="771">
        <f t="shared" si="0"/>
        <v>100</v>
      </c>
      <c r="T9" s="770" t="s">
        <v>17</v>
      </c>
      <c r="U9" s="771">
        <f t="shared" si="1"/>
        <v>100</v>
      </c>
      <c r="V9" s="770" t="s">
        <v>17</v>
      </c>
      <c r="W9" s="771">
        <f t="shared" si="2"/>
        <v>100</v>
      </c>
      <c r="X9" s="772"/>
      <c r="Y9" s="3052" t="s">
        <v>2552</v>
      </c>
      <c r="Z9" s="55" t="str">
        <f t="shared" ref="Z9:Z15" si="7">Q9</f>
        <v>用途</v>
      </c>
      <c r="AA9" s="773">
        <f t="shared" si="3"/>
        <v>1</v>
      </c>
      <c r="AB9" s="773">
        <f t="shared" si="4"/>
        <v>1</v>
      </c>
      <c r="AC9" s="773">
        <f t="shared" si="5"/>
        <v>1</v>
      </c>
    </row>
    <row r="10" spans="1:30" s="427" customFormat="1" ht="27">
      <c r="A10" s="421"/>
      <c r="B10" s="422" t="s">
        <v>2553</v>
      </c>
      <c r="C10" s="432">
        <f>[4]项目基本情况!D15</f>
        <v>67.97</v>
      </c>
      <c r="D10" s="136">
        <v>100</v>
      </c>
      <c r="E10" s="465" t="s">
        <v>3159</v>
      </c>
      <c r="F10" s="136">
        <f>ROUND(100/'数据-取费表'!G16,0)</f>
        <v>101</v>
      </c>
      <c r="G10" s="463" t="s">
        <v>3161</v>
      </c>
      <c r="H10" s="136">
        <f>ROUND(100/'数据-取费表'!G16,0)</f>
        <v>101</v>
      </c>
      <c r="I10" s="463" t="s">
        <v>3161</v>
      </c>
      <c r="J10" s="136">
        <f>ROUND(100/'数据-取费表'!G16,0)</f>
        <v>101</v>
      </c>
      <c r="K10" s="672"/>
      <c r="L10" s="1135"/>
      <c r="M10" s="1136"/>
      <c r="N10" s="1136"/>
      <c r="O10" s="1137"/>
      <c r="P10" s="3192"/>
      <c r="Q10" s="1795" t="str">
        <f t="shared" si="6"/>
        <v>土地使用年限（年）</v>
      </c>
      <c r="R10" s="770" t="s">
        <v>17</v>
      </c>
      <c r="S10" s="771">
        <f t="shared" si="0"/>
        <v>101</v>
      </c>
      <c r="T10" s="770" t="s">
        <v>17</v>
      </c>
      <c r="U10" s="771">
        <f t="shared" si="1"/>
        <v>101</v>
      </c>
      <c r="V10" s="770" t="s">
        <v>17</v>
      </c>
      <c r="W10" s="771">
        <f t="shared" si="2"/>
        <v>101</v>
      </c>
      <c r="X10" s="772"/>
      <c r="Y10" s="3052"/>
      <c r="Z10" s="55" t="str">
        <f t="shared" si="7"/>
        <v>土地使用年限（年）</v>
      </c>
      <c r="AA10" s="773">
        <f t="shared" si="3"/>
        <v>0.99009900990099009</v>
      </c>
      <c r="AB10" s="773">
        <f t="shared" si="4"/>
        <v>0.99009900990099009</v>
      </c>
      <c r="AC10" s="773">
        <f t="shared" si="5"/>
        <v>0.99009900990099009</v>
      </c>
    </row>
    <row r="11" spans="1:30" ht="15">
      <c r="A11" s="428"/>
      <c r="B11" s="422" t="s">
        <v>2554</v>
      </c>
      <c r="C11" s="429">
        <f>'[4]数据-汇总表'!I4</f>
        <v>2.2000000000000002</v>
      </c>
      <c r="D11" s="136">
        <v>100</v>
      </c>
      <c r="E11" s="429">
        <v>2.2000000000000002</v>
      </c>
      <c r="F11" s="136">
        <f>LOOKUP(E11,80:80,81:81)-LOOKUP(C11,80:80,81:81)+100</f>
        <v>100</v>
      </c>
      <c r="G11" s="430">
        <v>3</v>
      </c>
      <c r="H11" s="136">
        <f>LOOKUP(G11,80:80,81:81)-LOOKUP(C11,80:80,81:81)+100</f>
        <v>99</v>
      </c>
      <c r="I11" s="429">
        <v>2.2000000000000002</v>
      </c>
      <c r="J11" s="136">
        <f>LOOKUP(I11,80:80,81:81)-LOOKUP(C11,80:80,81:81)+100</f>
        <v>100</v>
      </c>
      <c r="K11" s="673">
        <v>1</v>
      </c>
      <c r="L11" s="1138"/>
      <c r="M11" s="1131"/>
      <c r="N11" s="1131"/>
      <c r="O11" s="1139"/>
      <c r="P11" s="3192"/>
      <c r="Q11" s="1795" t="str">
        <f t="shared" si="6"/>
        <v>容积率</v>
      </c>
      <c r="R11" s="770" t="s">
        <v>17</v>
      </c>
      <c r="S11" s="771">
        <f t="shared" si="0"/>
        <v>100</v>
      </c>
      <c r="T11" s="770" t="s">
        <v>17</v>
      </c>
      <c r="U11" s="771">
        <f t="shared" si="1"/>
        <v>99</v>
      </c>
      <c r="V11" s="770" t="s">
        <v>17</v>
      </c>
      <c r="W11" s="771">
        <f t="shared" si="2"/>
        <v>100</v>
      </c>
      <c r="X11" s="772"/>
      <c r="Y11" s="3052"/>
      <c r="Z11" s="55" t="str">
        <f t="shared" si="7"/>
        <v>容积率</v>
      </c>
      <c r="AA11" s="773">
        <f t="shared" si="3"/>
        <v>1</v>
      </c>
      <c r="AB11" s="773">
        <f t="shared" si="4"/>
        <v>1.0101010101010102</v>
      </c>
      <c r="AC11" s="773">
        <f t="shared" si="5"/>
        <v>1</v>
      </c>
    </row>
    <row r="12" spans="1:30" s="117" customFormat="1" ht="15.75" thickBot="1">
      <c r="A12" s="431"/>
      <c r="B12" s="2596"/>
      <c r="C12" s="2978"/>
      <c r="D12" s="433">
        <v>100</v>
      </c>
      <c r="E12" s="2979"/>
      <c r="F12" s="136">
        <f>SUMIF(82:82,E12,83:83)-SUMIF(82:82,C12,83:83)+100</f>
        <v>100</v>
      </c>
      <c r="G12" s="2981"/>
      <c r="H12" s="136">
        <f>SUMIF(82:82,G12,83:83)-SUMIF(82:82,C12,83:83)+100</f>
        <v>100</v>
      </c>
      <c r="I12" s="2979"/>
      <c r="J12" s="136">
        <f>SUMIF(82:82,I12,83:83)-SUMIF(82:82,C12,83:83)+100</f>
        <v>100</v>
      </c>
      <c r="K12" s="672"/>
      <c r="L12" s="1132"/>
      <c r="M12" s="1133"/>
      <c r="N12" s="1133"/>
      <c r="O12" s="1134"/>
      <c r="P12" s="3192"/>
      <c r="Q12" s="1795">
        <f t="shared" si="6"/>
        <v>0</v>
      </c>
      <c r="R12" s="770" t="s">
        <v>17</v>
      </c>
      <c r="S12" s="771">
        <f t="shared" si="0"/>
        <v>100</v>
      </c>
      <c r="T12" s="770" t="s">
        <v>17</v>
      </c>
      <c r="U12" s="771">
        <f t="shared" si="1"/>
        <v>100</v>
      </c>
      <c r="V12" s="770" t="s">
        <v>17</v>
      </c>
      <c r="W12" s="771">
        <f t="shared" si="2"/>
        <v>100</v>
      </c>
      <c r="X12" s="772"/>
      <c r="Y12" s="3052"/>
      <c r="Z12" s="55">
        <f t="shared" si="7"/>
        <v>0</v>
      </c>
      <c r="AA12" s="773">
        <f>D12/F12</f>
        <v>1</v>
      </c>
      <c r="AB12" s="773">
        <f>D12/H12</f>
        <v>1</v>
      </c>
      <c r="AC12" s="773">
        <f>D12/J12</f>
        <v>1</v>
      </c>
    </row>
    <row r="13" spans="1:30" ht="1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2"/>
      <c r="Q13" s="1795">
        <f t="shared" si="6"/>
        <v>111</v>
      </c>
      <c r="R13" s="770" t="s">
        <v>17</v>
      </c>
      <c r="S13" s="771">
        <f t="shared" si="0"/>
        <v>100</v>
      </c>
      <c r="T13" s="770" t="s">
        <v>17</v>
      </c>
      <c r="U13" s="771">
        <f t="shared" si="1"/>
        <v>100</v>
      </c>
      <c r="V13" s="770" t="s">
        <v>17</v>
      </c>
      <c r="W13" s="771">
        <f t="shared" si="2"/>
        <v>100</v>
      </c>
      <c r="X13" s="772"/>
      <c r="Y13" s="3052"/>
      <c r="Z13" s="55">
        <f t="shared" si="7"/>
        <v>111</v>
      </c>
      <c r="AA13" s="773">
        <f>D13/F13</f>
        <v>1</v>
      </c>
      <c r="AB13" s="773">
        <f>D13/H13</f>
        <v>1</v>
      </c>
      <c r="AC13" s="773">
        <f>D13/J13</f>
        <v>1</v>
      </c>
    </row>
    <row r="14" spans="1:30" ht="15.75"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2"/>
      <c r="Q14" s="1795">
        <f t="shared" si="6"/>
        <v>111</v>
      </c>
      <c r="R14" s="770" t="s">
        <v>17</v>
      </c>
      <c r="S14" s="771">
        <f t="shared" si="0"/>
        <v>100</v>
      </c>
      <c r="T14" s="770" t="s">
        <v>17</v>
      </c>
      <c r="U14" s="771">
        <f t="shared" si="1"/>
        <v>100</v>
      </c>
      <c r="V14" s="770" t="s">
        <v>17</v>
      </c>
      <c r="W14" s="771">
        <f t="shared" si="2"/>
        <v>100</v>
      </c>
      <c r="X14" s="772"/>
      <c r="Y14" s="3052"/>
      <c r="Z14" s="55">
        <f t="shared" si="7"/>
        <v>111</v>
      </c>
      <c r="AA14" s="773">
        <f>D14/F14</f>
        <v>1</v>
      </c>
      <c r="AB14" s="773">
        <f>D14/H14</f>
        <v>1</v>
      </c>
      <c r="AC14" s="773">
        <f>D14/J14</f>
        <v>1</v>
      </c>
    </row>
    <row r="15" spans="1:30" ht="156.75">
      <c r="A15" s="440" t="s">
        <v>2555</v>
      </c>
      <c r="B15" s="69" t="s">
        <v>2084</v>
      </c>
      <c r="C15" s="2599" t="str">
        <f>估价对象房地状况!C15</f>
        <v>估价对象周边居住用地比例大、居住小区规模大且社区发展完善程度较好，如北京晨浩花园、海德堡小区、柏林在线等住宅小区，综合评价居住社区成熟度好。</v>
      </c>
      <c r="D15" s="441">
        <v>100</v>
      </c>
      <c r="E15" s="2985" t="s">
        <v>3286</v>
      </c>
      <c r="F15" s="441">
        <f>SUMIF(88:88,E16,89:89)-SUMIF(88:88,C16,89:89)+100</f>
        <v>100</v>
      </c>
      <c r="G15" s="2985" t="s">
        <v>3281</v>
      </c>
      <c r="H15" s="441">
        <f>SUMIF(88:88,G16,89:89)-SUMIF(88:88,C16,89:89)+100</f>
        <v>100</v>
      </c>
      <c r="I15" s="2985" t="s">
        <v>3287</v>
      </c>
      <c r="J15" s="441">
        <f>SUMIF(88:88,I16,89:89)-SUMIF(88:88,C16,89:89)+100</f>
        <v>100</v>
      </c>
      <c r="K15" s="673"/>
      <c r="L15" s="1140"/>
      <c r="M15" s="1131"/>
      <c r="N15" s="1131"/>
      <c r="O15" s="1139"/>
      <c r="P15" s="3207" t="s">
        <v>2556</v>
      </c>
      <c r="Q15" s="1810" t="str">
        <f t="shared" si="6"/>
        <v>居住社区成熟度</v>
      </c>
      <c r="R15" s="774" t="s">
        <v>17</v>
      </c>
      <c r="S15" s="775">
        <f t="shared" si="0"/>
        <v>100</v>
      </c>
      <c r="T15" s="774" t="s">
        <v>17</v>
      </c>
      <c r="U15" s="775">
        <f t="shared" si="1"/>
        <v>100</v>
      </c>
      <c r="V15" s="774" t="s">
        <v>17</v>
      </c>
      <c r="W15" s="775">
        <f t="shared" si="2"/>
        <v>100</v>
      </c>
      <c r="X15" s="1813"/>
      <c r="Y15" s="3207" t="s">
        <v>2556</v>
      </c>
      <c r="Z15" s="1814" t="str">
        <f t="shared" si="7"/>
        <v>居住社区成熟度</v>
      </c>
      <c r="AA15" s="1811">
        <f t="shared" si="3"/>
        <v>1</v>
      </c>
      <c r="AB15" s="1811">
        <f t="shared" si="4"/>
        <v>1</v>
      </c>
      <c r="AC15" s="1811">
        <f t="shared" si="5"/>
        <v>1</v>
      </c>
    </row>
    <row r="16" spans="1:30" ht="15">
      <c r="A16" s="428"/>
      <c r="B16" s="446"/>
      <c r="C16" s="447" t="s">
        <v>3153</v>
      </c>
      <c r="D16" s="448"/>
      <c r="E16" s="2601" t="s">
        <v>3153</v>
      </c>
      <c r="F16" s="448"/>
      <c r="G16" s="2601" t="s">
        <v>3153</v>
      </c>
      <c r="H16" s="450"/>
      <c r="I16" s="2601" t="s">
        <v>3153</v>
      </c>
      <c r="J16" s="448"/>
      <c r="K16" s="672"/>
      <c r="L16" s="1140"/>
      <c r="M16" s="1131"/>
      <c r="N16" s="1131"/>
      <c r="O16" s="1139"/>
      <c r="P16" s="3208"/>
      <c r="Q16" s="1810"/>
      <c r="R16" s="774"/>
      <c r="S16" s="775"/>
      <c r="T16" s="774"/>
      <c r="U16" s="775"/>
      <c r="V16" s="774"/>
      <c r="W16" s="775"/>
      <c r="X16" s="1813"/>
      <c r="Y16" s="3208"/>
      <c r="Z16" s="1814"/>
      <c r="AA16" s="1811">
        <v>1</v>
      </c>
      <c r="AB16" s="1811">
        <v>1</v>
      </c>
      <c r="AC16" s="1811">
        <v>1</v>
      </c>
    </row>
    <row r="17" spans="1:29" ht="71.25" hidden="1">
      <c r="A17" s="428"/>
      <c r="B17" s="451" t="s">
        <v>2649</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8"/>
      <c r="Q17" s="1810" t="str">
        <f>B17</f>
        <v>商业繁华度</v>
      </c>
      <c r="R17" s="774" t="s">
        <v>17</v>
      </c>
      <c r="S17" s="775">
        <f>F17</f>
        <v>100</v>
      </c>
      <c r="T17" s="774" t="s">
        <v>17</v>
      </c>
      <c r="U17" s="775">
        <f>H17</f>
        <v>100</v>
      </c>
      <c r="V17" s="774" t="s">
        <v>17</v>
      </c>
      <c r="W17" s="775">
        <f>J17</f>
        <v>100</v>
      </c>
      <c r="X17" s="1813"/>
      <c r="Y17" s="3208"/>
      <c r="Z17" s="1814" t="str">
        <f>Q17</f>
        <v>商业繁华度</v>
      </c>
      <c r="AA17" s="1811">
        <f t="shared" si="3"/>
        <v>1</v>
      </c>
      <c r="AB17" s="1811">
        <f t="shared" si="4"/>
        <v>1</v>
      </c>
      <c r="AC17" s="1811">
        <f t="shared" si="5"/>
        <v>1</v>
      </c>
    </row>
    <row r="18" spans="1:29" ht="15" hidden="1">
      <c r="A18" s="428"/>
      <c r="B18" s="456"/>
      <c r="C18" s="2604"/>
      <c r="D18" s="450"/>
      <c r="E18" s="2606"/>
      <c r="F18" s="450"/>
      <c r="G18" s="2606"/>
      <c r="H18" s="448"/>
      <c r="I18" s="2605"/>
      <c r="J18" s="448"/>
      <c r="K18" s="672"/>
      <c r="L18" s="1140"/>
      <c r="M18" s="1131"/>
      <c r="N18" s="1131"/>
      <c r="O18" s="1139"/>
      <c r="P18" s="3208"/>
      <c r="Q18" s="1810"/>
      <c r="R18" s="774"/>
      <c r="S18" s="775"/>
      <c r="T18" s="774"/>
      <c r="U18" s="775"/>
      <c r="V18" s="774"/>
      <c r="W18" s="775"/>
      <c r="X18" s="1813"/>
      <c r="Y18" s="3208"/>
      <c r="Z18" s="1814"/>
      <c r="AA18" s="1811">
        <v>1</v>
      </c>
      <c r="AB18" s="1811">
        <v>1</v>
      </c>
      <c r="AC18" s="1811">
        <v>1</v>
      </c>
    </row>
    <row r="19" spans="1:29" ht="71.25" hidden="1">
      <c r="A19" s="428"/>
      <c r="B19" s="451" t="s">
        <v>2683</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8"/>
      <c r="Q19" s="1810" t="str">
        <f>B19</f>
        <v>办公集聚程度</v>
      </c>
      <c r="R19" s="774" t="s">
        <v>17</v>
      </c>
      <c r="S19" s="775">
        <f>F19</f>
        <v>100</v>
      </c>
      <c r="T19" s="774" t="s">
        <v>17</v>
      </c>
      <c r="U19" s="775">
        <f>H19</f>
        <v>100</v>
      </c>
      <c r="V19" s="774" t="s">
        <v>17</v>
      </c>
      <c r="W19" s="775">
        <f>J19</f>
        <v>100</v>
      </c>
      <c r="X19" s="1813"/>
      <c r="Y19" s="3208"/>
      <c r="Z19" s="1814" t="str">
        <f>Q19</f>
        <v>办公集聚程度</v>
      </c>
      <c r="AA19" s="1811">
        <f t="shared" si="3"/>
        <v>1</v>
      </c>
      <c r="AB19" s="1811">
        <f t="shared" si="4"/>
        <v>1</v>
      </c>
      <c r="AC19" s="1811">
        <f t="shared" si="5"/>
        <v>1</v>
      </c>
    </row>
    <row r="20" spans="1:29" ht="15" hidden="1">
      <c r="A20" s="428"/>
      <c r="B20" s="456"/>
      <c r="C20" s="447"/>
      <c r="D20" s="448"/>
      <c r="E20" s="2601"/>
      <c r="F20" s="448"/>
      <c r="G20" s="2601"/>
      <c r="H20" s="448"/>
      <c r="I20" s="2600"/>
      <c r="J20" s="448"/>
      <c r="K20" s="672"/>
      <c r="L20" s="1140"/>
      <c r="M20" s="1131"/>
      <c r="N20" s="1131"/>
      <c r="O20" s="1139"/>
      <c r="P20" s="3208"/>
      <c r="Q20" s="1810"/>
      <c r="R20" s="774"/>
      <c r="S20" s="775"/>
      <c r="T20" s="774"/>
      <c r="U20" s="775"/>
      <c r="V20" s="774"/>
      <c r="W20" s="775"/>
      <c r="X20" s="1813"/>
      <c r="Y20" s="3208"/>
      <c r="Z20" s="1814"/>
      <c r="AA20" s="1811">
        <v>1</v>
      </c>
      <c r="AB20" s="1811">
        <v>1</v>
      </c>
      <c r="AC20" s="1811">
        <v>1</v>
      </c>
    </row>
    <row r="21" spans="1:29" ht="128.25">
      <c r="A21" s="428"/>
      <c r="B21" s="451" t="s">
        <v>2705</v>
      </c>
      <c r="C21" s="2603" t="str">
        <f>估价对象房地状况!C18</f>
        <v>估价对象多面临街，周边道路路网较为密集，公共交通通达情况较好，有417、533路等、停车便捷程度较好，综合评价交通便捷度较好。</v>
      </c>
      <c r="D21" s="450">
        <v>100</v>
      </c>
      <c r="E21" s="452" t="s">
        <v>3261</v>
      </c>
      <c r="F21" s="455">
        <f>SUMIF(94:94,E22,95:95)-SUMIF(94:94,C22,95:95)+100</f>
        <v>100</v>
      </c>
      <c r="G21" s="452" t="s">
        <v>3282</v>
      </c>
      <c r="H21" s="450">
        <f>SUMIF(94:94,G22,95:95)-SUMIF(94:94,C22,95:95)+100</f>
        <v>100</v>
      </c>
      <c r="I21" s="452" t="s">
        <v>3288</v>
      </c>
      <c r="J21" s="450">
        <f>SUMIF(94:94,I22,95:95)-SUMIF(94:94,C22,95:95)+100</f>
        <v>100</v>
      </c>
      <c r="K21" s="673"/>
      <c r="L21" s="1140"/>
      <c r="M21" s="1131"/>
      <c r="N21" s="1131"/>
      <c r="O21" s="1139"/>
      <c r="P21" s="3208"/>
      <c r="Q21" s="1810" t="str">
        <f>B21</f>
        <v>交通便捷度</v>
      </c>
      <c r="R21" s="774" t="s">
        <v>17</v>
      </c>
      <c r="S21" s="775">
        <f>F21</f>
        <v>100</v>
      </c>
      <c r="T21" s="774" t="s">
        <v>17</v>
      </c>
      <c r="U21" s="775">
        <f>H21</f>
        <v>100</v>
      </c>
      <c r="V21" s="774" t="s">
        <v>17</v>
      </c>
      <c r="W21" s="775">
        <f>J21</f>
        <v>100</v>
      </c>
      <c r="X21" s="1813"/>
      <c r="Y21" s="3208"/>
      <c r="Z21" s="1814" t="str">
        <f>Q21</f>
        <v>交通便捷度</v>
      </c>
      <c r="AA21" s="1811">
        <f t="shared" si="3"/>
        <v>1</v>
      </c>
      <c r="AB21" s="1811">
        <f t="shared" si="4"/>
        <v>1</v>
      </c>
      <c r="AC21" s="1811">
        <f t="shared" si="5"/>
        <v>1</v>
      </c>
    </row>
    <row r="22" spans="1:29" ht="15">
      <c r="A22" s="428"/>
      <c r="B22" s="1384"/>
      <c r="C22" s="2601" t="s">
        <v>3152</v>
      </c>
      <c r="D22" s="450"/>
      <c r="E22" s="2601" t="s">
        <v>3152</v>
      </c>
      <c r="F22" s="448"/>
      <c r="G22" s="2601" t="s">
        <v>3152</v>
      </c>
      <c r="H22" s="448"/>
      <c r="I22" s="2601" t="s">
        <v>3152</v>
      </c>
      <c r="J22" s="448"/>
      <c r="K22" s="672"/>
      <c r="L22" s="1140"/>
      <c r="M22" s="1131"/>
      <c r="N22" s="1131"/>
      <c r="O22" s="1139"/>
      <c r="P22" s="3208"/>
      <c r="Q22" s="1810"/>
      <c r="R22" s="774"/>
      <c r="S22" s="775"/>
      <c r="T22" s="774"/>
      <c r="U22" s="775"/>
      <c r="V22" s="774"/>
      <c r="W22" s="775"/>
      <c r="X22" s="1813"/>
      <c r="Y22" s="3208"/>
      <c r="Z22" s="1814"/>
      <c r="AA22" s="1811">
        <v>1</v>
      </c>
      <c r="AB22" s="1811">
        <v>1</v>
      </c>
      <c r="AC22" s="1811">
        <v>1</v>
      </c>
    </row>
    <row r="23" spans="1:29" ht="42.75">
      <c r="A23" s="404"/>
      <c r="B23" s="451" t="s">
        <v>2743</v>
      </c>
      <c r="C23" s="1389" t="str">
        <f>估价对象房地状况!C19</f>
        <v>区域内多为住宅用地，对土地利用无不利影响。</v>
      </c>
      <c r="D23" s="455">
        <v>100</v>
      </c>
      <c r="E23" s="2986" t="s">
        <v>3263</v>
      </c>
      <c r="F23" s="455">
        <f>SUMIF(96:96,E24,97:97)-SUMIF(96:96,C24,97:97)+100</f>
        <v>100</v>
      </c>
      <c r="G23" s="2987" t="s">
        <v>3263</v>
      </c>
      <c r="H23" s="455">
        <f>SUMIF(96:96,G24,97:97)-SUMIF(96:96,C24,97:97)+100</f>
        <v>100</v>
      </c>
      <c r="I23" s="2987" t="s">
        <v>3263</v>
      </c>
      <c r="J23" s="455">
        <f>SUMIF(96:96,I24,97:97)-SUMIF(96:96,C24,97:97)+100</f>
        <v>100</v>
      </c>
      <c r="K23" s="673"/>
      <c r="L23" s="1140"/>
      <c r="M23" s="1131"/>
      <c r="N23" s="1131"/>
      <c r="O23" s="1139"/>
      <c r="P23" s="3208"/>
      <c r="Q23" s="1810" t="str">
        <f t="shared" ref="Q23:Q37" si="8">B23</f>
        <v>区域土地利用方向</v>
      </c>
      <c r="R23" s="774" t="s">
        <v>17</v>
      </c>
      <c r="S23" s="775">
        <f>F23</f>
        <v>100</v>
      </c>
      <c r="T23" s="774" t="s">
        <v>17</v>
      </c>
      <c r="U23" s="775">
        <f>H23</f>
        <v>100</v>
      </c>
      <c r="V23" s="774" t="s">
        <v>17</v>
      </c>
      <c r="W23" s="775">
        <f>J23</f>
        <v>100</v>
      </c>
      <c r="X23" s="1813"/>
      <c r="Y23" s="3208"/>
      <c r="Z23" s="1814" t="str">
        <f>Q23</f>
        <v>区域土地利用方向</v>
      </c>
      <c r="AA23" s="1811">
        <f t="shared" si="3"/>
        <v>1</v>
      </c>
      <c r="AB23" s="1811">
        <f t="shared" si="4"/>
        <v>1</v>
      </c>
      <c r="AC23" s="1811">
        <f t="shared" si="5"/>
        <v>1</v>
      </c>
    </row>
    <row r="24" spans="1:29" ht="15">
      <c r="A24" s="404"/>
      <c r="B24" s="456"/>
      <c r="C24" s="616" t="s">
        <v>3152</v>
      </c>
      <c r="D24" s="448"/>
      <c r="E24" s="616" t="s">
        <v>3152</v>
      </c>
      <c r="F24" s="448"/>
      <c r="G24" s="616" t="s">
        <v>3152</v>
      </c>
      <c r="H24" s="448"/>
      <c r="I24" s="616" t="s">
        <v>3152</v>
      </c>
      <c r="J24" s="448"/>
      <c r="K24" s="809"/>
      <c r="L24" s="1140"/>
      <c r="M24" s="1131"/>
      <c r="N24" s="1131"/>
      <c r="O24" s="1139"/>
      <c r="P24" s="3208"/>
      <c r="Q24" s="1810"/>
      <c r="R24" s="774"/>
      <c r="S24" s="775"/>
      <c r="T24" s="774"/>
      <c r="U24" s="775"/>
      <c r="V24" s="774"/>
      <c r="W24" s="775"/>
      <c r="X24" s="1813"/>
      <c r="Y24" s="3208"/>
      <c r="Z24" s="1814"/>
      <c r="AA24" s="1811"/>
      <c r="AB24" s="1811"/>
      <c r="AC24" s="1811"/>
    </row>
    <row r="25" spans="1:29" ht="99.75">
      <c r="A25" s="404"/>
      <c r="B25" s="1384" t="s">
        <v>2744</v>
      </c>
      <c r="C25" s="2660" t="str">
        <f>估价对象房地状况!C20</f>
        <v>区域自然环境：未来科技城滨河公园；人文环境：无展览馆、博物馆等；综合评价环境状况一般。</v>
      </c>
      <c r="D25" s="450">
        <v>100</v>
      </c>
      <c r="E25" s="2986" t="s">
        <v>3270</v>
      </c>
      <c r="F25" s="450">
        <f>SUMIF(98:98,E26,99:99)-SUMIF(98:98,C26,99:99)+100</f>
        <v>102</v>
      </c>
      <c r="G25" s="2986" t="s">
        <v>3283</v>
      </c>
      <c r="H25" s="450">
        <f>SUMIF(98:98,G26,99:99)-SUMIF(98:98,C26,99:99)+100</f>
        <v>102</v>
      </c>
      <c r="I25" s="2986" t="s">
        <v>3289</v>
      </c>
      <c r="J25" s="450">
        <f>SUMIF(98:98,I26,99:99)-SUMIF(98:98,C26,99:99)+100</f>
        <v>100</v>
      </c>
      <c r="K25" s="673">
        <v>2</v>
      </c>
      <c r="L25" s="1140"/>
      <c r="M25" s="1131"/>
      <c r="N25" s="1131"/>
      <c r="O25" s="1139"/>
      <c r="P25" s="3208"/>
      <c r="Q25" s="1810" t="str">
        <f t="shared" si="8"/>
        <v>自然及人文环境状况</v>
      </c>
      <c r="R25" s="774" t="s">
        <v>17</v>
      </c>
      <c r="S25" s="775">
        <f>F25</f>
        <v>102</v>
      </c>
      <c r="T25" s="774" t="s">
        <v>17</v>
      </c>
      <c r="U25" s="775">
        <f>H25</f>
        <v>102</v>
      </c>
      <c r="V25" s="774" t="s">
        <v>17</v>
      </c>
      <c r="W25" s="775">
        <f>J25</f>
        <v>100</v>
      </c>
      <c r="X25" s="1813"/>
      <c r="Y25" s="3208"/>
      <c r="Z25" s="1814" t="str">
        <f>Q25</f>
        <v>自然及人文环境状况</v>
      </c>
      <c r="AA25" s="1811">
        <f t="shared" si="3"/>
        <v>0.98039215686274506</v>
      </c>
      <c r="AB25" s="1811">
        <f t="shared" si="4"/>
        <v>0.98039215686274506</v>
      </c>
      <c r="AC25" s="1811">
        <f t="shared" si="5"/>
        <v>1</v>
      </c>
    </row>
    <row r="26" spans="1:29" ht="15">
      <c r="A26" s="404"/>
      <c r="B26" s="456"/>
      <c r="C26" s="447" t="s">
        <v>3154</v>
      </c>
      <c r="D26" s="448"/>
      <c r="E26" s="2607" t="s">
        <v>3152</v>
      </c>
      <c r="F26" s="448"/>
      <c r="G26" s="2607" t="s">
        <v>3152</v>
      </c>
      <c r="H26" s="448"/>
      <c r="I26" s="447" t="s">
        <v>3154</v>
      </c>
      <c r="J26" s="448"/>
      <c r="K26" s="672"/>
      <c r="L26" s="1140"/>
      <c r="M26" s="1131"/>
      <c r="N26" s="1131"/>
      <c r="O26" s="1139"/>
      <c r="P26" s="3208"/>
      <c r="Q26" s="1810"/>
      <c r="R26" s="774"/>
      <c r="S26" s="775"/>
      <c r="T26" s="774"/>
      <c r="U26" s="775"/>
      <c r="V26" s="774"/>
      <c r="W26" s="775"/>
      <c r="X26" s="1813"/>
      <c r="Y26" s="3208"/>
      <c r="Z26" s="1814"/>
      <c r="AA26" s="1811">
        <v>1</v>
      </c>
      <c r="AB26" s="1811">
        <v>1</v>
      </c>
      <c r="AC26" s="1811">
        <v>1</v>
      </c>
    </row>
    <row r="27" spans="1:29" s="117" customFormat="1" ht="213.75">
      <c r="A27" s="649"/>
      <c r="B27" s="1384" t="s">
        <v>2650</v>
      </c>
      <c r="C27" s="2603" t="str">
        <f>估价对象房地状况!C21</f>
        <v>估价对象所在区域2公里范围内有：银行（中国银行、北京农村商业银行），购物（物联隆超市、超市发超市）、医院（北七家社区卫生服务中心），学校（北京市晨星学校、伊顿双语幼儿园），餐饮等，公共配套设施齐备情况较好。</v>
      </c>
      <c r="D27" s="450">
        <v>100</v>
      </c>
      <c r="E27" s="452" t="s">
        <v>3268</v>
      </c>
      <c r="F27" s="450">
        <f>SUMIF(100:100,E28,101:101)-SUMIF(100:100,C28,101:101)+100</f>
        <v>100</v>
      </c>
      <c r="G27" s="452" t="s">
        <v>3284</v>
      </c>
      <c r="H27" s="450">
        <f>SUMIF(100:100,G28,101:101)-SUMIF(100:100,C28,101:101)+100</f>
        <v>100</v>
      </c>
      <c r="I27" s="452" t="s">
        <v>3290</v>
      </c>
      <c r="J27" s="450">
        <f>SUMIF(100:100,I28,101:101)-SUMIF(100:100,C28,101:101)+100</f>
        <v>100</v>
      </c>
      <c r="K27" s="673">
        <v>2</v>
      </c>
      <c r="L27" s="1132"/>
      <c r="M27" s="1133"/>
      <c r="N27" s="1133"/>
      <c r="O27" s="1134"/>
      <c r="P27" s="3208"/>
      <c r="Q27" s="1795" t="str">
        <f t="shared" si="8"/>
        <v>公共配套设施</v>
      </c>
      <c r="R27" s="770" t="s">
        <v>17</v>
      </c>
      <c r="S27" s="771">
        <f>F27</f>
        <v>100</v>
      </c>
      <c r="T27" s="770" t="s">
        <v>17</v>
      </c>
      <c r="U27" s="771">
        <f>H27</f>
        <v>100</v>
      </c>
      <c r="V27" s="770" t="s">
        <v>17</v>
      </c>
      <c r="W27" s="771">
        <f>J27</f>
        <v>100</v>
      </c>
      <c r="X27" s="772"/>
      <c r="Y27" s="3208"/>
      <c r="Z27" s="55" t="str">
        <f>Q27</f>
        <v>公共配套设施</v>
      </c>
      <c r="AA27" s="1811">
        <f>D27/F27</f>
        <v>1</v>
      </c>
      <c r="AB27" s="1811">
        <f>D27/H27</f>
        <v>1</v>
      </c>
      <c r="AC27" s="1811">
        <f>D27/J27</f>
        <v>1</v>
      </c>
    </row>
    <row r="28" spans="1:29" s="117" customFormat="1" ht="15">
      <c r="A28" s="649"/>
      <c r="B28" s="456"/>
      <c r="C28" s="2696" t="s">
        <v>3152</v>
      </c>
      <c r="D28" s="448"/>
      <c r="E28" s="2607" t="s">
        <v>3152</v>
      </c>
      <c r="F28" s="448"/>
      <c r="G28" s="2607" t="s">
        <v>3152</v>
      </c>
      <c r="H28" s="448"/>
      <c r="I28" s="447" t="s">
        <v>3152</v>
      </c>
      <c r="J28" s="448"/>
      <c r="K28" s="672"/>
      <c r="L28" s="1132"/>
      <c r="M28" s="1133"/>
      <c r="N28" s="1133"/>
      <c r="O28" s="1134"/>
      <c r="P28" s="3208"/>
      <c r="Q28" s="1795"/>
      <c r="R28" s="770"/>
      <c r="S28" s="771"/>
      <c r="T28" s="770"/>
      <c r="U28" s="771"/>
      <c r="V28" s="770"/>
      <c r="W28" s="771"/>
      <c r="X28" s="772"/>
      <c r="Y28" s="3208"/>
      <c r="Z28" s="55"/>
      <c r="AA28" s="1811">
        <v>1</v>
      </c>
      <c r="AB28" s="1811">
        <v>1</v>
      </c>
      <c r="AC28" s="1811">
        <v>1</v>
      </c>
    </row>
    <row r="29" spans="1:29" s="117" customFormat="1" ht="42.75">
      <c r="A29" s="649"/>
      <c r="B29" s="1384" t="s">
        <v>2651</v>
      </c>
      <c r="C29" s="2603" t="str">
        <f>估价对象房地状况!C22</f>
        <v>估价对象所在区域基础设施水平达到“七通”。</v>
      </c>
      <c r="D29" s="450">
        <v>100</v>
      </c>
      <c r="E29" s="452" t="s">
        <v>3266</v>
      </c>
      <c r="F29" s="450">
        <f>SUMIF(102:102,E30,103:103)-SUMIF(102:102,C30,103:103)+100</f>
        <v>100</v>
      </c>
      <c r="G29" s="452" t="s">
        <v>3266</v>
      </c>
      <c r="H29" s="450">
        <f>SUMIF(102:102,G30,103:103)-SUMIF(102:102,C30,103:103)+100</f>
        <v>100</v>
      </c>
      <c r="I29" s="454" t="s">
        <v>3266</v>
      </c>
      <c r="J29" s="450">
        <f>SUMIF(102:102,I30,103:103)-SUMIF(102:102,C30,103:103)+100</f>
        <v>100</v>
      </c>
      <c r="K29" s="673"/>
      <c r="L29" s="1132"/>
      <c r="M29" s="1133"/>
      <c r="N29" s="1133"/>
      <c r="O29" s="1134"/>
      <c r="P29" s="3208"/>
      <c r="Q29" s="1795" t="str">
        <f t="shared" ref="Q29" si="9">B29</f>
        <v>基础设施水平</v>
      </c>
      <c r="R29" s="770" t="s">
        <v>17</v>
      </c>
      <c r="S29" s="771">
        <f>F29</f>
        <v>100</v>
      </c>
      <c r="T29" s="770" t="s">
        <v>17</v>
      </c>
      <c r="U29" s="771">
        <f>H29</f>
        <v>100</v>
      </c>
      <c r="V29" s="770" t="s">
        <v>17</v>
      </c>
      <c r="W29" s="771">
        <f>J29</f>
        <v>100</v>
      </c>
      <c r="X29" s="772"/>
      <c r="Y29" s="3208"/>
      <c r="Z29" s="55" t="str">
        <f>Q29</f>
        <v>基础设施水平</v>
      </c>
      <c r="AA29" s="1811">
        <f>D29/F29</f>
        <v>1</v>
      </c>
      <c r="AB29" s="1811">
        <f>D29/H29</f>
        <v>1</v>
      </c>
      <c r="AC29" s="1811">
        <f>D29/J29</f>
        <v>1</v>
      </c>
    </row>
    <row r="30" spans="1:29" s="117" customFormat="1" ht="15">
      <c r="A30" s="649"/>
      <c r="B30" s="456"/>
      <c r="C30" s="2696" t="s">
        <v>3264</v>
      </c>
      <c r="D30" s="448"/>
      <c r="E30" s="2697" t="s">
        <v>3264</v>
      </c>
      <c r="F30" s="448"/>
      <c r="G30" s="2697" t="s">
        <v>3264</v>
      </c>
      <c r="H30" s="448"/>
      <c r="I30" s="2697" t="s">
        <v>3264</v>
      </c>
      <c r="J30" s="448"/>
      <c r="K30" s="672"/>
      <c r="L30" s="1132"/>
      <c r="M30" s="1133"/>
      <c r="N30" s="1133"/>
      <c r="O30" s="1134"/>
      <c r="P30" s="3208"/>
      <c r="Q30" s="1795"/>
      <c r="R30" s="770"/>
      <c r="S30" s="771"/>
      <c r="T30" s="770"/>
      <c r="U30" s="771"/>
      <c r="V30" s="770"/>
      <c r="W30" s="771"/>
      <c r="X30" s="772"/>
      <c r="Y30" s="3208"/>
      <c r="Z30" s="55"/>
      <c r="AA30" s="1811">
        <v>1</v>
      </c>
      <c r="AB30" s="1811">
        <v>1</v>
      </c>
      <c r="AC30" s="1811">
        <v>1</v>
      </c>
    </row>
    <row r="31" spans="1:29" ht="15">
      <c r="A31" s="428"/>
      <c r="B31" s="456" t="s">
        <v>2652</v>
      </c>
      <c r="C31" s="616" t="s">
        <v>3271</v>
      </c>
      <c r="D31" s="435">
        <v>100</v>
      </c>
      <c r="E31" s="634" t="s">
        <v>3271</v>
      </c>
      <c r="F31" s="435">
        <f>SUMIF(104:104,E31,105:105)-SUMIF(104:104,C31,105:105)+100</f>
        <v>100</v>
      </c>
      <c r="G31" s="634" t="s">
        <v>3271</v>
      </c>
      <c r="H31" s="435">
        <f>SUMIF(104:104,G31,105:105)-SUMIF(104:104,C31,105:105)+100</f>
        <v>100</v>
      </c>
      <c r="I31" s="634" t="s">
        <v>3150</v>
      </c>
      <c r="J31" s="435">
        <f>SUMIF(104:104,I31,105:105)-SUMIF(104:104,C31,105:105)+100</f>
        <v>102</v>
      </c>
      <c r="K31" s="673">
        <v>2</v>
      </c>
      <c r="L31" s="1140"/>
      <c r="M31" s="1131"/>
      <c r="N31" s="1131"/>
      <c r="O31" s="1139"/>
      <c r="P31" s="3208"/>
      <c r="Q31" s="1810" t="str">
        <f t="shared" si="8"/>
        <v>临街状况</v>
      </c>
      <c r="R31" s="774" t="s">
        <v>17</v>
      </c>
      <c r="S31" s="775">
        <f t="shared" ref="S31:S45" si="10">F31</f>
        <v>100</v>
      </c>
      <c r="T31" s="774" t="s">
        <v>17</v>
      </c>
      <c r="U31" s="775">
        <f t="shared" ref="U31:U45" si="11">H31</f>
        <v>100</v>
      </c>
      <c r="V31" s="774" t="s">
        <v>17</v>
      </c>
      <c r="W31" s="775">
        <f t="shared" ref="W31:W45" si="12">J31</f>
        <v>102</v>
      </c>
      <c r="X31" s="1813"/>
      <c r="Y31" s="3208"/>
      <c r="Z31" s="1814" t="str">
        <f t="shared" ref="Z31:Z45" si="13">Q31</f>
        <v>临街状况</v>
      </c>
      <c r="AA31" s="1811">
        <f t="shared" si="3"/>
        <v>1</v>
      </c>
      <c r="AB31" s="1811">
        <f t="shared" si="4"/>
        <v>1</v>
      </c>
      <c r="AC31" s="1811">
        <f t="shared" si="5"/>
        <v>0.98039215686274506</v>
      </c>
    </row>
    <row r="32" spans="1:29" ht="27">
      <c r="A32" s="428"/>
      <c r="B32" s="1384" t="s">
        <v>2687</v>
      </c>
      <c r="C32" s="2987" t="s">
        <v>3280</v>
      </c>
      <c r="D32" s="450">
        <v>100</v>
      </c>
      <c r="E32" s="2986" t="s">
        <v>3272</v>
      </c>
      <c r="F32" s="450">
        <f>SUMIF(106:106,E33,107:107)-SUMIF(106:106,C33,107:107)+100</f>
        <v>102</v>
      </c>
      <c r="G32" s="2986" t="s">
        <v>3285</v>
      </c>
      <c r="H32" s="450">
        <f>SUMIF(106:106,G33,107:107)-SUMIF(106:106,C33,107:107)+100</f>
        <v>102</v>
      </c>
      <c r="I32" s="2987" t="s">
        <v>3291</v>
      </c>
      <c r="J32" s="450">
        <f>SUMIF(106:106,I33,107:107)-SUMIF(106:106,C33,107:107)+100</f>
        <v>100</v>
      </c>
      <c r="K32" s="673">
        <v>2</v>
      </c>
      <c r="L32" s="1140"/>
      <c r="M32" s="1131"/>
      <c r="N32" s="1131"/>
      <c r="O32" s="1139"/>
      <c r="P32" s="3208"/>
      <c r="Q32" s="1810" t="str">
        <f t="shared" si="8"/>
        <v>毗邻道路的类型与等级</v>
      </c>
      <c r="R32" s="774" t="s">
        <v>17</v>
      </c>
      <c r="S32" s="775">
        <f t="shared" si="10"/>
        <v>102</v>
      </c>
      <c r="T32" s="774" t="s">
        <v>17</v>
      </c>
      <c r="U32" s="775">
        <f t="shared" si="11"/>
        <v>102</v>
      </c>
      <c r="V32" s="774" t="s">
        <v>17</v>
      </c>
      <c r="W32" s="775">
        <f t="shared" si="12"/>
        <v>100</v>
      </c>
      <c r="X32" s="1813"/>
      <c r="Y32" s="3208"/>
      <c r="Z32" s="1814" t="str">
        <f t="shared" si="13"/>
        <v>毗邻道路的类型与等级</v>
      </c>
      <c r="AA32" s="1811">
        <f t="shared" si="3"/>
        <v>0.98039215686274506</v>
      </c>
      <c r="AB32" s="1811">
        <f t="shared" si="4"/>
        <v>0.98039215686274506</v>
      </c>
      <c r="AC32" s="1811">
        <f t="shared" si="5"/>
        <v>1</v>
      </c>
    </row>
    <row r="33" spans="1:29" ht="15">
      <c r="A33" s="428"/>
      <c r="B33" s="456"/>
      <c r="C33" s="447" t="s">
        <v>3277</v>
      </c>
      <c r="D33" s="448"/>
      <c r="E33" s="2607" t="s">
        <v>3275</v>
      </c>
      <c r="F33" s="448"/>
      <c r="G33" s="2607" t="s">
        <v>3275</v>
      </c>
      <c r="H33" s="448"/>
      <c r="I33" s="447" t="s">
        <v>3277</v>
      </c>
      <c r="J33" s="448"/>
      <c r="K33" s="613"/>
      <c r="L33" s="1140"/>
      <c r="M33" s="1131"/>
      <c r="N33" s="1131"/>
      <c r="O33" s="1139"/>
      <c r="P33" s="3208"/>
      <c r="Q33" s="1810"/>
      <c r="R33" s="774"/>
      <c r="S33" s="775"/>
      <c r="T33" s="774"/>
      <c r="U33" s="775"/>
      <c r="V33" s="774"/>
      <c r="W33" s="775"/>
      <c r="X33" s="1813"/>
      <c r="Y33" s="3208"/>
      <c r="Z33" s="1814"/>
      <c r="AA33" s="1811">
        <v>1</v>
      </c>
      <c r="AB33" s="1811">
        <v>1</v>
      </c>
      <c r="AC33" s="1811">
        <v>1</v>
      </c>
    </row>
    <row r="34" spans="1:29" ht="15.75" thickBot="1">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8"/>
      <c r="Q34" s="1810" t="str">
        <f t="shared" si="8"/>
        <v>土地级别</v>
      </c>
      <c r="R34" s="774" t="s">
        <v>17</v>
      </c>
      <c r="S34" s="775">
        <f t="shared" si="10"/>
        <v>100</v>
      </c>
      <c r="T34" s="774" t="s">
        <v>17</v>
      </c>
      <c r="U34" s="775">
        <f t="shared" si="11"/>
        <v>100</v>
      </c>
      <c r="V34" s="774" t="s">
        <v>17</v>
      </c>
      <c r="W34" s="775">
        <f t="shared" si="12"/>
        <v>100</v>
      </c>
      <c r="X34" s="1813"/>
      <c r="Y34" s="3208"/>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8"/>
      <c r="Q35" s="1810">
        <f t="shared" si="8"/>
        <v>111</v>
      </c>
      <c r="R35" s="774" t="s">
        <v>17</v>
      </c>
      <c r="S35" s="775">
        <f t="shared" si="10"/>
        <v>100</v>
      </c>
      <c r="T35" s="774" t="s">
        <v>17</v>
      </c>
      <c r="U35" s="775">
        <f t="shared" si="11"/>
        <v>100</v>
      </c>
      <c r="V35" s="774" t="s">
        <v>17</v>
      </c>
      <c r="W35" s="775">
        <f t="shared" si="12"/>
        <v>100</v>
      </c>
      <c r="X35" s="1813"/>
      <c r="Y35" s="3208"/>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9" t="s">
        <v>2561</v>
      </c>
      <c r="Q36" s="1810">
        <f t="shared" si="8"/>
        <v>111</v>
      </c>
      <c r="R36" s="774" t="s">
        <v>17</v>
      </c>
      <c r="S36" s="775">
        <f t="shared" si="10"/>
        <v>100</v>
      </c>
      <c r="T36" s="774" t="s">
        <v>17</v>
      </c>
      <c r="U36" s="775">
        <f t="shared" si="11"/>
        <v>100</v>
      </c>
      <c r="V36" s="774" t="s">
        <v>17</v>
      </c>
      <c r="W36" s="775">
        <f t="shared" si="12"/>
        <v>100</v>
      </c>
      <c r="X36" s="1813"/>
      <c r="Y36" s="3210" t="s">
        <v>2561</v>
      </c>
      <c r="Z36" s="1814">
        <f t="shared" si="13"/>
        <v>111</v>
      </c>
      <c r="AA36" s="1811">
        <f t="shared" si="3"/>
        <v>1</v>
      </c>
      <c r="AB36" s="1811">
        <f t="shared" si="4"/>
        <v>1</v>
      </c>
      <c r="AC36" s="1811">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0"/>
      <c r="Q37" s="1810">
        <f t="shared" si="8"/>
        <v>111</v>
      </c>
      <c r="R37" s="777" t="s">
        <v>17</v>
      </c>
      <c r="S37" s="778">
        <f t="shared" si="10"/>
        <v>100</v>
      </c>
      <c r="T37" s="777" t="s">
        <v>17</v>
      </c>
      <c r="U37" s="778">
        <f t="shared" si="11"/>
        <v>100</v>
      </c>
      <c r="V37" s="777" t="s">
        <v>17</v>
      </c>
      <c r="W37" s="778">
        <f t="shared" si="12"/>
        <v>100</v>
      </c>
      <c r="X37" s="779"/>
      <c r="Y37" s="3210"/>
      <c r="Z37" s="780">
        <f t="shared" si="13"/>
        <v>111</v>
      </c>
      <c r="AA37" s="1811">
        <f t="shared" si="3"/>
        <v>1</v>
      </c>
      <c r="AB37" s="1811">
        <f t="shared" si="4"/>
        <v>1</v>
      </c>
      <c r="AC37" s="1811">
        <f t="shared" si="5"/>
        <v>1</v>
      </c>
    </row>
    <row r="38" spans="1:29" ht="15">
      <c r="A38" s="472" t="s">
        <v>2559</v>
      </c>
      <c r="B38" s="456" t="s">
        <v>2746</v>
      </c>
      <c r="C38" s="679">
        <v>626276.55000000005</v>
      </c>
      <c r="D38" s="467">
        <v>100</v>
      </c>
      <c r="E38" s="679">
        <v>99493.38</v>
      </c>
      <c r="F38" s="467">
        <f>LOOKUP(E38,117:117,118:118)-LOOKUP(C38,117:117,118:118)+100</f>
        <v>94</v>
      </c>
      <c r="G38" s="679">
        <v>20342.53</v>
      </c>
      <c r="H38" s="467">
        <f>LOOKUP(G38,117:117,118:118)-LOOKUP(C38,117:117,118:118)+100</f>
        <v>91</v>
      </c>
      <c r="I38" s="530">
        <v>20763.830000000002</v>
      </c>
      <c r="J38" s="467">
        <f>LOOKUP(I38,117:117,118:118)-LOOKUP(C38,117:117,118:118)+100</f>
        <v>91</v>
      </c>
      <c r="K38" s="613"/>
      <c r="L38" s="1140"/>
      <c r="M38" s="1131"/>
      <c r="N38" s="1131"/>
      <c r="O38" s="1139"/>
      <c r="P38" s="3210"/>
      <c r="Q38" s="1810" t="str">
        <f>B38</f>
        <v>宗地面积</v>
      </c>
      <c r="R38" s="774" t="s">
        <v>17</v>
      </c>
      <c r="S38" s="775">
        <f t="shared" si="10"/>
        <v>94</v>
      </c>
      <c r="T38" s="774" t="s">
        <v>17</v>
      </c>
      <c r="U38" s="775">
        <f t="shared" si="11"/>
        <v>91</v>
      </c>
      <c r="V38" s="774" t="s">
        <v>17</v>
      </c>
      <c r="W38" s="775">
        <f t="shared" si="12"/>
        <v>91</v>
      </c>
      <c r="X38" s="1813"/>
      <c r="Y38" s="3210"/>
      <c r="Z38" s="1814" t="str">
        <f t="shared" si="13"/>
        <v>宗地面积</v>
      </c>
      <c r="AA38" s="1811">
        <f t="shared" si="3"/>
        <v>1.0638297872340425</v>
      </c>
      <c r="AB38" s="1811">
        <f t="shared" si="4"/>
        <v>1.098901098901099</v>
      </c>
      <c r="AC38" s="1811">
        <f t="shared" si="5"/>
        <v>1.098901098901099</v>
      </c>
    </row>
    <row r="39" spans="1:29" ht="15">
      <c r="A39" s="472"/>
      <c r="B39" s="422" t="s">
        <v>2747</v>
      </c>
      <c r="C39" s="2609" t="s">
        <v>3171</v>
      </c>
      <c r="D39" s="435">
        <v>100</v>
      </c>
      <c r="E39" s="2609" t="s">
        <v>3173</v>
      </c>
      <c r="F39" s="435">
        <f>SUMIF(119:119,E39,120:120)-SUMIF(119:119,C39,120:120)+100</f>
        <v>105</v>
      </c>
      <c r="G39" s="2609" t="s">
        <v>3173</v>
      </c>
      <c r="H39" s="435">
        <f>SUMIF(119:119,G39,120:120)-SUMIF(119:119,C39,120:120)+100</f>
        <v>105</v>
      </c>
      <c r="I39" s="2609" t="s">
        <v>3171</v>
      </c>
      <c r="J39" s="435">
        <f>SUMIF(119:119,I39,120:120)-SUMIF(119:119,C39,120:120)+100</f>
        <v>100</v>
      </c>
      <c r="K39" s="612">
        <v>5</v>
      </c>
      <c r="L39" s="1140"/>
      <c r="M39" s="1131"/>
      <c r="N39" s="1131"/>
      <c r="O39" s="1139"/>
      <c r="P39" s="3210"/>
      <c r="Q39" s="1810" t="str">
        <f t="shared" ref="Q39:Q45" si="14">B39</f>
        <v>宗地形状</v>
      </c>
      <c r="R39" s="774" t="s">
        <v>17</v>
      </c>
      <c r="S39" s="775">
        <f t="shared" si="10"/>
        <v>105</v>
      </c>
      <c r="T39" s="774" t="s">
        <v>17</v>
      </c>
      <c r="U39" s="775">
        <f t="shared" si="11"/>
        <v>105</v>
      </c>
      <c r="V39" s="774" t="s">
        <v>17</v>
      </c>
      <c r="W39" s="775">
        <f t="shared" si="12"/>
        <v>100</v>
      </c>
      <c r="X39" s="1813"/>
      <c r="Y39" s="3210"/>
      <c r="Z39" s="1814" t="str">
        <f t="shared" si="13"/>
        <v>宗地形状</v>
      </c>
      <c r="AA39" s="1811">
        <f t="shared" si="3"/>
        <v>0.95238095238095233</v>
      </c>
      <c r="AB39" s="1811">
        <f t="shared" si="4"/>
        <v>0.95238095238095233</v>
      </c>
      <c r="AC39" s="1811">
        <f t="shared" si="5"/>
        <v>1</v>
      </c>
    </row>
    <row r="40" spans="1:29" ht="15">
      <c r="A40" s="472"/>
      <c r="B40" s="422" t="s">
        <v>2748</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10"/>
      <c r="Q40" s="1810" t="str">
        <f t="shared" si="14"/>
        <v>临街宽度及深度</v>
      </c>
      <c r="R40" s="774" t="s">
        <v>17</v>
      </c>
      <c r="S40" s="775">
        <f t="shared" si="10"/>
        <v>100</v>
      </c>
      <c r="T40" s="774" t="s">
        <v>17</v>
      </c>
      <c r="U40" s="775">
        <f t="shared" si="11"/>
        <v>100</v>
      </c>
      <c r="V40" s="774" t="s">
        <v>17</v>
      </c>
      <c r="W40" s="775">
        <f t="shared" si="12"/>
        <v>100</v>
      </c>
      <c r="X40" s="1813"/>
      <c r="Y40" s="3210"/>
      <c r="Z40" s="1814" t="str">
        <f t="shared" si="13"/>
        <v>临街宽度及深度</v>
      </c>
      <c r="AA40" s="1811">
        <f t="shared" si="3"/>
        <v>1</v>
      </c>
      <c r="AB40" s="1811">
        <f t="shared" si="4"/>
        <v>1</v>
      </c>
      <c r="AC40" s="1811">
        <f t="shared" si="5"/>
        <v>1</v>
      </c>
    </row>
    <row r="41" spans="1:29" s="117" customFormat="1" ht="15">
      <c r="A41" s="473"/>
      <c r="B41" s="422" t="s">
        <v>2749</v>
      </c>
      <c r="C41" s="2698" t="s">
        <v>3172</v>
      </c>
      <c r="D41" s="136">
        <v>100</v>
      </c>
      <c r="E41" s="2698" t="s">
        <v>3255</v>
      </c>
      <c r="F41" s="435">
        <f>SUMIF(123:123,E41,124:124)-SUMIF(123:123,C41,124:124)+100</f>
        <v>103</v>
      </c>
      <c r="G41" s="2698" t="s">
        <v>3172</v>
      </c>
      <c r="H41" s="435">
        <f>SUMIF(123:123,G41,124:124)-SUMIF(123:123,C41,124:124)+100</f>
        <v>100</v>
      </c>
      <c r="I41" s="2698" t="s">
        <v>3175</v>
      </c>
      <c r="J41" s="435">
        <f>SUMIF(123:123,I41,124:124)-SUMIF(123:123,C41,124:124)+100</f>
        <v>102</v>
      </c>
      <c r="K41" s="612">
        <v>1</v>
      </c>
      <c r="L41" s="1132"/>
      <c r="M41" s="1133"/>
      <c r="N41" s="1133"/>
      <c r="O41" s="1134"/>
      <c r="P41" s="3210"/>
      <c r="Q41" s="1810" t="str">
        <f t="shared" si="14"/>
        <v>宗地开发程度</v>
      </c>
      <c r="R41" s="770" t="s">
        <v>17</v>
      </c>
      <c r="S41" s="771">
        <f t="shared" si="10"/>
        <v>103</v>
      </c>
      <c r="T41" s="770" t="s">
        <v>17</v>
      </c>
      <c r="U41" s="771">
        <f t="shared" si="11"/>
        <v>100</v>
      </c>
      <c r="V41" s="770" t="s">
        <v>17</v>
      </c>
      <c r="W41" s="771">
        <f t="shared" si="12"/>
        <v>102</v>
      </c>
      <c r="X41" s="772"/>
      <c r="Y41" s="3210"/>
      <c r="Z41" s="55" t="str">
        <f t="shared" si="13"/>
        <v>宗地开发程度</v>
      </c>
      <c r="AA41" s="773">
        <f t="shared" si="3"/>
        <v>0.970873786407767</v>
      </c>
      <c r="AB41" s="773">
        <f t="shared" si="4"/>
        <v>1</v>
      </c>
      <c r="AC41" s="773">
        <f t="shared" si="5"/>
        <v>0.98039215686274506</v>
      </c>
    </row>
    <row r="42" spans="1:29" ht="15.75" thickBot="1">
      <c r="A42" s="472"/>
      <c r="B42" s="422" t="s">
        <v>2750</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10" t="s">
        <v>2561</v>
      </c>
      <c r="Q42" s="1810" t="str">
        <f t="shared" si="14"/>
        <v>工程地质条件</v>
      </c>
      <c r="R42" s="774" t="s">
        <v>17</v>
      </c>
      <c r="S42" s="775">
        <f t="shared" si="10"/>
        <v>100</v>
      </c>
      <c r="T42" s="774" t="s">
        <v>17</v>
      </c>
      <c r="U42" s="775">
        <f t="shared" si="11"/>
        <v>100</v>
      </c>
      <c r="V42" s="774" t="s">
        <v>17</v>
      </c>
      <c r="W42" s="775">
        <f t="shared" si="12"/>
        <v>100</v>
      </c>
      <c r="X42" s="1813"/>
      <c r="Y42" s="3210" t="s">
        <v>2561</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0"/>
      <c r="Q43" s="1810">
        <f t="shared" si="14"/>
        <v>111</v>
      </c>
      <c r="R43" s="774" t="s">
        <v>17</v>
      </c>
      <c r="S43" s="775">
        <f t="shared" si="10"/>
        <v>100</v>
      </c>
      <c r="T43" s="774" t="s">
        <v>17</v>
      </c>
      <c r="U43" s="775">
        <f t="shared" si="11"/>
        <v>100</v>
      </c>
      <c r="V43" s="774" t="s">
        <v>17</v>
      </c>
      <c r="W43" s="775">
        <f t="shared" si="12"/>
        <v>100</v>
      </c>
      <c r="X43" s="1813"/>
      <c r="Y43" s="3210"/>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0"/>
      <c r="Q44" s="1810">
        <f t="shared" si="14"/>
        <v>111</v>
      </c>
      <c r="R44" s="774" t="s">
        <v>17</v>
      </c>
      <c r="S44" s="775">
        <f t="shared" si="10"/>
        <v>100</v>
      </c>
      <c r="T44" s="774" t="s">
        <v>17</v>
      </c>
      <c r="U44" s="775">
        <f t="shared" si="11"/>
        <v>100</v>
      </c>
      <c r="V44" s="774" t="s">
        <v>17</v>
      </c>
      <c r="W44" s="775">
        <f t="shared" si="12"/>
        <v>100</v>
      </c>
      <c r="X44" s="1813"/>
      <c r="Y44" s="3210"/>
      <c r="Z44" s="1814">
        <f t="shared" si="13"/>
        <v>111</v>
      </c>
      <c r="AA44" s="1811">
        <f t="shared" si="3"/>
        <v>1</v>
      </c>
      <c r="AB44" s="1811">
        <f t="shared" si="4"/>
        <v>1</v>
      </c>
      <c r="AC44" s="1811">
        <f t="shared" si="5"/>
        <v>1</v>
      </c>
    </row>
    <row r="45" spans="1:29" s="471" customFormat="1" ht="15.75" hidden="1"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0"/>
      <c r="Q45" s="1810">
        <f t="shared" si="14"/>
        <v>111</v>
      </c>
      <c r="R45" s="777" t="s">
        <v>17</v>
      </c>
      <c r="S45" s="778">
        <f t="shared" si="10"/>
        <v>100</v>
      </c>
      <c r="T45" s="777" t="s">
        <v>17</v>
      </c>
      <c r="U45" s="778">
        <f t="shared" si="11"/>
        <v>100</v>
      </c>
      <c r="V45" s="777" t="s">
        <v>17</v>
      </c>
      <c r="W45" s="778">
        <f t="shared" si="12"/>
        <v>100</v>
      </c>
      <c r="X45" s="779"/>
      <c r="Y45" s="3210"/>
      <c r="Z45" s="780">
        <f t="shared" si="13"/>
        <v>111</v>
      </c>
      <c r="AA45" s="1811">
        <f t="shared" si="3"/>
        <v>1</v>
      </c>
      <c r="AB45" s="1811">
        <f t="shared" si="4"/>
        <v>1</v>
      </c>
      <c r="AC45" s="1811">
        <f t="shared" si="5"/>
        <v>1</v>
      </c>
    </row>
    <row r="46" spans="1:29" ht="15">
      <c r="A46" s="479" t="s">
        <v>2716</v>
      </c>
      <c r="B46" s="2700" t="s">
        <v>2751</v>
      </c>
      <c r="C46" s="682" t="s">
        <v>1</v>
      </c>
      <c r="D46" s="481"/>
      <c r="E46" s="482">
        <v>9394</v>
      </c>
      <c r="F46" s="483"/>
      <c r="G46" s="484">
        <v>10159</v>
      </c>
      <c r="H46" s="485"/>
      <c r="I46" s="482">
        <v>8275</v>
      </c>
      <c r="J46" s="485"/>
      <c r="K46" s="783"/>
      <c r="L46" s="1143"/>
      <c r="M46" s="1144"/>
      <c r="N46" s="1131"/>
      <c r="O46" s="1144"/>
      <c r="P46" s="3192" t="str">
        <f>A46</f>
        <v>成交单价</v>
      </c>
      <c r="Q46" s="3192"/>
      <c r="R46" s="3205">
        <f>E46</f>
        <v>9394</v>
      </c>
      <c r="S46" s="3205"/>
      <c r="T46" s="3205">
        <f>G46</f>
        <v>10159</v>
      </c>
      <c r="U46" s="3205"/>
      <c r="V46" s="3205">
        <f>I46</f>
        <v>8275</v>
      </c>
      <c r="W46" s="3205"/>
      <c r="X46" s="759"/>
      <c r="Y46" s="781"/>
      <c r="Z46" s="759"/>
      <c r="AA46" s="759"/>
      <c r="AB46" s="759"/>
      <c r="AC46" s="759"/>
    </row>
    <row r="47" spans="1:29" ht="15.75" thickBot="1">
      <c r="A47" s="486" t="s">
        <v>2665</v>
      </c>
      <c r="B47" s="683"/>
      <c r="C47" s="490">
        <f>R48</f>
        <v>9301</v>
      </c>
      <c r="D47" s="489"/>
      <c r="E47" s="490">
        <f>R47</f>
        <v>8838</v>
      </c>
      <c r="F47" s="491"/>
      <c r="G47" s="488">
        <f>T47</f>
        <v>10324</v>
      </c>
      <c r="H47" s="489"/>
      <c r="I47" s="490">
        <f>V47</f>
        <v>8741</v>
      </c>
      <c r="J47" s="489"/>
      <c r="K47" s="784"/>
      <c r="L47" s="1143"/>
      <c r="M47" s="1144"/>
      <c r="N47" s="1144"/>
      <c r="O47" s="1144"/>
      <c r="P47" s="3192" t="str">
        <f>A47</f>
        <v>比较价值（元/平方米）</v>
      </c>
      <c r="Q47" s="3192"/>
      <c r="R47" s="3211">
        <f>ROUND(PRODUCT(R46,AA7:AA45),0)</f>
        <v>8838</v>
      </c>
      <c r="S47" s="3211"/>
      <c r="T47" s="3211">
        <f>ROUND(PRODUCT(T46,AB7:AB45),0)</f>
        <v>10324</v>
      </c>
      <c r="U47" s="3211"/>
      <c r="V47" s="3211">
        <f>ROUND(PRODUCT(V46,AC7:AC45),0)</f>
        <v>8741</v>
      </c>
      <c r="W47" s="3211"/>
      <c r="X47" s="759"/>
      <c r="Y47" s="759"/>
      <c r="Z47" s="759"/>
      <c r="AA47" s="759"/>
      <c r="AB47" s="759"/>
      <c r="AC47" s="759"/>
    </row>
    <row r="48" spans="1:29" ht="15.75" thickBot="1">
      <c r="A48" s="492" t="s">
        <v>2752</v>
      </c>
      <c r="B48" s="493"/>
      <c r="C48" s="494">
        <f>R48</f>
        <v>9301</v>
      </c>
      <c r="D48" s="494"/>
      <c r="E48" s="494"/>
      <c r="F48" s="494"/>
      <c r="G48" s="494"/>
      <c r="H48" s="494"/>
      <c r="I48" s="494"/>
      <c r="J48" s="494"/>
      <c r="K48" s="785"/>
      <c r="L48" s="1143"/>
      <c r="M48" s="1144"/>
      <c r="N48" s="1144"/>
      <c r="O48" s="1144"/>
      <c r="P48" s="3212" t="str">
        <f>A48</f>
        <v>估价对象XX用房的比较价值（楼面单价，元/平方米）</v>
      </c>
      <c r="Q48" s="3213"/>
      <c r="R48" s="3214">
        <f>ROUND(AVERAGE(R47:V47),0)</f>
        <v>9301</v>
      </c>
      <c r="S48" s="3214"/>
      <c r="T48" s="3214"/>
      <c r="U48" s="3214"/>
      <c r="V48" s="3214"/>
      <c r="W48" s="321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f>IF(E46&lt;E47,E47/E46-1,E46/E47-1)</f>
        <v>6.2910160669834791E-2</v>
      </c>
      <c r="F51" s="500" t="str">
        <f>IF(OR(E51&gt;=0.3,E51&lt;=-0.3),"超过30%","")</f>
        <v/>
      </c>
      <c r="G51" s="499">
        <f>IF(G46&lt;G47,G47/G46-1,G46/G47-1)</f>
        <v>1.6241756078354097E-2</v>
      </c>
      <c r="H51" s="500" t="str">
        <f>IF(OR(G51&gt;=0.3,G51&lt;=-0.3),"超过30%","")</f>
        <v/>
      </c>
      <c r="I51" s="499">
        <f>IF(I46&lt;I47,I47/I46-1,I46/I47-1)</f>
        <v>5.6314199395770315E-2</v>
      </c>
      <c r="J51" s="500" t="str">
        <f>IF(OR(I51&gt;=0.3,I51&lt;=-0.3),"超过30%","")</f>
        <v/>
      </c>
      <c r="K51" s="1105"/>
      <c r="L51" s="1106"/>
      <c r="M51" s="1144"/>
      <c r="N51" s="1144"/>
      <c r="O51" s="1144"/>
    </row>
    <row r="52" spans="1:15" ht="13.5" customHeight="1">
      <c r="A52" s="1144"/>
      <c r="B52" s="1144"/>
      <c r="C52" s="497" t="s">
        <v>2668</v>
      </c>
      <c r="D52" s="501"/>
      <c r="E52" s="499">
        <f>IF(E47&lt;G47,G47/E47-1,E47/G47-1)</f>
        <v>0.16813758768952258</v>
      </c>
      <c r="F52" s="500" t="str">
        <f>IF(OR(E52&gt;=0.2,E52&lt;=-0.2),"超过20%","")</f>
        <v/>
      </c>
      <c r="G52" s="499">
        <f>IF(G47&lt;I47,I47/G47-1,G47/I47-1)</f>
        <v>0.18110056057659296</v>
      </c>
      <c r="H52" s="500" t="str">
        <f>IF(OR(G52&gt;=0.2,G52&lt;=-0.2),"超过20%","")</f>
        <v/>
      </c>
      <c r="I52" s="499">
        <f>IF(I47&lt;E47,E47/I47-1,I47/E47-1)</f>
        <v>1.1097128475002771E-2</v>
      </c>
      <c r="J52" s="500" t="str">
        <f>IF(OR(I52&gt;=0.2,I52&lt;=-0.2),"超过20%","")</f>
        <v/>
      </c>
      <c r="K52" s="1105"/>
      <c r="L52" s="1106"/>
      <c r="M52" s="1144"/>
      <c r="N52" s="1144"/>
      <c r="O52" s="1144"/>
    </row>
    <row r="53" spans="1:15" s="502" customFormat="1" ht="13.5" customHeight="1">
      <c r="A53" s="1145"/>
      <c r="B53" s="1145"/>
      <c r="C53" s="497" t="s">
        <v>2669</v>
      </c>
      <c r="D53" s="501"/>
      <c r="E53" s="499">
        <f>IF(E46&lt;G46,G46/E46-1,E46/G46-1)</f>
        <v>8.1434958484138731E-2</v>
      </c>
      <c r="F53" s="500" t="str">
        <f>IF(OR(E53&gt;=0.3,E53&lt;=-0.3),"超过30%","")</f>
        <v/>
      </c>
      <c r="G53" s="499">
        <f>IF(G46&lt;I46,I46/G46-1,G46/I46-1)</f>
        <v>0.22767371601208453</v>
      </c>
      <c r="H53" s="500" t="str">
        <f>IF(OR(G53&gt;=0.3,G53&lt;=-0.3),"超过30%","")</f>
        <v/>
      </c>
      <c r="I53" s="499">
        <f>IF(I46&lt;E46,E46/I46-1,I46/E46-1)</f>
        <v>0.13522658610271909</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701" t="s">
        <v>2755</v>
      </c>
      <c r="D55" s="2702" t="s">
        <v>2756</v>
      </c>
      <c r="E55" s="686" t="s">
        <v>2757</v>
      </c>
      <c r="F55" s="1107" t="s">
        <v>2758</v>
      </c>
      <c r="G55" s="3193" t="s">
        <v>2759</v>
      </c>
      <c r="H55" s="3215"/>
      <c r="I55" s="144" t="s">
        <v>2760</v>
      </c>
      <c r="J55" s="2703">
        <f>项目基本情况!F35</f>
        <v>0</v>
      </c>
      <c r="K55" s="2704" t="s">
        <v>2761</v>
      </c>
      <c r="L55" s="1106"/>
      <c r="M55" s="1144"/>
      <c r="N55" s="1144"/>
      <c r="O55" s="1144"/>
    </row>
    <row r="56" spans="1:15" s="692" customFormat="1">
      <c r="A56" s="688" t="s">
        <v>2762</v>
      </c>
      <c r="B56" s="689">
        <f>C48</f>
        <v>9301</v>
      </c>
      <c r="C56" s="690">
        <v>1</v>
      </c>
      <c r="D56" s="1163">
        <v>1</v>
      </c>
      <c r="E56" s="690">
        <f>'数据-汇总表'!E8+'数据-汇总表'!E9</f>
        <v>37976.329999999965</v>
      </c>
      <c r="F56" s="1103">
        <f t="shared" ref="F56:F65" si="15">ROUND(B56*E56/10000,0)</f>
        <v>35322</v>
      </c>
      <c r="G56" s="3216"/>
      <c r="H56" s="3192"/>
      <c r="I56" s="1108">
        <v>1</v>
      </c>
      <c r="J56" s="1111">
        <v>1</v>
      </c>
      <c r="K56" s="1145"/>
      <c r="L56" s="941"/>
      <c r="M56" s="941"/>
      <c r="N56" s="941"/>
      <c r="O56" s="941"/>
    </row>
    <row r="57" spans="1:15" s="692" customFormat="1">
      <c r="A57" s="693" t="s">
        <v>2763</v>
      </c>
      <c r="B57" s="262">
        <f>ROUND($C$48*C57*D57,0)</f>
        <v>1628</v>
      </c>
      <c r="C57" s="200">
        <f t="shared" ref="C57:C65" si="16">IF($C$55="北京市系数",I57,J57)</f>
        <v>0.7</v>
      </c>
      <c r="D57" s="1164">
        <v>0.25</v>
      </c>
      <c r="E57" s="694"/>
      <c r="F57" s="1103">
        <f t="shared" si="15"/>
        <v>0</v>
      </c>
      <c r="G57" s="3217" t="s">
        <v>2764</v>
      </c>
      <c r="H57" s="1104" t="str">
        <f>项目基本情况!B37</f>
        <v>七级</v>
      </c>
      <c r="I57" s="1108">
        <f>SUMIF(修正!A45:A56,H57,修正!B45:B56)</f>
        <v>0.7</v>
      </c>
      <c r="J57" s="1112"/>
      <c r="K57" s="1144"/>
      <c r="L57" s="941"/>
      <c r="M57" s="941"/>
      <c r="N57" s="941"/>
      <c r="O57" s="941"/>
    </row>
    <row r="58" spans="1:15" s="692" customFormat="1">
      <c r="A58" s="693" t="s">
        <v>2765</v>
      </c>
      <c r="B58" s="262">
        <f t="shared" ref="B58:B65" si="17">ROUND($C$48*C58*D58,0)</f>
        <v>930</v>
      </c>
      <c r="C58" s="200">
        <f t="shared" si="16"/>
        <v>0.4</v>
      </c>
      <c r="D58" s="1164">
        <v>0.25</v>
      </c>
      <c r="E58" s="694"/>
      <c r="F58" s="1103">
        <f t="shared" si="15"/>
        <v>0</v>
      </c>
      <c r="G58" s="3217"/>
      <c r="H58" s="1104" t="str">
        <f>项目基本情况!B37</f>
        <v>七级</v>
      </c>
      <c r="I58" s="1108">
        <f>SUMIF(修正!A45:A56,H58,修正!C45:C56)</f>
        <v>0.4</v>
      </c>
      <c r="J58" s="1112"/>
      <c r="K58" s="1145"/>
      <c r="L58" s="941"/>
      <c r="M58" s="941"/>
      <c r="N58" s="941"/>
      <c r="O58" s="941"/>
    </row>
    <row r="59" spans="1:15" s="692" customFormat="1">
      <c r="A59" s="693" t="s">
        <v>2766</v>
      </c>
      <c r="B59" s="262">
        <f t="shared" si="17"/>
        <v>651</v>
      </c>
      <c r="C59" s="200">
        <f t="shared" si="16"/>
        <v>0.28000000000000003</v>
      </c>
      <c r="D59" s="1164">
        <v>0.25</v>
      </c>
      <c r="E59" s="694"/>
      <c r="F59" s="1103">
        <f t="shared" si="15"/>
        <v>0</v>
      </c>
      <c r="G59" s="3217"/>
      <c r="H59" s="1104" t="str">
        <f>项目基本情况!B37</f>
        <v>七级</v>
      </c>
      <c r="I59" s="1108">
        <f>SUMIF(修正!A45:A56,H59,修正!D45:D56)</f>
        <v>0.28000000000000003</v>
      </c>
      <c r="J59" s="1112"/>
      <c r="K59" s="1144"/>
      <c r="L59" s="941"/>
      <c r="M59" s="941"/>
      <c r="N59" s="941"/>
      <c r="O59" s="941"/>
    </row>
    <row r="60" spans="1:15" s="692" customFormat="1">
      <c r="A60" s="693" t="s">
        <v>2767</v>
      </c>
      <c r="B60" s="262">
        <f t="shared" si="17"/>
        <v>581</v>
      </c>
      <c r="C60" s="200">
        <f t="shared" si="16"/>
        <v>0.25</v>
      </c>
      <c r="D60" s="1164">
        <v>0.25</v>
      </c>
      <c r="E60" s="694"/>
      <c r="F60" s="1103">
        <f t="shared" si="15"/>
        <v>0</v>
      </c>
      <c r="G60" s="3217"/>
      <c r="H60" s="1104" t="str">
        <f>项目基本情况!B37</f>
        <v>七级</v>
      </c>
      <c r="I60" s="1108">
        <f>SUMIF(修正!A45:A56,H60,修正!E45:E56)</f>
        <v>0.25</v>
      </c>
      <c r="J60" s="1112"/>
      <c r="K60" s="1145"/>
      <c r="L60" s="941"/>
      <c r="M60" s="941"/>
      <c r="N60" s="941"/>
      <c r="O60" s="941"/>
    </row>
    <row r="61" spans="1:15" s="692" customFormat="1">
      <c r="A61" s="693" t="s">
        <v>2768</v>
      </c>
      <c r="B61" s="262">
        <f t="shared" si="17"/>
        <v>581</v>
      </c>
      <c r="C61" s="200">
        <f t="shared" si="16"/>
        <v>0.25</v>
      </c>
      <c r="D61" s="1164">
        <v>0.25</v>
      </c>
      <c r="E61" s="261">
        <f>'数据-汇总表'!E11</f>
        <v>0</v>
      </c>
      <c r="F61" s="1103">
        <f t="shared" si="15"/>
        <v>0</v>
      </c>
      <c r="G61" s="2705" t="s">
        <v>2769</v>
      </c>
      <c r="H61" s="1104" t="str">
        <f>项目基本情况!C37</f>
        <v>七级</v>
      </c>
      <c r="I61" s="1108">
        <f>SUMIF(修正!A45:A56,H61,修正!F45:F56)</f>
        <v>0.25</v>
      </c>
      <c r="J61" s="1112"/>
      <c r="K61" s="1144"/>
      <c r="L61" s="941"/>
      <c r="M61" s="941"/>
      <c r="N61" s="941"/>
      <c r="O61" s="941"/>
    </row>
    <row r="62" spans="1:15" s="692" customFormat="1">
      <c r="A62" s="693" t="s">
        <v>2770</v>
      </c>
      <c r="B62" s="262">
        <f t="shared" si="17"/>
        <v>581</v>
      </c>
      <c r="C62" s="200">
        <f t="shared" si="16"/>
        <v>0.25</v>
      </c>
      <c r="D62" s="1164">
        <v>0.25</v>
      </c>
      <c r="E62" s="261">
        <f>'数据-汇总表'!E12</f>
        <v>0</v>
      </c>
      <c r="F62" s="1103">
        <f t="shared" si="15"/>
        <v>0</v>
      </c>
      <c r="G62" s="1109" t="s">
        <v>2771</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2772</v>
      </c>
      <c r="B63" s="262">
        <f t="shared" si="17"/>
        <v>465</v>
      </c>
      <c r="C63" s="200">
        <f t="shared" si="16"/>
        <v>0.2</v>
      </c>
      <c r="D63" s="1164">
        <v>0.25</v>
      </c>
      <c r="E63" s="261">
        <f>'数据-汇总表'!E13</f>
        <v>26679.599999999999</v>
      </c>
      <c r="F63" s="1103">
        <f t="shared" si="15"/>
        <v>1241</v>
      </c>
      <c r="G63" s="1109" t="s">
        <v>2773</v>
      </c>
      <c r="H63" s="1104" t="str">
        <f>IF(G63="商业",项目基本情况!B37,IF(G63="办公",项目基本情况!C37,IF(G63="住宅",项目基本情况!D37,项目基本情况!E37)))</f>
        <v>七级</v>
      </c>
      <c r="I63" s="1108">
        <f>SUMIF(修正!A45:A56,H63,修正!H45:H56)</f>
        <v>0.2</v>
      </c>
      <c r="J63" s="1112"/>
      <c r="K63" s="1144"/>
      <c r="L63" s="941"/>
      <c r="M63" s="941"/>
      <c r="N63" s="941"/>
      <c r="O63" s="941"/>
    </row>
    <row r="64" spans="1:15" s="692" customFormat="1">
      <c r="A64" s="693" t="s">
        <v>2774</v>
      </c>
      <c r="B64" s="262">
        <f t="shared" si="17"/>
        <v>465</v>
      </c>
      <c r="C64" s="200">
        <f t="shared" si="16"/>
        <v>0.2</v>
      </c>
      <c r="D64" s="1164">
        <v>0.25</v>
      </c>
      <c r="E64" s="261">
        <f>'数据-汇总表'!E14</f>
        <v>0</v>
      </c>
      <c r="F64" s="1103">
        <f t="shared" si="15"/>
        <v>0</v>
      </c>
      <c r="G64" s="2705" t="s">
        <v>2764</v>
      </c>
      <c r="H64" s="1104" t="str">
        <f>项目基本情况!B37</f>
        <v>七级</v>
      </c>
      <c r="I64" s="1108">
        <f>SUMIF(修正!A45:A56,H64,修正!H45:H56)</f>
        <v>0.2</v>
      </c>
      <c r="J64" s="1112"/>
      <c r="K64" s="1145"/>
      <c r="L64" s="941"/>
      <c r="M64" s="941"/>
      <c r="N64" s="941"/>
      <c r="O64" s="941"/>
    </row>
    <row r="65" spans="1:17" s="692" customFormat="1" ht="15" thickBot="1">
      <c r="A65" s="693" t="s">
        <v>2775</v>
      </c>
      <c r="B65" s="262">
        <f t="shared" si="17"/>
        <v>465</v>
      </c>
      <c r="C65" s="200">
        <f t="shared" si="16"/>
        <v>0.2</v>
      </c>
      <c r="D65" s="1164">
        <v>0.25</v>
      </c>
      <c r="E65" s="261">
        <f>'数据-汇总表'!E15</f>
        <v>0</v>
      </c>
      <c r="F65" s="1103">
        <f t="shared" si="15"/>
        <v>0</v>
      </c>
      <c r="G65" s="2706" t="s">
        <v>2769</v>
      </c>
      <c r="H65" s="1114" t="str">
        <f>项目基本情况!C37</f>
        <v>七级</v>
      </c>
      <c r="I65" s="1110">
        <f>SUMIF(修正!A45:A56,H65,修正!H45:H56)</f>
        <v>0.2</v>
      </c>
      <c r="J65" s="1113"/>
      <c r="K65" s="1144"/>
      <c r="L65" s="941"/>
      <c r="M65" s="941"/>
      <c r="N65" s="941"/>
      <c r="O65" s="941"/>
    </row>
    <row r="66" spans="1:17" s="692" customFormat="1" ht="13.5" thickBot="1">
      <c r="A66" s="695" t="s">
        <v>2776</v>
      </c>
      <c r="B66" s="696" t="s">
        <v>28</v>
      </c>
      <c r="C66" s="696" t="s">
        <v>29</v>
      </c>
      <c r="D66" s="696" t="s">
        <v>1029</v>
      </c>
      <c r="E66" s="696">
        <f>IF(B46="楼面地价",SUM(E56:E65),'数据-汇总表'!D3)</f>
        <v>64655.929999999964</v>
      </c>
      <c r="F66" s="697">
        <f>IF(B46="楼面地价",SUM(F56:F65),ROUND(C48*E66/10000,0))</f>
        <v>36563</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07" t="s">
        <v>2777</v>
      </c>
      <c r="B70" s="1359"/>
      <c r="C70" s="1572" t="str">
        <f>YEAR(C68)&amp;"-"&amp;ROUNDUP(MONTH(C68)/3,0)</f>
        <v>2018-1</v>
      </c>
      <c r="D70" s="1572" t="str">
        <f>YEAR(D68)&amp;"-"&amp;ROUNDUP(MONTH(D68)/3,0)</f>
        <v>2017-4</v>
      </c>
      <c r="E70" s="1572" t="str">
        <f t="shared" ref="E70:O70" si="19">YEAR(E68)&amp;"-"&amp;ROUNDUP(MONTH(E68)/3,0)</f>
        <v>2017-3</v>
      </c>
      <c r="F70" s="1572" t="str">
        <f t="shared" si="19"/>
        <v>2017-2</v>
      </c>
      <c r="G70" s="1572" t="str">
        <f t="shared" si="19"/>
        <v>2017-1</v>
      </c>
      <c r="H70" s="1572" t="str">
        <f t="shared" si="19"/>
        <v>2016-4</v>
      </c>
      <c r="I70" s="1572" t="str">
        <f t="shared" si="19"/>
        <v>2016-3</v>
      </c>
      <c r="J70" s="1572" t="str">
        <f t="shared" si="19"/>
        <v>2016-2</v>
      </c>
      <c r="K70" s="1572" t="str">
        <f t="shared" si="19"/>
        <v>2016-1</v>
      </c>
      <c r="L70" s="1572" t="str">
        <f t="shared" si="19"/>
        <v>2015-4</v>
      </c>
      <c r="M70" s="1572" t="str">
        <f t="shared" si="19"/>
        <v>2015-3</v>
      </c>
      <c r="N70" s="1572" t="str">
        <f t="shared" si="19"/>
        <v>2015-2</v>
      </c>
      <c r="O70" s="1572" t="str">
        <f t="shared" si="19"/>
        <v>2015-1</v>
      </c>
      <c r="P70" s="507"/>
    </row>
    <row r="71" spans="1:17" s="117" customFormat="1" ht="30" customHeight="1">
      <c r="A71" s="2708" t="s">
        <v>2778</v>
      </c>
      <c r="B71" s="332" t="str">
        <f>"北京市平均增长率"&amp;TEXT(SUMIF(基准地价修正!N21:N25,A71,基准地价修正!P21:P25),"0.00%")</f>
        <v>北京市平均增长率2.55%</v>
      </c>
      <c r="C71" s="603">
        <v>100</v>
      </c>
      <c r="D71" s="595">
        <v>99.5</v>
      </c>
      <c r="E71" s="595">
        <v>99</v>
      </c>
      <c r="F71" s="595">
        <v>98.5</v>
      </c>
      <c r="G71" s="595">
        <v>98</v>
      </c>
      <c r="H71" s="595">
        <v>97.5</v>
      </c>
      <c r="I71" s="595">
        <v>97</v>
      </c>
      <c r="J71" s="595">
        <v>96.5</v>
      </c>
      <c r="K71" s="595">
        <v>96</v>
      </c>
      <c r="L71" s="595">
        <v>95.5</v>
      </c>
      <c r="M71" s="1567">
        <v>95</v>
      </c>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2980" t="s">
        <v>3160</v>
      </c>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3"/>
      <c r="O79" s="1153"/>
      <c r="P79" s="45"/>
      <c r="Q79" s="504"/>
    </row>
    <row r="80" spans="1:17" ht="15">
      <c r="A80" s="534"/>
      <c r="B80" s="548"/>
      <c r="C80" s="549">
        <v>0</v>
      </c>
      <c r="D80" s="549">
        <v>1</v>
      </c>
      <c r="E80" s="549">
        <v>2</v>
      </c>
      <c r="F80" s="549">
        <v>3</v>
      </c>
      <c r="G80" s="549">
        <v>4</v>
      </c>
      <c r="H80" s="549">
        <v>5</v>
      </c>
      <c r="I80" s="549">
        <v>6</v>
      </c>
      <c r="J80" s="549">
        <v>7</v>
      </c>
      <c r="K80" s="550">
        <v>8</v>
      </c>
      <c r="L80" s="550">
        <v>9</v>
      </c>
      <c r="M80" s="552">
        <v>10</v>
      </c>
      <c r="N80" s="1152"/>
      <c r="O80" s="1152"/>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27.75" thickTop="1">
      <c r="A82" s="553"/>
      <c r="B82" s="538">
        <f>B12</f>
        <v>0</v>
      </c>
      <c r="C82" s="2983" t="s">
        <v>3176</v>
      </c>
      <c r="D82" s="2983" t="s">
        <v>3177</v>
      </c>
      <c r="E82" s="2983" t="s">
        <v>3178</v>
      </c>
      <c r="F82" s="2983" t="s">
        <v>3179</v>
      </c>
      <c r="G82" s="554"/>
      <c r="H82" s="555"/>
      <c r="I82" s="555"/>
      <c r="J82" s="555"/>
      <c r="K82" s="555"/>
      <c r="L82" s="556"/>
      <c r="M82" s="557"/>
      <c r="N82" s="1154"/>
      <c r="O82" s="1154"/>
      <c r="P82" s="558"/>
      <c r="Q82" s="559"/>
    </row>
    <row r="83" spans="1:17" s="471" customFormat="1" ht="15.75" thickBot="1">
      <c r="A83" s="553"/>
      <c r="B83" s="543"/>
      <c r="C83" s="560">
        <v>100</v>
      </c>
      <c r="D83" s="536">
        <v>99</v>
      </c>
      <c r="E83" s="536">
        <v>99</v>
      </c>
      <c r="F83" s="536">
        <v>98</v>
      </c>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3"/>
      <c r="O105" s="1153"/>
      <c r="P105" s="45"/>
      <c r="Q105" s="504"/>
    </row>
    <row r="106" spans="1:17" ht="27.75" thickTop="1">
      <c r="A106" s="534"/>
      <c r="B106" s="538" t="s">
        <v>2687</v>
      </c>
      <c r="C106" s="2983" t="s">
        <v>3273</v>
      </c>
      <c r="D106" s="2983" t="s">
        <v>3274</v>
      </c>
      <c r="E106" s="2983" t="s">
        <v>3276</v>
      </c>
      <c r="F106" s="2983" t="s">
        <v>3278</v>
      </c>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2559</v>
      </c>
      <c r="B116" s="528" t="s">
        <v>2786</v>
      </c>
      <c r="C116" s="529" t="str">
        <f>C117&amp;"(含)"&amp;"-"&amp;D117</f>
        <v>0(含)-50000</v>
      </c>
      <c r="D116" s="529" t="str">
        <f t="shared" ref="D116:M116" si="25">D117&amp;"(含)"&amp;"-"&amp;E117</f>
        <v>50000(含)-100000</v>
      </c>
      <c r="E116" s="529" t="str">
        <f t="shared" si="25"/>
        <v>100000(含)-150000</v>
      </c>
      <c r="F116" s="529" t="str">
        <f t="shared" si="25"/>
        <v>150000(含)-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v>150000</v>
      </c>
      <c r="G117" s="595"/>
      <c r="H117" s="595"/>
      <c r="I117" s="595"/>
      <c r="J117" s="596"/>
      <c r="K117" s="596"/>
      <c r="L117" s="597"/>
      <c r="M117" s="598"/>
      <c r="N117" s="1152"/>
      <c r="O117" s="1152"/>
      <c r="P117" s="45"/>
      <c r="Q117" s="504"/>
    </row>
    <row r="118" spans="1:17" ht="15.75" thickBot="1">
      <c r="A118" s="534"/>
      <c r="B118" s="543"/>
      <c r="C118" s="570">
        <v>100</v>
      </c>
      <c r="D118" s="591">
        <v>103</v>
      </c>
      <c r="E118" s="591">
        <v>106</v>
      </c>
      <c r="F118" s="591">
        <v>109</v>
      </c>
      <c r="G118" s="591"/>
      <c r="H118" s="591"/>
      <c r="I118" s="591"/>
      <c r="J118" s="591"/>
      <c r="K118" s="591"/>
      <c r="L118" s="591"/>
      <c r="M118" s="592"/>
      <c r="N118" s="1153"/>
      <c r="O118" s="1153"/>
      <c r="P118" s="45"/>
      <c r="Q118" s="504"/>
    </row>
    <row r="119" spans="1:17" ht="15" thickTop="1">
      <c r="A119" s="599"/>
      <c r="B119" s="538" t="s">
        <v>2787</v>
      </c>
      <c r="C119" s="2982" t="s">
        <v>3162</v>
      </c>
      <c r="D119" s="2982" t="s">
        <v>3163</v>
      </c>
      <c r="E119" s="2982" t="s">
        <v>3164</v>
      </c>
      <c r="F119" s="2982" t="s">
        <v>3165</v>
      </c>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95</v>
      </c>
      <c r="E120" s="544">
        <f t="shared" si="26"/>
        <v>90</v>
      </c>
      <c r="F120" s="544">
        <f t="shared" si="26"/>
        <v>85</v>
      </c>
      <c r="G120" s="544">
        <f t="shared" si="26"/>
        <v>80</v>
      </c>
      <c r="H120" s="544">
        <f t="shared" si="26"/>
        <v>75</v>
      </c>
      <c r="I120" s="544">
        <f t="shared" si="26"/>
        <v>70</v>
      </c>
      <c r="J120" s="544">
        <f t="shared" si="26"/>
        <v>65</v>
      </c>
      <c r="K120" s="544">
        <f t="shared" si="26"/>
        <v>60</v>
      </c>
      <c r="L120" s="544">
        <f t="shared" si="26"/>
        <v>55</v>
      </c>
      <c r="M120" s="545">
        <f t="shared" si="26"/>
        <v>50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2983" t="s">
        <v>3166</v>
      </c>
      <c r="D123" s="2983" t="s">
        <v>3167</v>
      </c>
      <c r="E123" s="2983" t="s">
        <v>3168</v>
      </c>
      <c r="F123" s="2983" t="s">
        <v>3169</v>
      </c>
      <c r="G123" s="2983" t="s">
        <v>3170</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2" customWidth="1"/>
    <col min="33" max="36" width="9.375" style="2792" customWidth="1"/>
    <col min="37" max="38" width="9.375" style="2716" customWidth="1"/>
    <col min="39" max="16384" width="12" style="2716"/>
  </cols>
  <sheetData>
    <row r="1" spans="1:36" ht="28.5">
      <c r="A1" s="240" t="s">
        <v>2799</v>
      </c>
      <c r="B1" s="241"/>
      <c r="C1" s="245" t="s">
        <v>2800</v>
      </c>
      <c r="D1" s="388">
        <f>SUM(D29:D30,D33:D39)</f>
        <v>78727.759999999951</v>
      </c>
      <c r="E1" s="2713"/>
      <c r="F1" s="2713"/>
      <c r="G1" s="2713"/>
      <c r="H1" s="2713"/>
      <c r="I1" s="2713"/>
      <c r="J1" s="2713"/>
      <c r="K1" s="1370"/>
      <c r="L1" s="2714" t="s">
        <v>2801</v>
      </c>
      <c r="M1" s="1080">
        <f>SUMPRODUCT((区片价!B5:B9=I2)*(区片价!C3:F3=E2)*(区片价!C5:F9))</f>
        <v>0</v>
      </c>
      <c r="N1" s="1083">
        <f>SUMPRODUCT((因素修正幅度!B5:B9=I2)*(因素修正幅度!C3:F3=E2)*(因素修正幅度!C5:F9))</f>
        <v>0</v>
      </c>
      <c r="O1" s="2715"/>
      <c r="P1" s="2715"/>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f ca="1">C26</f>
        <v>61782</v>
      </c>
      <c r="C2" s="2717" t="s">
        <v>2808</v>
      </c>
      <c r="D2" s="2718" t="s">
        <v>2809</v>
      </c>
      <c r="E2" s="2719" t="s">
        <v>3124</v>
      </c>
      <c r="F2" s="2718" t="s">
        <v>2810</v>
      </c>
      <c r="G2" s="2720" t="str">
        <f>IF(E2="商业",项目基本情况!B37,IF(E2="办公",项目基本情况!C37,IF(E2="住宅",项目基本情况!D37,项目基本情况!E37)))</f>
        <v>七级</v>
      </c>
      <c r="H2" s="2718" t="s">
        <v>2811</v>
      </c>
      <c r="I2" s="2720" t="str">
        <f>IF(E2="商业",项目基本情况!B38,IF(E2="办公",项目基本情况!C38,IF(E2="住宅",项目基本情况!D38,项目基本情况!E38)))</f>
        <v>Ⅶ-昌5</v>
      </c>
      <c r="J2" s="2721"/>
      <c r="K2" s="1370"/>
      <c r="L2" s="2722" t="s">
        <v>2812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22135</v>
      </c>
      <c r="U2" s="1603"/>
      <c r="V2" s="1602">
        <f ca="1">ROUND(T2*U2/10000,0)</f>
        <v>0</v>
      </c>
      <c r="W2" s="1606"/>
      <c r="X2" s="1606"/>
      <c r="Y2" s="1606"/>
      <c r="Z2" s="1606"/>
      <c r="AA2" s="1606"/>
      <c r="AB2" s="1606"/>
      <c r="AC2" s="1607"/>
      <c r="AD2" s="1608"/>
      <c r="AE2" s="1608"/>
      <c r="AF2" s="1608"/>
      <c r="AG2" s="1608"/>
      <c r="AH2" s="1608"/>
      <c r="AI2" s="1608"/>
      <c r="AJ2" s="1609"/>
    </row>
    <row r="3" spans="1:36" ht="25.5">
      <c r="A3" s="247" t="s">
        <v>2813</v>
      </c>
      <c r="B3" s="248">
        <f ca="1">ROUND(B2*10000/D1,0)</f>
        <v>7848</v>
      </c>
      <c r="C3" s="2717" t="s">
        <v>2814</v>
      </c>
      <c r="D3" s="2718" t="s">
        <v>2815</v>
      </c>
      <c r="E3" s="2723" t="s">
        <v>3139</v>
      </c>
      <c r="F3" s="2724" t="s">
        <v>2816</v>
      </c>
      <c r="G3" s="913">
        <f>IF(F3="宗地容积率",'数据-汇总表'!I4,IF(F3="估价对象容积率",'数据-汇总表'!I6,'数据-汇总表'!I7))</f>
        <v>1.51</v>
      </c>
      <c r="H3" s="198" t="s">
        <v>2817</v>
      </c>
      <c r="I3" s="944"/>
      <c r="J3" s="2721" t="s">
        <v>2818</v>
      </c>
      <c r="K3" s="1370"/>
      <c r="L3" s="2722" t="s">
        <v>2819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15888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32"/>
      <c r="B4" s="3233"/>
      <c r="C4" s="3233"/>
      <c r="D4" s="3234"/>
      <c r="E4" s="3234"/>
      <c r="F4" s="3234"/>
      <c r="G4" s="3234"/>
      <c r="H4" s="3234"/>
      <c r="I4" s="3234"/>
      <c r="J4" s="3235"/>
      <c r="K4" s="1370"/>
      <c r="L4" s="2722" t="s">
        <v>2820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12818</v>
      </c>
      <c r="U4" s="1603"/>
      <c r="V4" s="1602">
        <f t="shared" ca="1" si="1"/>
        <v>0</v>
      </c>
      <c r="W4" s="1606"/>
      <c r="X4" s="1606"/>
      <c r="Y4" s="1606"/>
      <c r="Z4" s="1606"/>
      <c r="AA4" s="1606"/>
      <c r="AB4" s="1606"/>
      <c r="AC4" s="1607"/>
      <c r="AD4" s="1608"/>
      <c r="AE4" s="1608"/>
      <c r="AF4" s="1608"/>
      <c r="AG4" s="1608"/>
      <c r="AH4" s="1608"/>
      <c r="AI4" s="1608"/>
      <c r="AJ4" s="1609"/>
    </row>
    <row r="5" spans="1:36" s="2734" customFormat="1" ht="15.75" thickBot="1">
      <c r="A5" s="2725" t="s">
        <v>807</v>
      </c>
      <c r="B5" s="2726" t="s">
        <v>2821</v>
      </c>
      <c r="C5" s="914">
        <f>ROUND(IF(E2="商业",IF(F16="增加",C6*C7+C16,C6*C7-C16),IF(E2="住宅",IF(F16="增加",C6*C12+C16,C6*C12-C16),IF(F16="增加",C6+C16,C6-C16))),0)</f>
        <v>7570</v>
      </c>
      <c r="D5" s="1787">
        <f>ROUND(IF(E2="商业",IF(F16="增加",C6+C16,C6-C16)),0)</f>
        <v>0</v>
      </c>
      <c r="E5" s="2727"/>
      <c r="F5" s="2727"/>
      <c r="G5" s="2728"/>
      <c r="H5" s="2728"/>
      <c r="I5" s="2728"/>
      <c r="J5" s="2729"/>
      <c r="K5" s="2730"/>
      <c r="L5" s="2722" t="s">
        <v>2822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10285</v>
      </c>
      <c r="U5" s="1603"/>
      <c r="V5" s="1602">
        <f t="shared" ca="1" si="1"/>
        <v>0</v>
      </c>
      <c r="W5" s="1606"/>
      <c r="X5" s="1606"/>
      <c r="Y5" s="1606"/>
      <c r="Z5" s="1606"/>
      <c r="AA5" s="1606"/>
      <c r="AB5" s="1606"/>
      <c r="AC5" s="2731"/>
      <c r="AD5" s="2732"/>
      <c r="AE5" s="2732"/>
      <c r="AF5" s="2732"/>
      <c r="AG5" s="2732"/>
      <c r="AH5" s="2732"/>
      <c r="AI5" s="2732"/>
      <c r="AJ5" s="2733"/>
    </row>
    <row r="6" spans="1:36" ht="15.75" thickBot="1">
      <c r="A6" s="2735" t="s">
        <v>2823</v>
      </c>
      <c r="B6" s="2736" t="s">
        <v>2824</v>
      </c>
      <c r="C6" s="915">
        <f>SUMIF(L1:L12,G2,M1:M12)</f>
        <v>7570</v>
      </c>
      <c r="D6" s="2737" t="s">
        <v>2825</v>
      </c>
      <c r="E6" s="2738"/>
      <c r="F6" s="2738"/>
      <c r="G6" s="2739"/>
      <c r="H6" s="2739"/>
      <c r="I6" s="2739"/>
      <c r="J6" s="2740"/>
      <c r="K6" s="1842"/>
      <c r="L6" s="2722" t="s">
        <v>2826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8758</v>
      </c>
      <c r="U6" s="1603"/>
      <c r="V6" s="1602">
        <f t="shared" ca="1" si="1"/>
        <v>0</v>
      </c>
      <c r="W6" s="1606"/>
      <c r="X6" s="1606"/>
      <c r="Y6" s="1606"/>
      <c r="Z6" s="1606"/>
      <c r="AA6" s="1606"/>
      <c r="AB6" s="1606"/>
      <c r="AC6" s="2731"/>
      <c r="AD6" s="2732"/>
      <c r="AE6" s="2732"/>
      <c r="AF6" s="2732"/>
      <c r="AG6" s="2732"/>
      <c r="AH6" s="2732"/>
      <c r="AI6" s="2732"/>
      <c r="AJ6" s="2733"/>
    </row>
    <row r="7" spans="1:36" ht="24">
      <c r="A7" s="3218" t="str">
        <f>IF(E2="商业",IF(C8="不临58条商业街","",2),"")</f>
        <v/>
      </c>
      <c r="B7" s="2741" t="s">
        <v>2827</v>
      </c>
      <c r="C7" s="916" t="e">
        <f>IF(C8="不临58条商业街",1,ROUND(1+(1.6*E8+1.2*E9+0.8*E10+0.4*E11)*C9,4))</f>
        <v>#DIV/0!</v>
      </c>
      <c r="D7" s="2742" t="s">
        <v>2828</v>
      </c>
      <c r="E7" s="945"/>
      <c r="F7" s="2743"/>
      <c r="G7" s="2744"/>
      <c r="H7" s="2744"/>
      <c r="I7" s="2744"/>
      <c r="J7" s="2745"/>
      <c r="K7" s="1842"/>
      <c r="L7" s="2722" t="s">
        <v>2829</v>
      </c>
      <c r="M7" s="1081">
        <f>SUMPRODUCT((区片价!B158:B205=I2)*(区片价!C3:F3=E2)*(区片价!C158:F205))</f>
        <v>7570</v>
      </c>
      <c r="N7" s="1083">
        <f>SUMPRODUCT((因素修正幅度!B158:B205=I2)*(因素修正幅度!C3:F3=E2)*(因素修正幅度!C158:F205))</f>
        <v>0.127</v>
      </c>
      <c r="O7" s="1370"/>
      <c r="P7" s="1370"/>
      <c r="Q7" s="1370"/>
      <c r="R7" s="1602">
        <v>6</v>
      </c>
      <c r="S7" s="1602">
        <f>ROUND(IF(G3&gt;1,IF(R7&lt;7,SUMPRODUCT((B93:B98=R7)*(C92:N92=G2)*(C93:N98)),SUMIF(C92:N92,G2,C100:N100)),IF(R7&lt;7,SUMPRODUCT((B102:B107=R7)*(C92:N92=G2)*(C102:N107)),SUMIF(C92:N92,G2,C109:N109))),4)</f>
        <v>0.6482</v>
      </c>
      <c r="T7" s="1602">
        <f t="shared" ca="1" si="0"/>
        <v>7702</v>
      </c>
      <c r="U7" s="1603"/>
      <c r="V7" s="1602">
        <f t="shared" ca="1" si="1"/>
        <v>0</v>
      </c>
      <c r="W7" s="1816" t="s">
        <v>2830</v>
      </c>
      <c r="X7" s="1604" t="str">
        <f>G2</f>
        <v>七级</v>
      </c>
      <c r="Y7" s="1604" t="s">
        <v>2831</v>
      </c>
      <c r="Z7" s="1605">
        <f>G3</f>
        <v>1.51</v>
      </c>
      <c r="AA7" s="1606"/>
      <c r="AB7" s="1606"/>
      <c r="AC7" s="1607"/>
      <c r="AD7" s="1608"/>
      <c r="AE7" s="1608"/>
      <c r="AF7" s="1608"/>
      <c r="AG7" s="1608"/>
      <c r="AH7" s="1608"/>
      <c r="AI7" s="1608"/>
      <c r="AJ7" s="1609"/>
    </row>
    <row r="8" spans="1:36" ht="15">
      <c r="A8" s="3219"/>
      <c r="B8" s="198" t="s">
        <v>2832</v>
      </c>
      <c r="C8" s="2746"/>
      <c r="D8" s="917" t="s">
        <v>139</v>
      </c>
      <c r="E8" s="918" t="e">
        <f>ROUND(C11/E7,4)</f>
        <v>#DIV/0!</v>
      </c>
      <c r="F8" s="2747" t="s">
        <v>2833</v>
      </c>
      <c r="G8" s="2748"/>
      <c r="H8" s="2748"/>
      <c r="I8" s="2748"/>
      <c r="J8" s="2749"/>
      <c r="K8" s="1370"/>
      <c r="L8" s="2722"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29" t="s">
        <v>2835</v>
      </c>
      <c r="X8" s="3230"/>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219"/>
      <c r="B9" s="198" t="s">
        <v>2848</v>
      </c>
      <c r="C9" s="919">
        <f>SUMIF(修正!C59:C119,C8,修正!E59:E119)</f>
        <v>0</v>
      </c>
      <c r="D9" s="200" t="s">
        <v>140</v>
      </c>
      <c r="E9" s="200" t="e">
        <f>ROUND(C11/E7,4)</f>
        <v>#DIV/0!</v>
      </c>
      <c r="F9" s="2747" t="s">
        <v>2849</v>
      </c>
      <c r="G9" s="2748"/>
      <c r="H9" s="2748"/>
      <c r="I9" s="2748"/>
      <c r="J9" s="2749"/>
      <c r="K9" s="1370"/>
      <c r="L9" s="2722"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31" t="s">
        <v>2851</v>
      </c>
      <c r="X9" s="1611" t="s">
        <v>2852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19"/>
      <c r="B10" s="198" t="s">
        <v>2853</v>
      </c>
      <c r="C10" s="200">
        <f>SUMIF(修正!C59:C119,C8,修正!F59:F119)</f>
        <v>0</v>
      </c>
      <c r="D10" s="200" t="s">
        <v>141</v>
      </c>
      <c r="E10" s="200" t="e">
        <f>ROUND(C11/E7,4)</f>
        <v>#DIV/0!</v>
      </c>
      <c r="F10" s="2747" t="s">
        <v>2854</v>
      </c>
      <c r="G10" s="2748"/>
      <c r="H10" s="2748"/>
      <c r="I10" s="2748"/>
      <c r="J10" s="2749"/>
      <c r="K10" s="1370"/>
      <c r="L10" s="2722"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3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19"/>
      <c r="B11" s="2750" t="s">
        <v>2856</v>
      </c>
      <c r="C11" s="920">
        <f>C10/4</f>
        <v>0</v>
      </c>
      <c r="D11" s="920" t="s">
        <v>142</v>
      </c>
      <c r="E11" s="920" t="e">
        <f>ROUND(C11/E7,4)</f>
        <v>#DIV/0!</v>
      </c>
      <c r="F11" s="2751" t="s">
        <v>2857</v>
      </c>
      <c r="G11" s="2752"/>
      <c r="H11" s="2752"/>
      <c r="I11" s="2752"/>
      <c r="J11" s="2753"/>
      <c r="K11" s="1370"/>
      <c r="L11" s="2722"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31" t="s">
        <v>2859</v>
      </c>
      <c r="X11" s="1614" t="s">
        <v>2860</v>
      </c>
      <c r="Y11" s="1615">
        <f>$G$3</f>
        <v>1.51</v>
      </c>
      <c r="Z11" s="1615">
        <f t="shared" ref="Z11:AJ11" si="3">$G$3</f>
        <v>1.51</v>
      </c>
      <c r="AA11" s="1615">
        <f t="shared" si="3"/>
        <v>1.51</v>
      </c>
      <c r="AB11" s="1615">
        <f t="shared" si="3"/>
        <v>1.51</v>
      </c>
      <c r="AC11" s="1615">
        <f t="shared" si="3"/>
        <v>1.51</v>
      </c>
      <c r="AD11" s="1615">
        <f t="shared" si="3"/>
        <v>1.51</v>
      </c>
      <c r="AE11" s="1615">
        <f t="shared" si="3"/>
        <v>1.51</v>
      </c>
      <c r="AF11" s="1615">
        <f t="shared" si="3"/>
        <v>1.51</v>
      </c>
      <c r="AG11" s="1615">
        <f t="shared" si="3"/>
        <v>1.51</v>
      </c>
      <c r="AH11" s="1615">
        <f t="shared" si="3"/>
        <v>1.51</v>
      </c>
      <c r="AI11" s="1615">
        <f t="shared" si="3"/>
        <v>1.51</v>
      </c>
      <c r="AJ11" s="1615">
        <f t="shared" si="3"/>
        <v>1.51</v>
      </c>
    </row>
    <row r="12" spans="1:36" ht="25.5" thickBot="1">
      <c r="A12" s="3218" t="s">
        <v>2861</v>
      </c>
      <c r="B12" s="2754" t="s">
        <v>2862</v>
      </c>
      <c r="C12" s="916">
        <f>ROUND(C15*D15*E15*F15*G15*H15*I15*J15,4)</f>
        <v>1</v>
      </c>
      <c r="D12" s="2755" t="s">
        <v>2863</v>
      </c>
      <c r="E12" s="2756"/>
      <c r="F12" s="2756"/>
      <c r="G12" s="2757"/>
      <c r="H12" s="2757"/>
      <c r="I12" s="2757"/>
      <c r="J12" s="2758"/>
      <c r="K12" s="1370"/>
      <c r="L12" s="2759"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31"/>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36"/>
      <c r="B13" s="2760" t="s">
        <v>2866</v>
      </c>
      <c r="C13" s="2761" t="s">
        <v>2867</v>
      </c>
      <c r="D13" s="1808" t="s">
        <v>2868</v>
      </c>
      <c r="E13" s="1808" t="s">
        <v>2869</v>
      </c>
      <c r="F13" s="30" t="s">
        <v>2870</v>
      </c>
      <c r="G13" s="2762" t="s">
        <v>2871</v>
      </c>
      <c r="H13" s="2762" t="s">
        <v>2871</v>
      </c>
      <c r="I13" s="2762" t="s">
        <v>2871</v>
      </c>
      <c r="J13" s="2763" t="s">
        <v>2871</v>
      </c>
      <c r="K13" s="1370"/>
      <c r="L13" s="1370"/>
      <c r="M13" s="1370"/>
      <c r="N13" s="1370"/>
      <c r="O13" s="1370"/>
      <c r="P13" s="1370"/>
      <c r="Q13" s="1370"/>
      <c r="R13" s="1602">
        <v>12</v>
      </c>
      <c r="S13" s="1603"/>
      <c r="T13" s="1602">
        <f t="shared" ca="1" si="0"/>
        <v>0</v>
      </c>
      <c r="U13" s="1603"/>
      <c r="V13" s="1602">
        <f t="shared" ca="1" si="1"/>
        <v>0</v>
      </c>
      <c r="W13" s="3231"/>
      <c r="X13" s="1616"/>
      <c r="Y13" s="1613">
        <f>(-0.163*(Y12^2)-0.59*Y12+7617)*(10^(-4))/Y11</f>
        <v>0.5044370860927152</v>
      </c>
      <c r="Z13" s="1613">
        <f t="shared" ref="Z13:AJ13" si="5">(-0.163*(Z12^2)-0.59*Z12+7617)*(10^(-4))/Z11</f>
        <v>0.5044370860927152</v>
      </c>
      <c r="AA13" s="1613">
        <f t="shared" si="5"/>
        <v>0.5044370860927152</v>
      </c>
      <c r="AB13" s="1613">
        <f t="shared" si="5"/>
        <v>0.5044370860927152</v>
      </c>
      <c r="AC13" s="1613">
        <f t="shared" si="5"/>
        <v>0.5044370860927152</v>
      </c>
      <c r="AD13" s="1613">
        <f t="shared" si="5"/>
        <v>0.5044370860927152</v>
      </c>
      <c r="AE13" s="1613">
        <f t="shared" si="5"/>
        <v>0.5044370860927152</v>
      </c>
      <c r="AF13" s="1613">
        <f t="shared" si="5"/>
        <v>0.5044370860927152</v>
      </c>
      <c r="AG13" s="1613">
        <f t="shared" si="5"/>
        <v>0.5044370860927152</v>
      </c>
      <c r="AH13" s="1613">
        <f t="shared" si="5"/>
        <v>0.5044370860927152</v>
      </c>
      <c r="AI13" s="1613">
        <f t="shared" si="5"/>
        <v>0.5044370860927152</v>
      </c>
      <c r="AJ13" s="1613">
        <f t="shared" si="5"/>
        <v>0.5044370860927152</v>
      </c>
    </row>
    <row r="14" spans="1:36" ht="15">
      <c r="A14" s="3236"/>
      <c r="B14" s="2764"/>
      <c r="C14" s="2765"/>
      <c r="D14" s="2766"/>
      <c r="E14" s="2766"/>
      <c r="F14" s="2767"/>
      <c r="G14" s="2768" t="s">
        <v>2872</v>
      </c>
      <c r="H14" s="2769"/>
      <c r="I14" s="2770"/>
      <c r="J14" s="2771"/>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37"/>
      <c r="B15" s="2772" t="s">
        <v>2873</v>
      </c>
      <c r="C15" s="229">
        <f>IF(C14="有",1.1,1)</f>
        <v>1</v>
      </c>
      <c r="D15" s="229">
        <f>IF(D14="有",1.1,1)</f>
        <v>1</v>
      </c>
      <c r="E15" s="229">
        <f>IF(E14="有",1.1,1)</f>
        <v>1</v>
      </c>
      <c r="F15" s="229">
        <f>IF(F14="500米范围内",1.2,IF(F14="500-1000米",1.1,1))</f>
        <v>1</v>
      </c>
      <c r="G15" s="946">
        <v>1</v>
      </c>
      <c r="H15" s="946">
        <v>1</v>
      </c>
      <c r="I15" s="946">
        <v>1</v>
      </c>
      <c r="J15" s="947">
        <v>1</v>
      </c>
      <c r="K15" s="1370"/>
      <c r="L15" s="2773" t="s">
        <v>2809</v>
      </c>
      <c r="M15" s="917" t="s">
        <v>2874</v>
      </c>
      <c r="N15" s="917" t="s">
        <v>2875</v>
      </c>
      <c r="O15" s="917" t="s">
        <v>2876</v>
      </c>
      <c r="P15" s="2774" t="s">
        <v>2877</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18" t="s">
        <v>2878</v>
      </c>
      <c r="B16" s="2741" t="s">
        <v>2879</v>
      </c>
      <c r="C16" s="1801">
        <f>ROUND(SUM(G17:J17)/C17,0)</f>
        <v>0</v>
      </c>
      <c r="D16" s="2775" t="s">
        <v>2880</v>
      </c>
      <c r="E16" s="2776" t="s">
        <v>3174</v>
      </c>
      <c r="F16" s="2777" t="s">
        <v>3182</v>
      </c>
      <c r="G16" s="2778"/>
      <c r="H16" s="2778"/>
      <c r="I16" s="2778"/>
      <c r="J16" s="2779"/>
      <c r="K16" s="1370"/>
      <c r="L16" s="2780" t="s">
        <v>2881</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19"/>
      <c r="B17" s="2781" t="s">
        <v>2882</v>
      </c>
      <c r="C17" s="921">
        <f>SUMPRODUCT((修正!A2:A5=E2)*(修正!B1:M1=G2)*(修正!B2:M5))</f>
        <v>2.5</v>
      </c>
      <c r="D17" s="2782" t="s">
        <v>2883</v>
      </c>
      <c r="E17" s="920" t="str">
        <f>IF(OR(G2="八级",G2="九级",G2="十级",G2="十一级",G2="十二级"),"五通一平","七通一平")</f>
        <v>七通一平</v>
      </c>
      <c r="F17" s="921" t="s">
        <v>2884</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3" t="s">
        <v>2885</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4"/>
      <c r="AF17" s="2784"/>
      <c r="AG17" s="2716"/>
      <c r="AH17" s="2716"/>
      <c r="AI17" s="2716"/>
      <c r="AJ17" s="2716"/>
    </row>
    <row r="18" spans="1:37" s="2734" customFormat="1" ht="15.75" thickBot="1">
      <c r="A18" s="2785" t="s">
        <v>808</v>
      </c>
      <c r="B18" s="2786" t="s">
        <v>2886</v>
      </c>
      <c r="C18" s="923">
        <f>SUMIF(修正!C18:C39,E3,修正!E18:E39)</f>
        <v>1</v>
      </c>
      <c r="D18" s="2787"/>
      <c r="E18" s="2788"/>
      <c r="F18" s="2789"/>
      <c r="G18" s="2790"/>
      <c r="H18" s="2790"/>
      <c r="I18" s="2790"/>
      <c r="J18" s="2791"/>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34" customFormat="1" ht="29.25" thickBot="1">
      <c r="A19" s="2785" t="s">
        <v>809</v>
      </c>
      <c r="B19" s="2786" t="s">
        <v>2887</v>
      </c>
      <c r="C19" s="924">
        <f>ROUND(IF(H19="按公示增长率计算",SUMPRODUCT((地价!A3:A21=YEAR(G19)&amp;"-"&amp;ROUNDUP(MONTH(G19)/3,0))*(地价!X2:AB2=E2)*(地价!X3:AB21)),IF(H19="地价指数",M20/M19,(1+I19)^O19)),4)</f>
        <v>1.4825999999999999</v>
      </c>
      <c r="D19" s="2793" t="s">
        <v>2888</v>
      </c>
      <c r="E19" s="925">
        <v>41640</v>
      </c>
      <c r="F19" s="2793" t="s">
        <v>2889</v>
      </c>
      <c r="G19" s="926">
        <f>'数据-取费表'!B2</f>
        <v>43111</v>
      </c>
      <c r="H19" s="2794" t="s">
        <v>3141</v>
      </c>
      <c r="I19" s="927" t="str">
        <f>IF(H19="季度增幅（自定义）",SUMIF(N21:N24,E2,O21:O24),"")</f>
        <v/>
      </c>
      <c r="J19" s="2791"/>
      <c r="K19" s="1377"/>
      <c r="L19" s="2795" t="s">
        <v>2890</v>
      </c>
      <c r="M19" s="1734">
        <f>ROUND(SUMIF(地价!B2:F2,E2,地价!B21:F21),0)</f>
        <v>423</v>
      </c>
      <c r="N19" s="2796" t="s">
        <v>2891</v>
      </c>
      <c r="O19" s="928">
        <f>ROUNDDOWN(DATEDIF(E19,G19,"M")/3,0)</f>
        <v>16</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34" customFormat="1" ht="27.75" thickBot="1">
      <c r="A20" s="2800" t="s">
        <v>810</v>
      </c>
      <c r="B20" s="2801" t="s">
        <v>2892</v>
      </c>
      <c r="C20" s="929">
        <f ca="1">ROUND(POWER(1+G20,J20-I20)*(POWER(1+G20,I20)-1)/(POWER(1+G20,J20)-1),4)</f>
        <v>0.99650000000000005</v>
      </c>
      <c r="D20" s="2802" t="s">
        <v>2893</v>
      </c>
      <c r="E20" s="1768">
        <f ca="1">存贷款利率!D4/100</f>
        <v>4.3499999999999997E-2</v>
      </c>
      <c r="F20" s="2802" t="s">
        <v>2885</v>
      </c>
      <c r="G20" s="934">
        <f ca="1">SUMIF(M15:P15,E2,M17:P17)</f>
        <v>0.05</v>
      </c>
      <c r="H20" s="2802" t="s">
        <v>2894</v>
      </c>
      <c r="I20" s="935">
        <f>SUMIF('数据-取费表'!C6:C15,E2,'数据-取费表'!F6:F15)/COUNTIF('数据-取费表'!C6:C15,E2)</f>
        <v>67.97</v>
      </c>
      <c r="J20" s="936">
        <f>IF(E2="住宅",70,IF(E2="商业",40,50))</f>
        <v>70</v>
      </c>
      <c r="K20" s="1377"/>
      <c r="L20" s="2803" t="s">
        <v>2895</v>
      </c>
      <c r="M20" s="1735">
        <f>ROUND(SUMPRODUCT((地价!A4:A21=YEAR(G19)&amp;"-"&amp;ROUNDUP(MONTH(G19)/3,0))*(地价!B2:F2=E2)*(地价!B4:F21)),0)</f>
        <v>626</v>
      </c>
      <c r="N20" s="2804" t="s">
        <v>2896</v>
      </c>
      <c r="O20" s="2805" t="s">
        <v>2897</v>
      </c>
      <c r="P20" s="2806" t="s">
        <v>2898</v>
      </c>
      <c r="R20" s="1376"/>
      <c r="S20" s="1376"/>
      <c r="T20" s="1371"/>
      <c r="U20" s="1371"/>
      <c r="V20" s="1371"/>
      <c r="W20" s="1370"/>
      <c r="X20" s="1370"/>
      <c r="Y20" s="1370"/>
      <c r="Z20" s="1377"/>
      <c r="AA20" s="1378"/>
      <c r="AB20" s="1378"/>
      <c r="AC20" s="1378"/>
      <c r="AD20" s="1378"/>
      <c r="AE20" s="1378"/>
      <c r="AF20" s="1378"/>
    </row>
    <row r="21" spans="1:37" s="2734" customFormat="1" ht="15">
      <c r="A21" s="2807" t="s">
        <v>811</v>
      </c>
      <c r="B21" s="2808" t="s">
        <v>3140</v>
      </c>
      <c r="C21" s="937">
        <f>IF(B21="容积率修正",IF(G3&lt;=10,D22,J22),C23)</f>
        <v>1.1361000000000001</v>
      </c>
      <c r="D21" s="2809"/>
      <c r="E21" s="2809"/>
      <c r="F21" s="2809"/>
      <c r="G21" s="2809"/>
      <c r="H21" s="2809"/>
      <c r="I21" s="2809"/>
      <c r="J21" s="2810"/>
      <c r="K21" s="1377"/>
      <c r="N21" s="2811" t="s">
        <v>2899</v>
      </c>
      <c r="O21" s="1561"/>
      <c r="P21" s="1562">
        <f>SUMPRODUCT((地价!A3:A21=YEAR(G19)&amp;"-"&amp;ROUNDUP(MONTH(G19)/3,0))*(地价!AD2:AH2=N21)*(地价!AD3:AH21))</f>
        <v>1.55E-2</v>
      </c>
      <c r="R21" s="1376"/>
      <c r="S21" s="1376"/>
      <c r="T21" s="1371"/>
      <c r="U21" s="1371"/>
      <c r="V21" s="1371"/>
      <c r="W21" s="1370"/>
      <c r="X21" s="1370"/>
      <c r="Y21" s="1370"/>
      <c r="Z21" s="1377"/>
      <c r="AA21" s="1378"/>
      <c r="AB21" s="1378"/>
      <c r="AC21" s="1378"/>
      <c r="AD21" s="1378"/>
      <c r="AE21" s="1378"/>
      <c r="AF21" s="1378"/>
    </row>
    <row r="22" spans="1:37" s="2734" customFormat="1" ht="14.25">
      <c r="A22" s="2660" t="s">
        <v>2900</v>
      </c>
      <c r="B22" s="2812" t="s">
        <v>2901</v>
      </c>
      <c r="C22" s="1810" t="s">
        <v>2902</v>
      </c>
      <c r="D22" s="1810">
        <f>IF(E22=G22,F22,IF(G3&lt;=10,ROUND(F22+(H22-F22)*(G3-E22)/(G22-E22),4),"——"))</f>
        <v>1.1361000000000001</v>
      </c>
      <c r="E22" s="913">
        <f>ROUNDDOWN(G3,1)</f>
        <v>1.5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1.1377999999999999</v>
      </c>
      <c r="G22" s="913">
        <f>ROUNDUP(G3,1)</f>
        <v>1.6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1.1206</v>
      </c>
      <c r="I22" s="1810" t="s">
        <v>155</v>
      </c>
      <c r="J22" s="938" t="str">
        <f>IF(G3&gt;10,D113,"——")</f>
        <v>——</v>
      </c>
      <c r="K22" s="1377"/>
      <c r="N22" s="2811" t="s">
        <v>2903</v>
      </c>
      <c r="O22" s="1561"/>
      <c r="P22" s="1562">
        <f>SUMPRODUCT((地价!A3:A21=YEAR(G19)&amp;"-"&amp;ROUNDUP(MONTH(G19)/3,0))*(地价!AD2:AH2=N22)*(地价!AD3:AH21))</f>
        <v>1.55E-2</v>
      </c>
      <c r="R22" s="1376"/>
      <c r="S22" s="1376"/>
      <c r="T22" s="1371"/>
      <c r="U22" s="1371"/>
      <c r="V22" s="1371"/>
      <c r="W22" s="1370"/>
      <c r="X22" s="1370"/>
      <c r="Y22" s="1370"/>
      <c r="Z22" s="1377"/>
      <c r="AA22" s="1378"/>
      <c r="AB22" s="1378"/>
      <c r="AC22" s="1378"/>
      <c r="AD22" s="1378"/>
      <c r="AE22" s="1378"/>
      <c r="AF22" s="1378"/>
    </row>
    <row r="23" spans="1:37" ht="27.75" thickBot="1">
      <c r="A23" s="2660" t="s">
        <v>2904</v>
      </c>
      <c r="B23" s="2813" t="s">
        <v>2905</v>
      </c>
      <c r="C23" s="1013">
        <f>ROUND(IF(G3&gt;1,IF(I3&lt;7,SUMPRODUCT((B93:B98=I3)*(C92:N92=G2)*(C93:N98)),SUMIF(C92:N92,G2,C100:N100)),IF(I3&lt;7,SUMPRODUCT((B102:B107=I3)*(C92:N92=G2)*(C102:N107)),SUMIF(C92:N92,G2,C109:N109))),4)</f>
        <v>0</v>
      </c>
      <c r="D23" s="2769"/>
      <c r="E23" s="2769"/>
      <c r="F23" s="2814"/>
      <c r="G23" s="2815"/>
      <c r="H23" s="2816"/>
      <c r="I23" s="2817"/>
      <c r="J23" s="2818"/>
      <c r="K23" s="1370"/>
      <c r="N23" s="2811" t="s">
        <v>2906</v>
      </c>
      <c r="O23" s="1561"/>
      <c r="P23" s="1562">
        <f>SUMPRODUCT((地价!A3:A21=YEAR(G19)&amp;"-"&amp;ROUNDUP(MONTH(G19)/3,0))*(地价!AD2:AH2=N23)*(地价!AD3:AH21))</f>
        <v>2.5499999999999998E-2</v>
      </c>
      <c r="R23" s="1376"/>
      <c r="S23" s="1376"/>
      <c r="T23" s="1371"/>
      <c r="U23" s="1371"/>
      <c r="V23" s="1371"/>
      <c r="W23" s="1370"/>
      <c r="X23" s="1370"/>
      <c r="Y23" s="1370"/>
      <c r="Z23" s="1377"/>
      <c r="AA23" s="1378"/>
      <c r="AB23" s="1378"/>
      <c r="AC23" s="1378"/>
      <c r="AD23" s="1378"/>
      <c r="AK23" s="2792"/>
    </row>
    <row r="24" spans="1:37" s="2734" customFormat="1" ht="15.75" thickBot="1">
      <c r="A24" s="2800" t="s">
        <v>812</v>
      </c>
      <c r="B24" s="2786" t="s">
        <v>2907</v>
      </c>
      <c r="C24" s="924">
        <f>SUMIF(A45:A88,E2,B45:B88)</f>
        <v>1.0624</v>
      </c>
      <c r="D24" s="2789"/>
      <c r="E24" s="2819"/>
      <c r="F24" s="2819"/>
      <c r="G24" s="2819"/>
      <c r="H24" s="2819"/>
      <c r="I24" s="2819"/>
      <c r="J24" s="2820"/>
      <c r="K24" s="1377"/>
      <c r="N24" s="2821" t="s">
        <v>2908</v>
      </c>
      <c r="O24" s="1563"/>
      <c r="P24" s="1564">
        <f>SUMPRODUCT((地价!A3:A21=YEAR(G19)&amp;"-"&amp;ROUNDUP(MONTH(G19)/3,0))*(地价!AD2:AH2=N24)*(地价!AD3:AH21))</f>
        <v>1.3100000000000001E-2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2909</v>
      </c>
      <c r="C25" s="930"/>
      <c r="D25" s="2744"/>
      <c r="E25" s="2744"/>
      <c r="F25" s="2823"/>
      <c r="G25" s="2744"/>
      <c r="H25" s="2744"/>
      <c r="I25" s="2744"/>
      <c r="J25" s="2745"/>
      <c r="K25" s="1370"/>
      <c r="N25" s="2824" t="s">
        <v>2910</v>
      </c>
      <c r="O25" s="1565"/>
      <c r="P25" s="1564">
        <f>SUMPRODUCT((地价!A3:A21=YEAR(G19)&amp;"-"&amp;ROUNDUP(MONTH(G19)/3,0))*(地价!AD2:AH2=N25)*(地价!AD3:AH21))</f>
        <v>2.3E-2</v>
      </c>
      <c r="R25" s="1376"/>
      <c r="S25" s="1376"/>
      <c r="T25" s="1371"/>
      <c r="U25" s="1371"/>
      <c r="V25" s="1371"/>
      <c r="W25" s="1370"/>
      <c r="X25" s="1370"/>
      <c r="Y25" s="1370"/>
      <c r="Z25" s="1377"/>
      <c r="AA25" s="1378"/>
      <c r="AB25" s="1378"/>
      <c r="AC25" s="1378"/>
      <c r="AD25" s="1378"/>
    </row>
    <row r="26" spans="1:37" ht="15">
      <c r="A26" s="2825"/>
      <c r="B26" s="2812" t="s">
        <v>2911</v>
      </c>
      <c r="C26" s="206">
        <f ca="1">E29+SUM(E33:E39)</f>
        <v>61782</v>
      </c>
      <c r="D26" s="2826"/>
      <c r="E26" s="2769"/>
      <c r="F26" s="2827"/>
      <c r="G26" s="2769"/>
      <c r="H26" s="2769"/>
      <c r="I26" s="2769"/>
      <c r="J26" s="2828"/>
      <c r="K26" s="1370"/>
      <c r="R26" s="1376"/>
      <c r="S26" s="1376"/>
      <c r="T26" s="1371"/>
      <c r="U26" s="1371"/>
      <c r="V26" s="1371"/>
      <c r="W26" s="1370"/>
      <c r="X26" s="1370"/>
      <c r="Y26" s="1370"/>
      <c r="Z26" s="1377"/>
      <c r="AA26" s="1378"/>
      <c r="AB26" s="1378"/>
      <c r="AC26" s="1378"/>
      <c r="AD26" s="1378"/>
    </row>
    <row r="27" spans="1:37" ht="15.75" thickBot="1">
      <c r="A27" s="2825"/>
      <c r="B27" s="2829" t="s">
        <v>2912</v>
      </c>
      <c r="C27" s="931" t="e">
        <f ca="1">E30+SUM(I33:I39)</f>
        <v>#DIV/0!</v>
      </c>
      <c r="D27" s="2830"/>
      <c r="E27" s="2831"/>
      <c r="F27" s="2832"/>
      <c r="G27" s="2831"/>
      <c r="H27" s="2831"/>
      <c r="I27" s="2831"/>
      <c r="J27" s="2833"/>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4"/>
      <c r="B28" s="2835" t="s">
        <v>2913</v>
      </c>
      <c r="C28" s="2836" t="s">
        <v>2914</v>
      </c>
      <c r="D28" s="2836" t="s">
        <v>2915</v>
      </c>
      <c r="E28" s="2837" t="s">
        <v>2916</v>
      </c>
      <c r="F28" s="2838"/>
      <c r="G28" s="2757"/>
      <c r="H28" s="2757"/>
      <c r="I28" s="2757"/>
      <c r="J28" s="2758"/>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9"/>
      <c r="B29" s="2840" t="s">
        <v>2917</v>
      </c>
      <c r="C29" s="206">
        <f ca="1">ROUND(C5*C18*C19*C20*C21*C24,0)</f>
        <v>13499</v>
      </c>
      <c r="D29" s="2841">
        <f>'数据-汇总表'!F27</f>
        <v>37976.329999999965</v>
      </c>
      <c r="E29" s="942">
        <f ca="1">ROUND(C29*D29/10000,0)</f>
        <v>51264</v>
      </c>
      <c r="F29" s="2842" t="s">
        <v>2918</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16"/>
      <c r="AH29" s="2716"/>
      <c r="AI29" s="2716"/>
      <c r="AJ29" s="2716"/>
    </row>
    <row r="30" spans="1:37" ht="25.5" thickBot="1">
      <c r="A30" s="2845"/>
      <c r="B30" s="2846" t="s">
        <v>2919</v>
      </c>
      <c r="C30" s="229">
        <f ca="1">ROUND(IF(E2="工业",C29*M39,C29*M38),0)</f>
        <v>3375</v>
      </c>
      <c r="D30" s="2847"/>
      <c r="E30" s="942">
        <f ca="1">ROUND(C30*D30/10000,0)</f>
        <v>0</v>
      </c>
      <c r="F30" s="2848" t="s">
        <v>2920</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16"/>
      <c r="AH30" s="2716"/>
      <c r="AI30" s="2716"/>
      <c r="AJ30" s="2716"/>
    </row>
    <row r="31" spans="1:37" ht="14.25">
      <c r="A31" s="2851"/>
      <c r="B31" s="2852" t="s">
        <v>2921</v>
      </c>
      <c r="C31" s="2853" t="s">
        <v>2922</v>
      </c>
      <c r="D31" s="2757"/>
      <c r="E31" s="2853"/>
      <c r="F31" s="2853"/>
      <c r="G31" s="2755" t="s">
        <v>2923</v>
      </c>
      <c r="H31" s="2757"/>
      <c r="I31" s="2854"/>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16"/>
      <c r="AH31" s="2716"/>
      <c r="AI31" s="2716"/>
      <c r="AJ31" s="2716"/>
    </row>
    <row r="32" spans="1:37" ht="24">
      <c r="A32" s="2839"/>
      <c r="B32" s="2855"/>
      <c r="C32" s="501" t="s">
        <v>2914</v>
      </c>
      <c r="D32" s="498" t="s">
        <v>2915</v>
      </c>
      <c r="E32" s="498" t="s">
        <v>2916</v>
      </c>
      <c r="F32" s="388" t="s">
        <v>2924</v>
      </c>
      <c r="G32" s="2856" t="s">
        <v>2914</v>
      </c>
      <c r="H32" s="2856" t="s">
        <v>2915</v>
      </c>
      <c r="I32" s="2856"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16"/>
      <c r="AH32" s="2716"/>
      <c r="AI32" s="2716"/>
      <c r="AJ32" s="2716"/>
    </row>
    <row r="33" spans="1:37" ht="36" customHeight="1">
      <c r="A33" s="3226" t="s">
        <v>2925</v>
      </c>
      <c r="B33" s="2857" t="s">
        <v>2926</v>
      </c>
      <c r="C33" s="206">
        <f ca="1">ROUND(D5*C19*C20*C24*F33,0)</f>
        <v>0</v>
      </c>
      <c r="D33" s="2841"/>
      <c r="E33" s="200">
        <f ca="1">ROUND(C33*D33/10000,0)</f>
        <v>0</v>
      </c>
      <c r="F33" s="200">
        <f>SUMIF(修正!A45:A56,G2,修正!B45:B56)</f>
        <v>0.7</v>
      </c>
      <c r="G33" s="200">
        <f t="shared" ref="G33:G39" ca="1" si="6">ROUND(IF(E2="工业",C33*$M$39,C33*$M$38),0)</f>
        <v>0</v>
      </c>
      <c r="H33" s="200">
        <f>D33</f>
        <v>0</v>
      </c>
      <c r="I33" s="200">
        <f ca="1">ROUND(G33*H33/10000,0)</f>
        <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27"/>
      <c r="B34" s="2761" t="s">
        <v>2927</v>
      </c>
      <c r="C34" s="206">
        <f ca="1">ROUND(D5*C19*C20*C24*F34,0)</f>
        <v>0</v>
      </c>
      <c r="D34" s="2841"/>
      <c r="E34" s="200">
        <f t="shared" ref="E34:E39" ca="1" si="7">ROUND(C34*D34/10000,0)</f>
        <v>0</v>
      </c>
      <c r="F34" s="200">
        <f>SUMIF(修正!A45:A56,G2,修正!C45:C56)</f>
        <v>0.4</v>
      </c>
      <c r="G34" s="200">
        <f t="shared" ca="1" si="6"/>
        <v>0</v>
      </c>
      <c r="H34" s="200">
        <f t="shared" ref="H34:H39" si="8">D34</f>
        <v>0</v>
      </c>
      <c r="I34" s="200">
        <f t="shared" ref="I34:I39" ca="1" si="9">ROUND(G34*H34/10000,0)</f>
        <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27"/>
      <c r="B35" s="2761" t="s">
        <v>2928</v>
      </c>
      <c r="C35" s="206">
        <f ca="1">ROUND(D5*C19*C20*C24*F35,0)</f>
        <v>0</v>
      </c>
      <c r="D35" s="2841"/>
      <c r="E35" s="200">
        <f t="shared" ca="1" si="7"/>
        <v>0</v>
      </c>
      <c r="F35" s="200">
        <f>SUMIF(修正!A45:A56,G2,修正!D45:D56)</f>
        <v>0.28000000000000003</v>
      </c>
      <c r="G35" s="200">
        <f t="shared" ca="1" si="6"/>
        <v>0</v>
      </c>
      <c r="H35" s="200">
        <f t="shared" si="8"/>
        <v>0</v>
      </c>
      <c r="I35" s="200">
        <f t="shared" ca="1" si="9"/>
        <v>0</v>
      </c>
      <c r="J35" s="2858"/>
      <c r="K35" s="1370"/>
      <c r="L35" s="1370"/>
      <c r="M35" s="1370"/>
      <c r="N35" s="1370"/>
      <c r="O35" s="1370"/>
      <c r="P35" s="1370"/>
      <c r="Q35" s="1370"/>
      <c r="R35" s="1370"/>
      <c r="S35" s="1370"/>
      <c r="T35" s="1370"/>
      <c r="U35" s="1370"/>
      <c r="V35" s="1370"/>
      <c r="W35" s="1370"/>
      <c r="X35" s="1370"/>
      <c r="Y35" s="1370"/>
      <c r="Z35" s="1371"/>
    </row>
    <row r="36" spans="1:37" ht="13.5" thickBot="1">
      <c r="A36" s="3228"/>
      <c r="B36" s="2761" t="s">
        <v>2929</v>
      </c>
      <c r="C36" s="206">
        <f ca="1">ROUND(D5*C19*C20*C24*F36,0)</f>
        <v>0</v>
      </c>
      <c r="D36" s="2841"/>
      <c r="E36" s="200">
        <f t="shared" ca="1" si="7"/>
        <v>0</v>
      </c>
      <c r="F36" s="200">
        <f>SUMIF(修正!A45:A56,G2,修正!E45:E56)</f>
        <v>0.25</v>
      </c>
      <c r="G36" s="200">
        <f t="shared" ca="1" si="6"/>
        <v>0</v>
      </c>
      <c r="H36" s="200">
        <f t="shared" si="8"/>
        <v>0</v>
      </c>
      <c r="I36" s="200">
        <f t="shared" ca="1" si="9"/>
        <v>0</v>
      </c>
      <c r="J36" s="2858"/>
      <c r="K36" s="1370"/>
      <c r="L36" s="2715"/>
      <c r="M36" s="2715"/>
      <c r="N36" s="1370"/>
      <c r="O36" s="1370"/>
      <c r="P36" s="1370"/>
      <c r="Q36" s="1370"/>
      <c r="R36" s="1370"/>
      <c r="S36" s="1370"/>
      <c r="T36" s="1370"/>
      <c r="U36" s="1370"/>
      <c r="V36" s="1370"/>
      <c r="W36" s="1370"/>
      <c r="X36" s="1370"/>
      <c r="Y36" s="1370"/>
      <c r="Z36" s="1371"/>
    </row>
    <row r="37" spans="1:37">
      <c r="A37" s="2859"/>
      <c r="B37" s="2761" t="s">
        <v>2930</v>
      </c>
      <c r="C37" s="200">
        <f ca="1">ROUND(C5*C19*C20*C24*F37,0)</f>
        <v>2970</v>
      </c>
      <c r="D37" s="2841"/>
      <c r="E37" s="200">
        <f t="shared" ca="1" si="7"/>
        <v>0</v>
      </c>
      <c r="F37" s="206">
        <f>SUMIF(修正!A45:A56,G2,修正!F45:F56)</f>
        <v>0.25</v>
      </c>
      <c r="G37" s="200">
        <f t="shared" ca="1" si="6"/>
        <v>743</v>
      </c>
      <c r="H37" s="200">
        <f t="shared" si="8"/>
        <v>0</v>
      </c>
      <c r="I37" s="200">
        <f t="shared" ca="1" si="9"/>
        <v>0</v>
      </c>
      <c r="J37" s="2858"/>
      <c r="K37" s="1370"/>
      <c r="L37" s="2860" t="s">
        <v>2931</v>
      </c>
      <c r="M37" s="2861"/>
      <c r="N37" s="1370"/>
      <c r="O37" s="1370"/>
      <c r="P37" s="1370"/>
      <c r="Q37" s="1370"/>
      <c r="R37" s="1370"/>
      <c r="S37" s="1370"/>
      <c r="T37" s="1370"/>
      <c r="U37" s="1370"/>
      <c r="V37" s="1370"/>
      <c r="W37" s="1370"/>
      <c r="X37" s="1370"/>
      <c r="Y37" s="1370"/>
      <c r="Z37" s="1371"/>
    </row>
    <row r="38" spans="1:37">
      <c r="A38" s="2859"/>
      <c r="B38" s="2761" t="s">
        <v>2932</v>
      </c>
      <c r="C38" s="200">
        <f ca="1">ROUND(C5*C19*C20*C24*F38,0)</f>
        <v>2970</v>
      </c>
      <c r="D38" s="2841">
        <f>'数据-汇总表'!G22</f>
        <v>14071.829999999998</v>
      </c>
      <c r="E38" s="200">
        <f t="shared" ca="1" si="7"/>
        <v>4179</v>
      </c>
      <c r="F38" s="206">
        <f>SUMIF(修正!A45:A56,G2,修正!G45:G56)</f>
        <v>0.25</v>
      </c>
      <c r="G38" s="200">
        <f t="shared" ca="1" si="6"/>
        <v>743</v>
      </c>
      <c r="H38" s="200">
        <f t="shared" si="8"/>
        <v>14071.829999999998</v>
      </c>
      <c r="I38" s="200">
        <f t="shared" ca="1" si="9"/>
        <v>1046</v>
      </c>
      <c r="J38" s="2858"/>
      <c r="K38" s="1370"/>
      <c r="L38" s="1887" t="s">
        <v>2933</v>
      </c>
      <c r="M38" s="2862">
        <v>0.25</v>
      </c>
      <c r="N38" s="1370"/>
      <c r="O38" s="1370"/>
      <c r="P38" s="1370"/>
      <c r="Q38" s="1370"/>
      <c r="R38" s="1370"/>
      <c r="S38" s="1370"/>
      <c r="T38" s="1370"/>
      <c r="U38" s="1370"/>
      <c r="V38" s="1370"/>
      <c r="W38" s="1370"/>
      <c r="X38" s="1370"/>
      <c r="Y38" s="1370"/>
      <c r="Z38" s="1371"/>
    </row>
    <row r="39" spans="1:37" ht="13.5" thickBot="1">
      <c r="A39" s="2845"/>
      <c r="B39" s="2863" t="s">
        <v>2934</v>
      </c>
      <c r="C39" s="229">
        <f ca="1">ROUND(C5*C19*C20*C24*F39,0)</f>
        <v>2376</v>
      </c>
      <c r="D39" s="2847">
        <f>'数据-汇总表'!G23</f>
        <v>26679.599999999999</v>
      </c>
      <c r="E39" s="229">
        <f t="shared" ca="1" si="7"/>
        <v>6339</v>
      </c>
      <c r="F39" s="932">
        <f>SUMIF(修正!A45:A56,G2,修正!H45:H56)</f>
        <v>0.2</v>
      </c>
      <c r="G39" s="229" t="e">
        <f t="shared" si="6"/>
        <v>#DIV/0!</v>
      </c>
      <c r="H39" s="229">
        <f t="shared" si="8"/>
        <v>26679.599999999999</v>
      </c>
      <c r="I39" s="229" t="e">
        <f t="shared" si="9"/>
        <v>#DIV/0!</v>
      </c>
      <c r="J39" s="2864"/>
      <c r="K39" s="1370"/>
      <c r="L39" s="2865" t="s">
        <v>2877</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7"/>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2935</v>
      </c>
      <c r="B45" s="2869"/>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70" t="s">
        <v>2936</v>
      </c>
      <c r="B46" s="2871">
        <f>1+E48</f>
        <v>1</v>
      </c>
      <c r="C46" s="2872"/>
      <c r="D46" s="811"/>
      <c r="E46" s="812"/>
      <c r="F46" s="2873"/>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4" t="s">
        <v>2937</v>
      </c>
      <c r="B47" s="1809" t="s">
        <v>2938</v>
      </c>
      <c r="C47" s="1809" t="s">
        <v>2939</v>
      </c>
      <c r="D47" s="1809" t="s">
        <v>2940</v>
      </c>
      <c r="E47" s="816" t="s">
        <v>2941</v>
      </c>
      <c r="F47" s="2875" t="s">
        <v>2942</v>
      </c>
      <c r="G47" s="1809" t="s">
        <v>754</v>
      </c>
      <c r="H47" s="2876" t="s">
        <v>2943</v>
      </c>
      <c r="I47" s="1809" t="s">
        <v>2944</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874" t="s">
        <v>2945</v>
      </c>
      <c r="B48" s="2877" t="str">
        <f>估价对象房地状况!C4</f>
        <v>估价对象位于XX商圈，周边商业氛围成熟，人流量大，商业繁华度好</v>
      </c>
      <c r="C48" s="2766"/>
      <c r="D48" s="1286">
        <f t="shared" ref="D48:D56" si="10">SUMIF($J$47:$N$47,C48,J48:N48)</f>
        <v>0</v>
      </c>
      <c r="E48" s="818">
        <f>ROUND(SUM(D48:D56),4)</f>
        <v>0</v>
      </c>
      <c r="F48" s="2497"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74" t="s">
        <v>2946</v>
      </c>
      <c r="B49" s="2878" t="str">
        <f>估价对象房地状况!C18</f>
        <v>估价对象多面临街，周边道路路网较为密集，公共交通通达情况较好，有417、533路等、停车便捷程度较好，综合评价交通便捷度较好。</v>
      </c>
      <c r="C49" s="2766"/>
      <c r="D49" s="1286">
        <f t="shared" si="10"/>
        <v>0</v>
      </c>
      <c r="E49" s="819"/>
      <c r="F49" s="2497"/>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5.5">
      <c r="A50" s="2874" t="s">
        <v>2947</v>
      </c>
      <c r="B50" s="2878" t="str">
        <f>估价对象房地状况!C19</f>
        <v>区域内多为住宅用地，对土地利用无不利影响。</v>
      </c>
      <c r="C50" s="2766"/>
      <c r="D50" s="1286">
        <f t="shared" si="10"/>
        <v>0</v>
      </c>
      <c r="E50" s="819"/>
      <c r="F50" s="2497"/>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2948</v>
      </c>
      <c r="B51" s="2879" t="s">
        <v>2949</v>
      </c>
      <c r="C51" s="2766"/>
      <c r="D51" s="1286">
        <f t="shared" si="10"/>
        <v>0</v>
      </c>
      <c r="E51" s="819"/>
      <c r="F51" s="2497"/>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2950</v>
      </c>
      <c r="B52" s="2878" t="str">
        <f>估价对象房地状况!C24</f>
        <v>城市支路——沟自头街</v>
      </c>
      <c r="C52" s="2766"/>
      <c r="D52" s="1286">
        <f t="shared" si="10"/>
        <v>0</v>
      </c>
      <c r="E52" s="819"/>
      <c r="F52" s="2497"/>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2951</v>
      </c>
      <c r="B53" s="2880" t="s">
        <v>2952</v>
      </c>
      <c r="C53" s="2766"/>
      <c r="D53" s="1286">
        <f t="shared" si="10"/>
        <v>0</v>
      </c>
      <c r="E53" s="819"/>
      <c r="F53" s="2497"/>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127.5">
      <c r="A54" s="2881" t="s">
        <v>2953</v>
      </c>
      <c r="B54" s="1725" t="str">
        <f>估价对象房地状况!C21</f>
        <v>估价对象所在区域2公里范围内有：银行（中国银行、北京农村商业银行），购物（物联隆超市、超市发超市）、医院（北七家社区卫生服务中心），学校（北京市晨星学校、伊顿双语幼儿园），餐饮等，公共配套设施齐备情况较好。</v>
      </c>
      <c r="C54" s="2766"/>
      <c r="D54" s="1286">
        <f t="shared" si="10"/>
        <v>0</v>
      </c>
      <c r="E54" s="819"/>
      <c r="F54" s="2497"/>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2954</v>
      </c>
      <c r="B55" s="2878" t="str">
        <f>估价对象房地状况!C22</f>
        <v>估价对象所在区域基础设施水平达到“七通”。</v>
      </c>
      <c r="C55" s="2766"/>
      <c r="D55" s="1286">
        <f t="shared" si="10"/>
        <v>0</v>
      </c>
      <c r="E55" s="819"/>
      <c r="F55" s="2497"/>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2" t="s">
        <v>2955</v>
      </c>
      <c r="B56" s="2883" t="str">
        <f>估价对象房地状况!C20</f>
        <v>区域自然环境：未来科技城滨河公园；人文环境：无展览馆、博物馆等；综合评价环境状况一般。</v>
      </c>
      <c r="C56" s="2766"/>
      <c r="D56" s="1286">
        <f t="shared" si="10"/>
        <v>0</v>
      </c>
      <c r="E56" s="822"/>
      <c r="F56" s="2497"/>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2956</v>
      </c>
      <c r="B57" s="2871">
        <f>1+E59</f>
        <v>1</v>
      </c>
      <c r="C57" s="811"/>
      <c r="D57" s="811"/>
      <c r="E57" s="812"/>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2937</v>
      </c>
      <c r="B58" s="1809"/>
      <c r="C58" s="1809" t="s">
        <v>2939</v>
      </c>
      <c r="D58" s="1809" t="s">
        <v>2940</v>
      </c>
      <c r="E58" s="816" t="s">
        <v>2941</v>
      </c>
      <c r="F58" s="2875" t="s">
        <v>2957</v>
      </c>
      <c r="G58" s="1809" t="s">
        <v>754</v>
      </c>
      <c r="H58" s="2876" t="s">
        <v>2943</v>
      </c>
      <c r="I58" s="1809" t="s">
        <v>2944</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74" t="s">
        <v>2958</v>
      </c>
      <c r="B59" s="2877" t="str">
        <f>估价对象房地状况!C17</f>
        <v>估价对象位于XX商圈，周边办公楼项目较多，入驻率高，办公集聚程度较好</v>
      </c>
      <c r="C59" s="2766"/>
      <c r="D59" s="1286">
        <f t="shared" ref="D59:D67" si="15">SUMIF($J$58:$N$58,C59,J59:N59)</f>
        <v>0</v>
      </c>
      <c r="E59" s="818">
        <f>ROUND(SUM(D59:D67),4)</f>
        <v>0</v>
      </c>
      <c r="F59" s="2497"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74" t="s">
        <v>2946</v>
      </c>
      <c r="B60" s="2878" t="str">
        <f>估价对象房地状况!C18</f>
        <v>估价对象多面临街，周边道路路网较为密集，公共交通通达情况较好，有417、533路等、停车便捷程度较好，综合评价交通便捷度较好。</v>
      </c>
      <c r="C60" s="2766"/>
      <c r="D60" s="1286">
        <f t="shared" si="15"/>
        <v>0</v>
      </c>
      <c r="E60" s="819"/>
      <c r="F60" s="2497"/>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5.5">
      <c r="A61" s="2874" t="s">
        <v>2947</v>
      </c>
      <c r="B61" s="2878" t="str">
        <f>估价对象房地状况!C19</f>
        <v>区域内多为住宅用地，对土地利用无不利影响。</v>
      </c>
      <c r="C61" s="2766"/>
      <c r="D61" s="1286">
        <f t="shared" si="15"/>
        <v>0</v>
      </c>
      <c r="E61" s="819"/>
      <c r="F61" s="2497"/>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2948</v>
      </c>
      <c r="B62" s="2879" t="s">
        <v>2949</v>
      </c>
      <c r="C62" s="2766"/>
      <c r="D62" s="1286">
        <f t="shared" si="15"/>
        <v>0</v>
      </c>
      <c r="E62" s="819"/>
      <c r="F62" s="2497"/>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2950</v>
      </c>
      <c r="B63" s="2878" t="str">
        <f>估价对象房地状况!C24</f>
        <v>城市支路——沟自头街</v>
      </c>
      <c r="C63" s="2766"/>
      <c r="D63" s="1286">
        <f t="shared" si="15"/>
        <v>0</v>
      </c>
      <c r="E63" s="819"/>
      <c r="F63" s="2497"/>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2951</v>
      </c>
      <c r="B64" s="2880" t="s">
        <v>2952</v>
      </c>
      <c r="C64" s="2766"/>
      <c r="D64" s="1286">
        <f t="shared" si="15"/>
        <v>0</v>
      </c>
      <c r="E64" s="819"/>
      <c r="F64" s="2497"/>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127.5">
      <c r="A65" s="2874" t="s">
        <v>2953</v>
      </c>
      <c r="B65" s="1725" t="str">
        <f>估价对象房地状况!C21</f>
        <v>估价对象所在区域2公里范围内有：银行（中国银行、北京农村商业银行），购物（物联隆超市、超市发超市）、医院（北七家社区卫生服务中心），学校（北京市晨星学校、伊顿双语幼儿园），餐饮等，公共配套设施齐备情况较好。</v>
      </c>
      <c r="C65" s="2766"/>
      <c r="D65" s="1286">
        <f t="shared" si="15"/>
        <v>0</v>
      </c>
      <c r="E65" s="819"/>
      <c r="F65" s="2497"/>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2954</v>
      </c>
      <c r="B66" s="1725" t="str">
        <f>估价对象房地状况!C22</f>
        <v>估价对象所在区域基础设施水平达到“七通”。</v>
      </c>
      <c r="C66" s="2766"/>
      <c r="D66" s="1286">
        <f t="shared" si="15"/>
        <v>0</v>
      </c>
      <c r="E66" s="819"/>
      <c r="F66" s="2497"/>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82" t="s">
        <v>2955</v>
      </c>
      <c r="B67" s="2884" t="str">
        <f>估价对象房地状况!C20</f>
        <v>区域自然环境：未来科技城滨河公园；人文环境：无展览馆、博物馆等；综合评价环境状况一般。</v>
      </c>
      <c r="C67" s="2766"/>
      <c r="D67" s="1286">
        <f t="shared" si="15"/>
        <v>0</v>
      </c>
      <c r="E67" s="822"/>
      <c r="F67" s="2497"/>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2959</v>
      </c>
      <c r="B68" s="2871">
        <f>1+E70</f>
        <v>1.0624</v>
      </c>
      <c r="C68" s="811"/>
      <c r="D68" s="811"/>
      <c r="E68" s="812"/>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2937</v>
      </c>
      <c r="B69" s="1809"/>
      <c r="C69" s="1809" t="s">
        <v>2939</v>
      </c>
      <c r="D69" s="1809" t="s">
        <v>2940</v>
      </c>
      <c r="E69" s="816" t="s">
        <v>2941</v>
      </c>
      <c r="F69" s="2875" t="s">
        <v>2957</v>
      </c>
      <c r="G69" s="1809" t="s">
        <v>754</v>
      </c>
      <c r="H69" s="2876" t="s">
        <v>2943</v>
      </c>
      <c r="I69" s="1809" t="s">
        <v>2944</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89.25">
      <c r="A70" s="2874" t="s">
        <v>2960</v>
      </c>
      <c r="B70" s="2877" t="str">
        <f>估价对象房地状况!C15</f>
        <v>估价对象周边居住用地比例大、居住小区规模大且社区发展完善程度较好，如北京晨浩花园、海德堡小区、柏林在线等住宅小区，综合评价居住社区成熟度好。</v>
      </c>
      <c r="C70" s="2766" t="s">
        <v>3153</v>
      </c>
      <c r="D70" s="1286">
        <f t="shared" ref="D70:D78" si="20">SUMIF($J$69:$N$69,C70,J70:N70)</f>
        <v>1.7600000000000001E-2</v>
      </c>
      <c r="E70" s="818">
        <f>ROUND(SUM(D70:D78),4)</f>
        <v>6.2399999999999997E-2</v>
      </c>
      <c r="F70" s="2497">
        <f>IF(E2="住宅",SUMIF(L1:L12,G2,N1:N12),"——")</f>
        <v>0.127</v>
      </c>
      <c r="G70" s="1284">
        <f t="shared" ref="G70:G78" si="21">H70</f>
        <v>8.8000000000000005E-3</v>
      </c>
      <c r="H70" s="1288">
        <f t="shared" ref="H70:H78" si="22">IFERROR(ROUNDDOWN($F$70*I70/2,4),"——")</f>
        <v>8.8000000000000005E-3</v>
      </c>
      <c r="I70" s="817">
        <v>0.14000000000000001</v>
      </c>
      <c r="J70" s="1285">
        <f t="shared" ref="J70:J78" si="23">K70+$G70</f>
        <v>1.7600000000000001E-2</v>
      </c>
      <c r="K70" s="1285">
        <f t="shared" ref="K70:K78" si="24">$L70+$G70</f>
        <v>8.8000000000000005E-3</v>
      </c>
      <c r="L70" s="1285">
        <v>0</v>
      </c>
      <c r="M70" s="1285">
        <f t="shared" ref="M70:N78" si="25">L70-$G70</f>
        <v>-8.8000000000000005E-3</v>
      </c>
      <c r="N70" s="1285">
        <f t="shared" si="25"/>
        <v>-1.7600000000000001E-2</v>
      </c>
      <c r="AA70" s="1371"/>
      <c r="AB70" s="1371"/>
      <c r="AC70" s="1371"/>
      <c r="AD70" s="1371"/>
      <c r="AE70" s="1371"/>
      <c r="AF70" s="1371"/>
      <c r="AG70" s="1371"/>
      <c r="AH70" s="1371"/>
      <c r="AI70" s="1371"/>
      <c r="AJ70" s="1371"/>
      <c r="AK70" s="1371"/>
    </row>
    <row r="71" spans="1:37" s="1370" customFormat="1" ht="76.5">
      <c r="A71" s="2874" t="s">
        <v>2946</v>
      </c>
      <c r="B71" s="2878" t="str">
        <f>估价对象房地状况!C18</f>
        <v>估价对象多面临街，周边道路路网较为密集，公共交通通达情况较好，有417、533路等、停车便捷程度较好，综合评价交通便捷度较好。</v>
      </c>
      <c r="C71" s="2766" t="s">
        <v>3152</v>
      </c>
      <c r="D71" s="1286">
        <f t="shared" si="20"/>
        <v>1.9E-2</v>
      </c>
      <c r="E71" s="823"/>
      <c r="F71" s="2497"/>
      <c r="G71" s="1284">
        <f t="shared" si="21"/>
        <v>1.9E-2</v>
      </c>
      <c r="H71" s="1288">
        <f t="shared" si="22"/>
        <v>1.9E-2</v>
      </c>
      <c r="I71" s="817">
        <v>0.3</v>
      </c>
      <c r="J71" s="1285">
        <f t="shared" si="23"/>
        <v>3.7999999999999999E-2</v>
      </c>
      <c r="K71" s="1285">
        <f t="shared" si="24"/>
        <v>1.9E-2</v>
      </c>
      <c r="L71" s="1285">
        <v>0</v>
      </c>
      <c r="M71" s="1285">
        <f t="shared" si="25"/>
        <v>-1.9E-2</v>
      </c>
      <c r="N71" s="1285">
        <f t="shared" si="25"/>
        <v>-3.7999999999999999E-2</v>
      </c>
      <c r="AA71" s="1371"/>
      <c r="AB71" s="1371"/>
      <c r="AC71" s="1371"/>
      <c r="AD71" s="1371"/>
      <c r="AE71" s="1371"/>
      <c r="AF71" s="1371"/>
      <c r="AG71" s="1371"/>
      <c r="AH71" s="1371"/>
      <c r="AI71" s="1371"/>
      <c r="AJ71" s="1371"/>
      <c r="AK71" s="1371"/>
    </row>
    <row r="72" spans="1:37" s="1370" customFormat="1" ht="25.5">
      <c r="A72" s="2874" t="s">
        <v>2947</v>
      </c>
      <c r="B72" s="2878" t="str">
        <f>估价对象房地状况!C19</f>
        <v>区域内多为住宅用地，对土地利用无不利影响。</v>
      </c>
      <c r="C72" s="2766" t="s">
        <v>3152</v>
      </c>
      <c r="D72" s="1286">
        <f t="shared" si="20"/>
        <v>5.0000000000000001E-3</v>
      </c>
      <c r="E72" s="823"/>
      <c r="F72" s="2497"/>
      <c r="G72" s="1284">
        <f t="shared" si="21"/>
        <v>5.0000000000000001E-3</v>
      </c>
      <c r="H72" s="1288">
        <f t="shared" si="22"/>
        <v>5.0000000000000001E-3</v>
      </c>
      <c r="I72" s="817">
        <v>0.08</v>
      </c>
      <c r="J72" s="1285">
        <f t="shared" si="23"/>
        <v>0.01</v>
      </c>
      <c r="K72" s="1285">
        <f t="shared" si="24"/>
        <v>5.0000000000000001E-3</v>
      </c>
      <c r="L72" s="1285">
        <v>0</v>
      </c>
      <c r="M72" s="1285">
        <f t="shared" si="25"/>
        <v>-5.0000000000000001E-3</v>
      </c>
      <c r="N72" s="1285">
        <f t="shared" si="25"/>
        <v>-0.01</v>
      </c>
      <c r="AA72" s="1371"/>
      <c r="AB72" s="1371"/>
      <c r="AC72" s="1371"/>
      <c r="AD72" s="1371"/>
      <c r="AE72" s="1371"/>
      <c r="AF72" s="1371"/>
      <c r="AG72" s="1371"/>
      <c r="AH72" s="1371"/>
      <c r="AI72" s="1371"/>
      <c r="AJ72" s="1371"/>
      <c r="AK72" s="1371"/>
    </row>
    <row r="73" spans="1:37" s="1370" customFormat="1" ht="14.25">
      <c r="A73" s="2874" t="s">
        <v>2961</v>
      </c>
      <c r="B73" s="2878" t="str">
        <f>估价对象房地状况!C24</f>
        <v>城市支路——沟自头街</v>
      </c>
      <c r="C73" s="2766" t="s">
        <v>3155</v>
      </c>
      <c r="D73" s="1286">
        <f t="shared" si="20"/>
        <v>-2.5000000000000001E-3</v>
      </c>
      <c r="E73" s="823"/>
      <c r="F73" s="2497"/>
      <c r="G73" s="1284">
        <f t="shared" si="21"/>
        <v>2.5000000000000001E-3</v>
      </c>
      <c r="H73" s="1288">
        <f t="shared" si="22"/>
        <v>2.5000000000000001E-3</v>
      </c>
      <c r="I73" s="817">
        <v>0.04</v>
      </c>
      <c r="J73" s="1285">
        <f t="shared" si="23"/>
        <v>5.0000000000000001E-3</v>
      </c>
      <c r="K73" s="1285">
        <f t="shared" si="24"/>
        <v>2.5000000000000001E-3</v>
      </c>
      <c r="L73" s="1285">
        <v>0</v>
      </c>
      <c r="M73" s="1285">
        <f t="shared" si="25"/>
        <v>-2.5000000000000001E-3</v>
      </c>
      <c r="N73" s="1285">
        <f t="shared" si="25"/>
        <v>-5.0000000000000001E-3</v>
      </c>
      <c r="AA73" s="1371"/>
      <c r="AB73" s="1371"/>
      <c r="AC73" s="1371"/>
      <c r="AD73" s="1371"/>
      <c r="AE73" s="1371"/>
      <c r="AF73" s="1371"/>
      <c r="AG73" s="1371"/>
      <c r="AH73" s="1371"/>
      <c r="AI73" s="1371"/>
      <c r="AJ73" s="1371"/>
      <c r="AK73" s="1371"/>
    </row>
    <row r="74" spans="1:37" s="1370" customFormat="1" ht="127.5">
      <c r="A74" s="2874" t="s">
        <v>2953</v>
      </c>
      <c r="B74" s="1725" t="str">
        <f>估价对象房地状况!C21</f>
        <v>估价对象所在区域2公里范围内有：银行（中国银行、北京农村商业银行），购物（物联隆超市、超市发超市）、医院（北七家社区卫生服务中心），学校（北京市晨星学校、伊顿双语幼儿园），餐饮等，公共配套设施齐备情况较好。</v>
      </c>
      <c r="C74" s="2766" t="s">
        <v>3152</v>
      </c>
      <c r="D74" s="1286">
        <f t="shared" si="20"/>
        <v>5.0000000000000001E-3</v>
      </c>
      <c r="E74" s="823"/>
      <c r="F74" s="2497"/>
      <c r="G74" s="1284">
        <f t="shared" si="21"/>
        <v>5.0000000000000001E-3</v>
      </c>
      <c r="H74" s="1288">
        <f t="shared" si="22"/>
        <v>5.0000000000000001E-3</v>
      </c>
      <c r="I74" s="817">
        <v>0.08</v>
      </c>
      <c r="J74" s="1285">
        <f t="shared" si="23"/>
        <v>0.01</v>
      </c>
      <c r="K74" s="1285">
        <f t="shared" si="24"/>
        <v>5.0000000000000001E-3</v>
      </c>
      <c r="L74" s="1285">
        <v>0</v>
      </c>
      <c r="M74" s="1285">
        <f t="shared" si="25"/>
        <v>-5.0000000000000001E-3</v>
      </c>
      <c r="N74" s="1285">
        <f t="shared" si="25"/>
        <v>-0.01</v>
      </c>
      <c r="AA74" s="1371"/>
      <c r="AB74" s="1371"/>
      <c r="AC74" s="1371"/>
      <c r="AD74" s="1371"/>
      <c r="AE74" s="1371"/>
      <c r="AF74" s="1371"/>
      <c r="AG74" s="1371"/>
      <c r="AH74" s="1371"/>
      <c r="AI74" s="1371"/>
      <c r="AJ74" s="1371"/>
      <c r="AK74" s="1371"/>
    </row>
    <row r="75" spans="1:37" s="1370" customFormat="1" ht="25.5">
      <c r="A75" s="2874" t="s">
        <v>2954</v>
      </c>
      <c r="B75" s="1725" t="str">
        <f>估价对象房地状况!C22</f>
        <v>估价对象所在区域基础设施水平达到“七通”。</v>
      </c>
      <c r="C75" s="2766" t="s">
        <v>3153</v>
      </c>
      <c r="D75" s="1286">
        <f t="shared" si="20"/>
        <v>1.52E-2</v>
      </c>
      <c r="E75" s="823"/>
      <c r="F75" s="2497"/>
      <c r="G75" s="1284">
        <f t="shared" si="21"/>
        <v>7.6E-3</v>
      </c>
      <c r="H75" s="1288">
        <f t="shared" si="22"/>
        <v>7.6E-3</v>
      </c>
      <c r="I75" s="817">
        <v>0.12</v>
      </c>
      <c r="J75" s="1285">
        <f t="shared" si="23"/>
        <v>1.52E-2</v>
      </c>
      <c r="K75" s="1285">
        <f t="shared" si="24"/>
        <v>7.6E-3</v>
      </c>
      <c r="L75" s="1285">
        <v>0</v>
      </c>
      <c r="M75" s="1285">
        <f t="shared" si="25"/>
        <v>-7.6E-3</v>
      </c>
      <c r="N75" s="1285">
        <f t="shared" si="25"/>
        <v>-1.52E-2</v>
      </c>
      <c r="AA75" s="1371"/>
      <c r="AB75" s="1371"/>
      <c r="AC75" s="1371"/>
      <c r="AD75" s="1371"/>
      <c r="AE75" s="1371"/>
      <c r="AF75" s="1371"/>
      <c r="AG75" s="1371"/>
      <c r="AH75" s="1371"/>
      <c r="AI75" s="1371"/>
      <c r="AJ75" s="1371"/>
      <c r="AK75" s="1371"/>
    </row>
    <row r="76" spans="1:37" s="2715" customFormat="1" ht="24">
      <c r="A76" s="2874" t="s">
        <v>2951</v>
      </c>
      <c r="B76" s="2880" t="s">
        <v>2952</v>
      </c>
      <c r="C76" s="2766" t="s">
        <v>3152</v>
      </c>
      <c r="D76" s="1286">
        <f t="shared" si="20"/>
        <v>3.0999999999999999E-3</v>
      </c>
      <c r="E76" s="823"/>
      <c r="F76" s="2497"/>
      <c r="G76" s="1284">
        <f t="shared" si="21"/>
        <v>3.0999999999999999E-3</v>
      </c>
      <c r="H76" s="1288">
        <f t="shared" si="22"/>
        <v>3.0999999999999999E-3</v>
      </c>
      <c r="I76" s="817">
        <v>0.05</v>
      </c>
      <c r="J76" s="1285">
        <f t="shared" si="23"/>
        <v>6.1999999999999998E-3</v>
      </c>
      <c r="K76" s="1285">
        <f t="shared" si="24"/>
        <v>3.0999999999999999E-3</v>
      </c>
      <c r="L76" s="1285">
        <v>0</v>
      </c>
      <c r="M76" s="1285">
        <f t="shared" si="25"/>
        <v>-3.0999999999999999E-3</v>
      </c>
      <c r="N76" s="1285">
        <f t="shared" si="25"/>
        <v>-6.1999999999999998E-3</v>
      </c>
      <c r="AA76" s="2885"/>
      <c r="AB76" s="1371"/>
      <c r="AC76" s="1371"/>
      <c r="AD76" s="1371"/>
      <c r="AE76" s="1371"/>
      <c r="AF76" s="1371"/>
      <c r="AG76" s="1371"/>
      <c r="AH76" s="2885"/>
      <c r="AI76" s="2885"/>
      <c r="AJ76" s="2885"/>
      <c r="AK76" s="2885"/>
    </row>
    <row r="77" spans="1:37" ht="51">
      <c r="A77" s="2874" t="s">
        <v>2955</v>
      </c>
      <c r="B77" s="2877" t="str">
        <f>估价对象房地状况!C20</f>
        <v>区域自然环境：未来科技城滨河公园；人文环境：无展览馆、博物馆等；综合评价环境状况一般。</v>
      </c>
      <c r="C77" s="2766" t="s">
        <v>3154</v>
      </c>
      <c r="D77" s="1286">
        <f t="shared" si="20"/>
        <v>0</v>
      </c>
      <c r="E77" s="823"/>
      <c r="F77" s="2497"/>
      <c r="G77" s="1284">
        <f t="shared" si="21"/>
        <v>9.4999999999999998E-3</v>
      </c>
      <c r="H77" s="1288">
        <f t="shared" si="22"/>
        <v>9.4999999999999998E-3</v>
      </c>
      <c r="I77" s="817">
        <v>0.15</v>
      </c>
      <c r="J77" s="1285">
        <f t="shared" si="23"/>
        <v>1.9E-2</v>
      </c>
      <c r="K77" s="1285">
        <f t="shared" si="24"/>
        <v>9.4999999999999998E-3</v>
      </c>
      <c r="L77" s="1285">
        <v>0</v>
      </c>
      <c r="M77" s="1285">
        <f t="shared" si="25"/>
        <v>-9.4999999999999998E-3</v>
      </c>
      <c r="N77" s="1285">
        <f t="shared" si="25"/>
        <v>-1.9E-2</v>
      </c>
      <c r="Z77" s="2716"/>
      <c r="AA77" s="2792"/>
      <c r="AG77" s="1372"/>
      <c r="AK77" s="2792"/>
    </row>
    <row r="78" spans="1:37" ht="24.75" thickBot="1">
      <c r="A78" s="2882" t="s">
        <v>2962</v>
      </c>
      <c r="B78" s="2886"/>
      <c r="C78" s="2766" t="s">
        <v>3154</v>
      </c>
      <c r="D78" s="1286">
        <f t="shared" si="20"/>
        <v>0</v>
      </c>
      <c r="E78" s="824"/>
      <c r="F78" s="2497"/>
      <c r="G78" s="1284">
        <f t="shared" si="21"/>
        <v>2.5000000000000001E-3</v>
      </c>
      <c r="H78" s="1288">
        <f t="shared" si="22"/>
        <v>2.5000000000000001E-3</v>
      </c>
      <c r="I78" s="821">
        <v>0.04</v>
      </c>
      <c r="J78" s="1285">
        <f t="shared" si="23"/>
        <v>5.0000000000000001E-3</v>
      </c>
      <c r="K78" s="1285">
        <f t="shared" si="24"/>
        <v>2.5000000000000001E-3</v>
      </c>
      <c r="L78" s="1285">
        <v>0</v>
      </c>
      <c r="M78" s="1285">
        <f t="shared" si="25"/>
        <v>-2.5000000000000001E-3</v>
      </c>
      <c r="N78" s="1285">
        <f t="shared" si="25"/>
        <v>-5.0000000000000001E-3</v>
      </c>
      <c r="Z78" s="2716"/>
      <c r="AA78" s="2792"/>
      <c r="AG78" s="1372"/>
      <c r="AK78" s="2792"/>
    </row>
    <row r="79" spans="1:37" ht="15">
      <c r="A79" s="2870" t="s">
        <v>2963</v>
      </c>
      <c r="B79" s="2871">
        <f>1+E81</f>
        <v>1</v>
      </c>
      <c r="C79" s="811"/>
      <c r="D79" s="811"/>
      <c r="E79" s="812"/>
      <c r="F79" s="2873"/>
      <c r="G79" s="6"/>
      <c r="H79" s="6"/>
      <c r="I79" s="6"/>
      <c r="J79" s="7"/>
      <c r="K79" s="7"/>
      <c r="L79" s="7"/>
      <c r="M79" s="7"/>
      <c r="N79" s="7"/>
      <c r="Z79" s="2716"/>
      <c r="AA79" s="2792"/>
      <c r="AG79" s="1372"/>
      <c r="AK79" s="2792"/>
    </row>
    <row r="80" spans="1:37" ht="24.75">
      <c r="A80" s="2874" t="s">
        <v>2937</v>
      </c>
      <c r="B80" s="1809"/>
      <c r="C80" s="1809" t="s">
        <v>2939</v>
      </c>
      <c r="D80" s="1809" t="s">
        <v>2940</v>
      </c>
      <c r="E80" s="816" t="s">
        <v>2941</v>
      </c>
      <c r="F80" s="2875" t="s">
        <v>2957</v>
      </c>
      <c r="G80" s="1809" t="s">
        <v>754</v>
      </c>
      <c r="H80" s="2876" t="s">
        <v>2943</v>
      </c>
      <c r="I80" s="1809" t="s">
        <v>2944</v>
      </c>
      <c r="J80" s="603" t="s">
        <v>2593</v>
      </c>
      <c r="K80" s="603" t="s">
        <v>2594</v>
      </c>
      <c r="L80" s="603" t="s">
        <v>2595</v>
      </c>
      <c r="M80" s="603" t="s">
        <v>2596</v>
      </c>
      <c r="N80" s="603" t="s">
        <v>2597</v>
      </c>
      <c r="Z80" s="2716"/>
      <c r="AA80" s="2792"/>
      <c r="AG80" s="1372"/>
      <c r="AK80" s="2792"/>
    </row>
    <row r="81" spans="1:37" ht="38.25">
      <c r="A81" s="2874" t="s">
        <v>2964</v>
      </c>
      <c r="B81" s="2878" t="str">
        <f>估价对象房地状况!G15</f>
        <v>估价对象位于XX开发区，园区建设成熟度XX，产业集聚程度XX</v>
      </c>
      <c r="C81" s="2766"/>
      <c r="D81" s="1286">
        <f t="shared" ref="D81:D88" si="26">SUMIF($J$80:$N$80,C81,J81:N81)</f>
        <v>0</v>
      </c>
      <c r="E81" s="818">
        <f>ROUND(SUM(D81:D88),4)</f>
        <v>0</v>
      </c>
      <c r="F81" s="2497" t="str">
        <f>IF(E2="工业",SUMIF(L1:L12,G2,N1:N12),"——")</f>
        <v>——</v>
      </c>
      <c r="G81" s="1284"/>
      <c r="H81" s="1288" t="str">
        <f t="shared" ref="H81:H88" si="27">IFERROR(ROUNDDOWN($F$81*I81/2,4),"——")</f>
        <v>——</v>
      </c>
      <c r="I81" s="817">
        <v>0.26</v>
      </c>
      <c r="J81" s="1285">
        <f t="shared" ref="J81:J88" si="28">K81+$G81</f>
        <v>0</v>
      </c>
      <c r="K81" s="1285">
        <f t="shared" ref="K81:K88" si="29">$L81+$G81</f>
        <v>0</v>
      </c>
      <c r="L81" s="1285">
        <v>0</v>
      </c>
      <c r="M81" s="1285">
        <f t="shared" ref="M81:N88" si="30">L81-$G81</f>
        <v>0</v>
      </c>
      <c r="N81" s="1285">
        <f t="shared" si="30"/>
        <v>0</v>
      </c>
      <c r="Z81" s="2716"/>
      <c r="AA81" s="2792"/>
      <c r="AG81" s="1372"/>
      <c r="AK81" s="2792"/>
    </row>
    <row r="82" spans="1:37" ht="51">
      <c r="A82" s="2874" t="s">
        <v>2946</v>
      </c>
      <c r="B82" s="2878" t="str">
        <f>估价对象房地状况!G16</f>
        <v>估价对象周边道路状况、公共交通通达情况、停车便捷程度，综合评价交通便捷度较好</v>
      </c>
      <c r="C82" s="2766"/>
      <c r="D82" s="1286">
        <f t="shared" si="26"/>
        <v>0</v>
      </c>
      <c r="E82" s="823"/>
      <c r="F82" s="2497"/>
      <c r="G82" s="1284"/>
      <c r="H82" s="1288" t="str">
        <f t="shared" si="27"/>
        <v>——</v>
      </c>
      <c r="I82" s="817">
        <v>0.33</v>
      </c>
      <c r="J82" s="1285">
        <f t="shared" si="28"/>
        <v>0</v>
      </c>
      <c r="K82" s="1285">
        <f t="shared" si="29"/>
        <v>0</v>
      </c>
      <c r="L82" s="1285">
        <v>0</v>
      </c>
      <c r="M82" s="1285">
        <f t="shared" si="30"/>
        <v>0</v>
      </c>
      <c r="N82" s="1285">
        <f t="shared" si="30"/>
        <v>0</v>
      </c>
      <c r="Z82" s="2716"/>
      <c r="AA82" s="2792"/>
      <c r="AG82" s="1372"/>
      <c r="AK82" s="2792"/>
    </row>
    <row r="83" spans="1:37" ht="24">
      <c r="A83" s="2874" t="s">
        <v>2947</v>
      </c>
      <c r="B83" s="2878">
        <f>估价对象房地状况!G17</f>
        <v>0</v>
      </c>
      <c r="C83" s="2766"/>
      <c r="D83" s="1286">
        <f t="shared" si="26"/>
        <v>0</v>
      </c>
      <c r="E83" s="823"/>
      <c r="F83" s="2497"/>
      <c r="G83" s="1284"/>
      <c r="H83" s="1288" t="str">
        <f t="shared" si="27"/>
        <v>——</v>
      </c>
      <c r="I83" s="817">
        <v>0.05</v>
      </c>
      <c r="J83" s="1285">
        <f t="shared" si="28"/>
        <v>0</v>
      </c>
      <c r="K83" s="1285">
        <f t="shared" si="29"/>
        <v>0</v>
      </c>
      <c r="L83" s="1285">
        <v>0</v>
      </c>
      <c r="M83" s="1285">
        <f t="shared" si="30"/>
        <v>0</v>
      </c>
      <c r="N83" s="1285">
        <f t="shared" si="30"/>
        <v>0</v>
      </c>
      <c r="Z83" s="2716"/>
      <c r="AA83" s="2792"/>
      <c r="AG83" s="1372"/>
      <c r="AK83" s="2792"/>
    </row>
    <row r="84" spans="1:37" ht="14.25">
      <c r="A84" s="2874" t="s">
        <v>2961</v>
      </c>
      <c r="B84" s="2878">
        <f>估价对象房地状况!G22</f>
        <v>0</v>
      </c>
      <c r="C84" s="2766"/>
      <c r="D84" s="1286">
        <f t="shared" si="26"/>
        <v>0</v>
      </c>
      <c r="E84" s="823"/>
      <c r="F84" s="2497"/>
      <c r="G84" s="1284"/>
      <c r="H84" s="1288" t="str">
        <f t="shared" si="27"/>
        <v>——</v>
      </c>
      <c r="I84" s="817">
        <v>0.04</v>
      </c>
      <c r="J84" s="1285">
        <f t="shared" si="28"/>
        <v>0</v>
      </c>
      <c r="K84" s="1285">
        <f t="shared" si="29"/>
        <v>0</v>
      </c>
      <c r="L84" s="1285">
        <v>0</v>
      </c>
      <c r="M84" s="1285">
        <f t="shared" si="30"/>
        <v>0</v>
      </c>
      <c r="N84" s="1285">
        <f t="shared" si="30"/>
        <v>0</v>
      </c>
      <c r="Z84" s="2716"/>
      <c r="AA84" s="2792"/>
      <c r="AG84" s="1372"/>
      <c r="AK84" s="2792"/>
    </row>
    <row r="85" spans="1:37" ht="25.5">
      <c r="A85" s="2874" t="s">
        <v>2953</v>
      </c>
      <c r="B85" s="1725" t="str">
        <f>估价对象房地状况!G19</f>
        <v>估价对象所在区域公共配套设施齐备情况</v>
      </c>
      <c r="C85" s="2766"/>
      <c r="D85" s="1286">
        <f t="shared" si="26"/>
        <v>0</v>
      </c>
      <c r="E85" s="823"/>
      <c r="F85" s="2497"/>
      <c r="G85" s="1284"/>
      <c r="H85" s="1288" t="str">
        <f t="shared" si="27"/>
        <v>——</v>
      </c>
      <c r="I85" s="817">
        <v>0.06</v>
      </c>
      <c r="J85" s="1285">
        <f t="shared" si="28"/>
        <v>0</v>
      </c>
      <c r="K85" s="1285">
        <f t="shared" si="29"/>
        <v>0</v>
      </c>
      <c r="L85" s="1285">
        <v>0</v>
      </c>
      <c r="M85" s="1285">
        <f t="shared" si="30"/>
        <v>0</v>
      </c>
      <c r="N85" s="1285">
        <f t="shared" si="30"/>
        <v>0</v>
      </c>
      <c r="Z85" s="2716"/>
      <c r="AA85" s="2792"/>
      <c r="AG85" s="1372"/>
      <c r="AK85" s="2792"/>
    </row>
    <row r="86" spans="1:37" ht="25.5">
      <c r="A86" s="2874" t="s">
        <v>2954</v>
      </c>
      <c r="B86" s="1725" t="str">
        <f>估价对象房地状况!G20</f>
        <v>估价对象所在区域基础设施水平</v>
      </c>
      <c r="C86" s="2766"/>
      <c r="D86" s="1286">
        <f t="shared" si="26"/>
        <v>0</v>
      </c>
      <c r="E86" s="823"/>
      <c r="F86" s="2497"/>
      <c r="G86" s="1284"/>
      <c r="H86" s="1288" t="str">
        <f t="shared" si="27"/>
        <v>——</v>
      </c>
      <c r="I86" s="817">
        <v>0.15</v>
      </c>
      <c r="J86" s="1285">
        <f t="shared" si="28"/>
        <v>0</v>
      </c>
      <c r="K86" s="1285">
        <f t="shared" si="29"/>
        <v>0</v>
      </c>
      <c r="L86" s="1285">
        <v>0</v>
      </c>
      <c r="M86" s="1285">
        <f t="shared" si="30"/>
        <v>0</v>
      </c>
      <c r="N86" s="1285">
        <f t="shared" si="30"/>
        <v>0</v>
      </c>
      <c r="Z86" s="2716"/>
      <c r="AA86" s="2792"/>
      <c r="AG86" s="1372"/>
      <c r="AK86" s="2792"/>
    </row>
    <row r="87" spans="1:37" ht="24">
      <c r="A87" s="2874" t="s">
        <v>2951</v>
      </c>
      <c r="B87" s="2880" t="s">
        <v>2965</v>
      </c>
      <c r="C87" s="2766"/>
      <c r="D87" s="1286">
        <f t="shared" si="26"/>
        <v>0</v>
      </c>
      <c r="E87" s="823"/>
      <c r="F87" s="2497"/>
      <c r="G87" s="1284"/>
      <c r="H87" s="1288" t="str">
        <f t="shared" si="27"/>
        <v>——</v>
      </c>
      <c r="I87" s="817">
        <v>0.05</v>
      </c>
      <c r="J87" s="1285">
        <f t="shared" si="28"/>
        <v>0</v>
      </c>
      <c r="K87" s="1285">
        <f t="shared" si="29"/>
        <v>0</v>
      </c>
      <c r="L87" s="1285">
        <v>0</v>
      </c>
      <c r="M87" s="1285">
        <f t="shared" si="30"/>
        <v>0</v>
      </c>
      <c r="N87" s="1285">
        <f t="shared" si="30"/>
        <v>0</v>
      </c>
      <c r="Z87" s="2716"/>
      <c r="AA87" s="2792"/>
      <c r="AG87" s="1372"/>
      <c r="AK87" s="2792"/>
    </row>
    <row r="88" spans="1:37" ht="39" thickBot="1">
      <c r="A88" s="2882" t="s">
        <v>2966</v>
      </c>
      <c r="B88" s="2887" t="str">
        <f>估价对象房地状况!G18</f>
        <v>该园区内是否有污染型企业，绿化情况，卫生条件，整体环境状况判断</v>
      </c>
      <c r="C88" s="2766"/>
      <c r="D88" s="1286">
        <f t="shared" si="26"/>
        <v>0</v>
      </c>
      <c r="E88" s="824"/>
      <c r="F88" s="2497"/>
      <c r="G88" s="1284"/>
      <c r="H88" s="1288" t="str">
        <f t="shared" si="27"/>
        <v>——</v>
      </c>
      <c r="I88" s="821">
        <v>0.06</v>
      </c>
      <c r="J88" s="1285">
        <f t="shared" si="28"/>
        <v>0</v>
      </c>
      <c r="K88" s="1285">
        <f t="shared" si="29"/>
        <v>0</v>
      </c>
      <c r="L88" s="1285">
        <v>0</v>
      </c>
      <c r="M88" s="1285">
        <f t="shared" si="30"/>
        <v>0</v>
      </c>
      <c r="N88" s="1285">
        <f t="shared" si="30"/>
        <v>0</v>
      </c>
      <c r="Z88" s="2716"/>
      <c r="AA88" s="2792"/>
      <c r="AG88" s="1372"/>
      <c r="AK88" s="2792"/>
    </row>
    <row r="90" spans="1:37">
      <c r="A90" s="3220" t="s">
        <v>2967</v>
      </c>
      <c r="B90" s="3220"/>
      <c r="C90" s="3220"/>
      <c r="D90" s="3220"/>
      <c r="E90" s="3220"/>
      <c r="F90" s="3220"/>
      <c r="G90" s="3220"/>
      <c r="H90" s="3220"/>
      <c r="I90" s="3220"/>
      <c r="J90" s="3220"/>
      <c r="K90" s="2888"/>
      <c r="L90" s="2888"/>
      <c r="M90" s="2888"/>
      <c r="N90" s="2888"/>
    </row>
    <row r="91" spans="1:37">
      <c r="A91" s="3222" t="s">
        <v>2968</v>
      </c>
      <c r="B91" s="3222" t="s">
        <v>2969</v>
      </c>
      <c r="C91" s="2842" t="s">
        <v>2970</v>
      </c>
      <c r="D91" s="2843"/>
      <c r="E91" s="2843"/>
      <c r="F91" s="2843"/>
      <c r="G91" s="2843"/>
      <c r="H91" s="2843"/>
      <c r="I91" s="2843"/>
      <c r="J91" s="2889"/>
      <c r="K91" s="2890"/>
      <c r="L91" s="2890"/>
      <c r="M91" s="2890"/>
      <c r="N91" s="2890"/>
    </row>
    <row r="92" spans="1:37">
      <c r="A92" s="3222"/>
      <c r="B92" s="3222"/>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23" t="s">
        <v>2971</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24"/>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24"/>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24"/>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24"/>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24"/>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24"/>
      <c r="B99" s="2891" t="s">
        <v>2852</v>
      </c>
      <c r="C99" s="2893">
        <f>$I$3</f>
        <v>0</v>
      </c>
      <c r="D99" s="2893">
        <f t="shared" ref="D99:M99" si="31">$I$3</f>
        <v>0</v>
      </c>
      <c r="E99" s="2893">
        <f t="shared" si="31"/>
        <v>0</v>
      </c>
      <c r="F99" s="2893">
        <f t="shared" si="31"/>
        <v>0</v>
      </c>
      <c r="G99" s="2893">
        <f t="shared" si="31"/>
        <v>0</v>
      </c>
      <c r="H99" s="2893">
        <f t="shared" si="31"/>
        <v>0</v>
      </c>
      <c r="I99" s="2893">
        <f t="shared" si="31"/>
        <v>0</v>
      </c>
      <c r="J99" s="2893">
        <f t="shared" si="31"/>
        <v>0</v>
      </c>
      <c r="K99" s="2893">
        <f t="shared" si="31"/>
        <v>0</v>
      </c>
      <c r="L99" s="2893">
        <f t="shared" si="31"/>
        <v>0</v>
      </c>
      <c r="M99" s="2893">
        <f t="shared" si="31"/>
        <v>0</v>
      </c>
      <c r="N99" s="2893">
        <f>$I$3</f>
        <v>0</v>
      </c>
    </row>
    <row r="100" spans="1:14">
      <c r="A100" s="3225"/>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23" t="s">
        <v>2972</v>
      </c>
      <c r="B101" s="2895" t="s">
        <v>2973</v>
      </c>
      <c r="C101" s="2896">
        <f>$G$3</f>
        <v>1.51</v>
      </c>
      <c r="D101" s="2896">
        <f t="shared" ref="D101:N101" si="32">$G$3</f>
        <v>1.51</v>
      </c>
      <c r="E101" s="2896">
        <f t="shared" si="32"/>
        <v>1.51</v>
      </c>
      <c r="F101" s="2896">
        <f t="shared" si="32"/>
        <v>1.51</v>
      </c>
      <c r="G101" s="2896">
        <f t="shared" si="32"/>
        <v>1.51</v>
      </c>
      <c r="H101" s="2896">
        <f t="shared" si="32"/>
        <v>1.51</v>
      </c>
      <c r="I101" s="2896">
        <f t="shared" si="32"/>
        <v>1.51</v>
      </c>
      <c r="J101" s="2896">
        <f t="shared" si="32"/>
        <v>1.51</v>
      </c>
      <c r="K101" s="2896">
        <f t="shared" si="32"/>
        <v>1.51</v>
      </c>
      <c r="L101" s="2896">
        <f t="shared" si="32"/>
        <v>1.51</v>
      </c>
      <c r="M101" s="2896">
        <f t="shared" si="32"/>
        <v>1.51</v>
      </c>
      <c r="N101" s="2896">
        <f t="shared" si="32"/>
        <v>1.51</v>
      </c>
    </row>
    <row r="102" spans="1:14">
      <c r="A102" s="3224"/>
      <c r="B102" s="2891">
        <v>1</v>
      </c>
      <c r="C102" s="2892">
        <f>1.9362/C101</f>
        <v>1.282251655629139</v>
      </c>
      <c r="D102" s="2892">
        <f>1.9362/D101</f>
        <v>1.282251655629139</v>
      </c>
      <c r="E102" s="2892">
        <f>1.8629/E101</f>
        <v>1.2337086092715233</v>
      </c>
      <c r="F102" s="2892">
        <f>1.8629/F101</f>
        <v>1.2337086092715233</v>
      </c>
      <c r="G102" s="2892">
        <f>1.8629/G101</f>
        <v>1.2337086092715233</v>
      </c>
      <c r="H102" s="2892">
        <f>1.8629/H101</f>
        <v>1.2337086092715233</v>
      </c>
      <c r="I102" s="2892">
        <f>1.8629/I101</f>
        <v>1.2337086092715233</v>
      </c>
      <c r="J102" s="2892">
        <f>1.942/J101</f>
        <v>1.286092715231788</v>
      </c>
      <c r="K102" s="2892">
        <f>1.942/K101</f>
        <v>1.286092715231788</v>
      </c>
      <c r="L102" s="2892">
        <f>1.942/L101</f>
        <v>1.286092715231788</v>
      </c>
      <c r="M102" s="2892">
        <f>1.942/M101</f>
        <v>1.286092715231788</v>
      </c>
      <c r="N102" s="2892">
        <f>1.942/N101</f>
        <v>1.286092715231788</v>
      </c>
    </row>
    <row r="103" spans="1:14">
      <c r="A103" s="3224"/>
      <c r="B103" s="2891">
        <v>2</v>
      </c>
      <c r="C103" s="2892">
        <f>1.4198/C101</f>
        <v>0.94026490066225166</v>
      </c>
      <c r="D103" s="2892">
        <f>1.4198/D101</f>
        <v>0.94026490066225166</v>
      </c>
      <c r="E103" s="2892">
        <f>1.3372/E101</f>
        <v>0.8855629139072847</v>
      </c>
      <c r="F103" s="2892">
        <f>1.3372/F101</f>
        <v>0.8855629139072847</v>
      </c>
      <c r="G103" s="2892">
        <f>1.3372/G101</f>
        <v>0.8855629139072847</v>
      </c>
      <c r="H103" s="2892">
        <f>1.3372/H101</f>
        <v>0.8855629139072847</v>
      </c>
      <c r="I103" s="2892">
        <f>1.3372/I101</f>
        <v>0.8855629139072847</v>
      </c>
      <c r="J103" s="2892">
        <f>1.2799/J101</f>
        <v>0.84761589403973514</v>
      </c>
      <c r="K103" s="2892">
        <f>1.2799/K101</f>
        <v>0.84761589403973514</v>
      </c>
      <c r="L103" s="2892">
        <f>1.2799/L101</f>
        <v>0.84761589403973514</v>
      </c>
      <c r="M103" s="2892">
        <f>1.2799/M101</f>
        <v>0.84761589403973514</v>
      </c>
      <c r="N103" s="2892">
        <f>1.2799/N101</f>
        <v>0.84761589403973514</v>
      </c>
    </row>
    <row r="104" spans="1:14">
      <c r="A104" s="3224"/>
      <c r="B104" s="2891">
        <v>3</v>
      </c>
      <c r="C104" s="2892">
        <f>1.1594/C101</f>
        <v>0.7678145695364238</v>
      </c>
      <c r="D104" s="2892">
        <f>1.1594/D101</f>
        <v>0.7678145695364238</v>
      </c>
      <c r="E104" s="2892">
        <f>1.0788/E101</f>
        <v>0.71443708609271517</v>
      </c>
      <c r="F104" s="2892">
        <f>1.0788/F101</f>
        <v>0.71443708609271517</v>
      </c>
      <c r="G104" s="2892">
        <f>1.0788/G101</f>
        <v>0.71443708609271517</v>
      </c>
      <c r="H104" s="2892">
        <f>1.0788/H101</f>
        <v>0.71443708609271517</v>
      </c>
      <c r="I104" s="2892">
        <f>1.0788/I101</f>
        <v>0.71443708609271517</v>
      </c>
      <c r="J104" s="2892">
        <f>1.0072/J101</f>
        <v>0.66701986754966891</v>
      </c>
      <c r="K104" s="2892">
        <f>1.0072/K101</f>
        <v>0.66701986754966891</v>
      </c>
      <c r="L104" s="2892">
        <f>1.0072/L101</f>
        <v>0.66701986754966891</v>
      </c>
      <c r="M104" s="2892">
        <f>1.0072/M101</f>
        <v>0.66701986754966891</v>
      </c>
      <c r="N104" s="2892">
        <f>1.0072/N101</f>
        <v>0.66701986754966891</v>
      </c>
    </row>
    <row r="105" spans="1:14">
      <c r="A105" s="3224"/>
      <c r="B105" s="2891">
        <v>4</v>
      </c>
      <c r="C105" s="2892">
        <f>0.9622/C101</f>
        <v>0.63721854304635761</v>
      </c>
      <c r="D105" s="2892">
        <f>0.9622/D101</f>
        <v>0.63721854304635761</v>
      </c>
      <c r="E105" s="2892">
        <f>0.8656/E101</f>
        <v>0.57324503311258279</v>
      </c>
      <c r="F105" s="2892">
        <f>0.8656/F101</f>
        <v>0.57324503311258279</v>
      </c>
      <c r="G105" s="2892">
        <f>0.8656/G101</f>
        <v>0.57324503311258279</v>
      </c>
      <c r="H105" s="2892">
        <f>0.8656/H101</f>
        <v>0.57324503311258279</v>
      </c>
      <c r="I105" s="2892">
        <f>0.8656/I101</f>
        <v>0.57324503311258279</v>
      </c>
      <c r="J105" s="2892">
        <f>0.7525/J101</f>
        <v>0.49834437086092709</v>
      </c>
      <c r="K105" s="2892">
        <f>0.7525/K101</f>
        <v>0.49834437086092709</v>
      </c>
      <c r="L105" s="2892">
        <f>0.7525/L101</f>
        <v>0.49834437086092709</v>
      </c>
      <c r="M105" s="2892">
        <f>0.7525/M101</f>
        <v>0.49834437086092709</v>
      </c>
      <c r="N105" s="2892">
        <f>0.7525/N101</f>
        <v>0.49834437086092709</v>
      </c>
    </row>
    <row r="106" spans="1:14">
      <c r="A106" s="3224"/>
      <c r="B106" s="2891">
        <v>5</v>
      </c>
      <c r="C106" s="2892">
        <f>0.8417/C101</f>
        <v>0.55741721854304638</v>
      </c>
      <c r="D106" s="2892">
        <f>0.8417/D101</f>
        <v>0.55741721854304638</v>
      </c>
      <c r="E106" s="2892">
        <f>0.7371/E101</f>
        <v>0.48814569536423841</v>
      </c>
      <c r="F106" s="2892">
        <f>0.7371/F101</f>
        <v>0.48814569536423841</v>
      </c>
      <c r="G106" s="2892">
        <f>0.7371/G101</f>
        <v>0.48814569536423841</v>
      </c>
      <c r="H106" s="2892">
        <f>0.7371/H101</f>
        <v>0.48814569536423841</v>
      </c>
      <c r="I106" s="2892">
        <f>0.7371/I101</f>
        <v>0.48814569536423841</v>
      </c>
      <c r="J106" s="2892">
        <f>0.5659/J101</f>
        <v>0.37476821192052978</v>
      </c>
      <c r="K106" s="2892">
        <f>0.5659/K101</f>
        <v>0.37476821192052978</v>
      </c>
      <c r="L106" s="2892">
        <f>0.5659/L101</f>
        <v>0.37476821192052978</v>
      </c>
      <c r="M106" s="2892">
        <f>0.5659/M101</f>
        <v>0.37476821192052978</v>
      </c>
      <c r="N106" s="2892">
        <f>0.5659/N101</f>
        <v>0.37476821192052978</v>
      </c>
    </row>
    <row r="107" spans="1:14">
      <c r="A107" s="3224"/>
      <c r="B107" s="2891">
        <v>6</v>
      </c>
      <c r="C107" s="2892">
        <f>0.7608/C101</f>
        <v>0.50384105960264902</v>
      </c>
      <c r="D107" s="2892">
        <f>0.7608/D101</f>
        <v>0.50384105960264902</v>
      </c>
      <c r="E107" s="2892">
        <f>0.6482/E101</f>
        <v>0.42927152317880796</v>
      </c>
      <c r="F107" s="2892">
        <f>0.6482/F101</f>
        <v>0.42927152317880796</v>
      </c>
      <c r="G107" s="2892">
        <f>0.6482/G101</f>
        <v>0.42927152317880796</v>
      </c>
      <c r="H107" s="2892">
        <f>0.6482/H101</f>
        <v>0.42927152317880796</v>
      </c>
      <c r="I107" s="2892">
        <f>0.6482/I101</f>
        <v>0.42927152317880796</v>
      </c>
      <c r="J107" s="2892">
        <f>0.4525/J101</f>
        <v>0.29966887417218546</v>
      </c>
      <c r="K107" s="2892">
        <f>0.4525/K101</f>
        <v>0.29966887417218546</v>
      </c>
      <c r="L107" s="2892">
        <f>0.4525/L101</f>
        <v>0.29966887417218546</v>
      </c>
      <c r="M107" s="2892">
        <f>0.4525/M101</f>
        <v>0.29966887417218546</v>
      </c>
      <c r="N107" s="2892">
        <f>0.4525/N101</f>
        <v>0.29966887417218546</v>
      </c>
    </row>
    <row r="108" spans="1:14">
      <c r="A108" s="3224"/>
      <c r="B108" s="3106" t="s">
        <v>2974</v>
      </c>
      <c r="C108" s="2893">
        <f>C99</f>
        <v>0</v>
      </c>
      <c r="D108" s="2893">
        <f t="shared" ref="D108:N108" si="33">D99</f>
        <v>0</v>
      </c>
      <c r="E108" s="2893">
        <f t="shared" si="33"/>
        <v>0</v>
      </c>
      <c r="F108" s="2893">
        <f t="shared" si="33"/>
        <v>0</v>
      </c>
      <c r="G108" s="2893">
        <f t="shared" si="33"/>
        <v>0</v>
      </c>
      <c r="H108" s="2893">
        <f t="shared" si="33"/>
        <v>0</v>
      </c>
      <c r="I108" s="2893">
        <f t="shared" si="33"/>
        <v>0</v>
      </c>
      <c r="J108" s="2893">
        <f t="shared" si="33"/>
        <v>0</v>
      </c>
      <c r="K108" s="2893">
        <f t="shared" si="33"/>
        <v>0</v>
      </c>
      <c r="L108" s="2893">
        <f t="shared" si="33"/>
        <v>0</v>
      </c>
      <c r="M108" s="2893">
        <f t="shared" si="33"/>
        <v>0</v>
      </c>
      <c r="N108" s="2893">
        <f t="shared" si="33"/>
        <v>0</v>
      </c>
    </row>
    <row r="109" spans="1:14">
      <c r="A109" s="3225"/>
      <c r="B109" s="3107"/>
      <c r="C109" s="2894">
        <f>(-0.163*(C108^2)-0.59*C108+7617)*(10^(-4))/C101</f>
        <v>0.5044370860927152</v>
      </c>
      <c r="D109" s="2894">
        <f>(-0.163*(D108^2)-0.59*D108+7617)*(10^(-4))/D101</f>
        <v>0.5044370860927152</v>
      </c>
      <c r="E109" s="2894">
        <f>(-0.161*(E108^2)-7.509*E108+6533)*(10^(-4))/E101</f>
        <v>0.43264900662251654</v>
      </c>
      <c r="F109" s="2894">
        <f>(-0.161*(F108^2)-7.509*F108+6533)*(10^(-4))/F101</f>
        <v>0.43264900662251654</v>
      </c>
      <c r="G109" s="2894">
        <f>(-0.161*(G108^2)-7.509*G108+6533)*(10^(-4))/G101</f>
        <v>0.43264900662251654</v>
      </c>
      <c r="H109" s="2894">
        <f>(-0.161*(H108^2)-7.509*H108+6533)*(10^(-4))/H101</f>
        <v>0.43264900662251654</v>
      </c>
      <c r="I109" s="2894">
        <f>(-0.161*(I108^2)-7.509*I108+6533)*(10^(-4))/I101</f>
        <v>0.43264900662251654</v>
      </c>
      <c r="J109" s="2894">
        <f>(-0.214*(J108^2)-21.991*J108+4665)*(10^(-4))/J101</f>
        <v>0.30894039735099338</v>
      </c>
      <c r="K109" s="2894">
        <f>(-0.214*(K108^2)-21.991*K108+4665)*(10^(-4))/K101</f>
        <v>0.30894039735099338</v>
      </c>
      <c r="L109" s="2894">
        <f>(-0.214*(L108^2)-21.991*L108+4665)*(10^(-4))/L101</f>
        <v>0.30894039735099338</v>
      </c>
      <c r="M109" s="2894">
        <f>(-0.214*(M108^2)-21.991*M108+4665)*(10^(-4))/M101</f>
        <v>0.30894039735099338</v>
      </c>
      <c r="N109" s="2894">
        <f>(-0.214*(N108^2)-21.991*N108+4665)*(10^(-4))/N101</f>
        <v>0.30894039735099338</v>
      </c>
    </row>
    <row r="110" spans="1:14">
      <c r="A110" s="3221" t="s">
        <v>2975</v>
      </c>
      <c r="B110" s="3221"/>
      <c r="C110" s="3221"/>
      <c r="D110" s="3221"/>
      <c r="E110" s="3221"/>
      <c r="F110" s="3221"/>
      <c r="G110" s="3221"/>
      <c r="H110" s="3221"/>
      <c r="I110" s="3221"/>
      <c r="J110" s="3221"/>
      <c r="K110" s="2897"/>
      <c r="L110" s="2897"/>
      <c r="M110" s="2897"/>
      <c r="N110" s="2897"/>
    </row>
    <row r="112" spans="1:14" ht="13.5" thickBot="1"/>
    <row r="113" spans="1:13" ht="25.5" thickBot="1">
      <c r="A113" s="900" t="s">
        <v>2976</v>
      </c>
      <c r="B113" s="1287">
        <f>G3</f>
        <v>1.51</v>
      </c>
      <c r="C113" s="901" t="s">
        <v>2977</v>
      </c>
      <c r="D113" s="902">
        <f>SUMPRODUCT((A115:A118=F113)*(B114:M114=H113)*B115:M118)</f>
        <v>0.86270000000000002</v>
      </c>
      <c r="E113" s="2720" t="s">
        <v>2809</v>
      </c>
      <c r="F113" s="2899" t="str">
        <f>E2</f>
        <v>住宅</v>
      </c>
      <c r="G113" s="2720" t="s">
        <v>2810</v>
      </c>
      <c r="H113" s="2899" t="str">
        <f>G2</f>
        <v>七级</v>
      </c>
      <c r="I113" s="2720"/>
      <c r="J113" s="2900"/>
      <c r="K113" s="2900"/>
      <c r="L113" s="2900"/>
      <c r="M113" s="2900"/>
    </row>
    <row r="114" spans="1:13">
      <c r="A114" s="905"/>
      <c r="B114" s="2901" t="s">
        <v>2978</v>
      </c>
      <c r="C114" s="2901" t="s">
        <v>2979</v>
      </c>
      <c r="D114" s="2901" t="s">
        <v>2980</v>
      </c>
      <c r="E114" s="2902" t="s">
        <v>2981</v>
      </c>
      <c r="F114" s="2902" t="s">
        <v>2982</v>
      </c>
      <c r="G114" s="2902" t="s">
        <v>2983</v>
      </c>
      <c r="H114" s="2903" t="s">
        <v>2984</v>
      </c>
      <c r="I114" s="2903" t="s">
        <v>2985</v>
      </c>
      <c r="J114" s="2904" t="s">
        <v>2986</v>
      </c>
      <c r="K114" s="2904" t="s">
        <v>2987</v>
      </c>
      <c r="L114" s="2904" t="s">
        <v>2988</v>
      </c>
      <c r="M114" s="2905" t="s">
        <v>2989</v>
      </c>
    </row>
    <row r="115" spans="1:13">
      <c r="A115" s="906" t="s">
        <v>2874</v>
      </c>
      <c r="B115" s="907">
        <f>ROUND(0.9335-0.0094*B113,4)</f>
        <v>0.91930000000000001</v>
      </c>
      <c r="C115" s="907">
        <f>B115</f>
        <v>0.91930000000000001</v>
      </c>
      <c r="D115" s="907">
        <f>ROUND(0.8331-0.0109*B113,4)</f>
        <v>0.81659999999999999</v>
      </c>
      <c r="E115" s="907">
        <f>D115</f>
        <v>0.81659999999999999</v>
      </c>
      <c r="F115" s="907">
        <f>E115</f>
        <v>0.81659999999999999</v>
      </c>
      <c r="G115" s="907">
        <f>F115</f>
        <v>0.81659999999999999</v>
      </c>
      <c r="H115" s="907">
        <f>G115</f>
        <v>0.81659999999999999</v>
      </c>
      <c r="I115" s="907">
        <f>ROUND(0.689-0.0155*B113,4)</f>
        <v>0.66559999999999997</v>
      </c>
      <c r="J115" s="907">
        <f t="shared" ref="J115:M118" si="34">I115</f>
        <v>0.66559999999999997</v>
      </c>
      <c r="K115" s="907">
        <f t="shared" si="34"/>
        <v>0.66559999999999997</v>
      </c>
      <c r="L115" s="907">
        <f t="shared" si="34"/>
        <v>0.66559999999999997</v>
      </c>
      <c r="M115" s="908">
        <f t="shared" si="34"/>
        <v>0.66559999999999997</v>
      </c>
    </row>
    <row r="116" spans="1:13">
      <c r="A116" s="906" t="s">
        <v>2875</v>
      </c>
      <c r="B116" s="907">
        <f>ROUND(0.949-0.012*B113,4)</f>
        <v>0.93089999999999995</v>
      </c>
      <c r="C116" s="907">
        <f>B116</f>
        <v>0.93089999999999995</v>
      </c>
      <c r="D116" s="907">
        <f>ROUND(0.8567-0.013*B113,4)</f>
        <v>0.83709999999999996</v>
      </c>
      <c r="E116" s="907">
        <f t="shared" ref="E116:H117" si="35">D116</f>
        <v>0.83709999999999996</v>
      </c>
      <c r="F116" s="907">
        <f t="shared" si="35"/>
        <v>0.83709999999999996</v>
      </c>
      <c r="G116" s="907">
        <f t="shared" si="35"/>
        <v>0.83709999999999996</v>
      </c>
      <c r="H116" s="907">
        <f t="shared" si="35"/>
        <v>0.83709999999999996</v>
      </c>
      <c r="I116" s="907">
        <f>ROUND(0.7694-0.014*B113,4)</f>
        <v>0.74829999999999997</v>
      </c>
      <c r="J116" s="907">
        <f t="shared" si="34"/>
        <v>0.74829999999999997</v>
      </c>
      <c r="K116" s="907">
        <f t="shared" si="34"/>
        <v>0.74829999999999997</v>
      </c>
      <c r="L116" s="907">
        <f t="shared" si="34"/>
        <v>0.74829999999999997</v>
      </c>
      <c r="M116" s="908">
        <f t="shared" si="34"/>
        <v>0.74829999999999997</v>
      </c>
    </row>
    <row r="117" spans="1:13">
      <c r="A117" s="906" t="s">
        <v>2876</v>
      </c>
      <c r="B117" s="907">
        <f>ROUND(0.8808-0.006*B113,4)</f>
        <v>0.87170000000000003</v>
      </c>
      <c r="C117" s="907">
        <f>B117</f>
        <v>0.87170000000000003</v>
      </c>
      <c r="D117" s="907">
        <f>ROUND(0.8748-0.008*B113,4)</f>
        <v>0.86270000000000002</v>
      </c>
      <c r="E117" s="907">
        <f t="shared" si="35"/>
        <v>0.86270000000000002</v>
      </c>
      <c r="F117" s="907">
        <f t="shared" si="35"/>
        <v>0.86270000000000002</v>
      </c>
      <c r="G117" s="907">
        <f t="shared" si="35"/>
        <v>0.86270000000000002</v>
      </c>
      <c r="H117" s="907">
        <f t="shared" si="35"/>
        <v>0.86270000000000002</v>
      </c>
      <c r="I117" s="907">
        <f>ROUND(0.7412-0.0095*B113,4)</f>
        <v>0.72689999999999999</v>
      </c>
      <c r="J117" s="907">
        <f t="shared" si="34"/>
        <v>0.72689999999999999</v>
      </c>
      <c r="K117" s="907">
        <f t="shared" si="34"/>
        <v>0.72689999999999999</v>
      </c>
      <c r="L117" s="907">
        <f t="shared" si="34"/>
        <v>0.72689999999999999</v>
      </c>
      <c r="M117" s="908">
        <f t="shared" si="34"/>
        <v>0.72689999999999999</v>
      </c>
    </row>
    <row r="118" spans="1:13" ht="13.5" thickBot="1">
      <c r="A118" s="714" t="s">
        <v>2877</v>
      </c>
      <c r="B118" s="909">
        <f>ROUND(0.7275-0.01*B113,4)</f>
        <v>0.71240000000000003</v>
      </c>
      <c r="C118" s="909">
        <f>B118</f>
        <v>0.71240000000000003</v>
      </c>
      <c r="D118" s="909">
        <f>ROUND(0.7043-0.012*B113,4)</f>
        <v>0.68620000000000003</v>
      </c>
      <c r="E118" s="909">
        <f>D118</f>
        <v>0.68620000000000003</v>
      </c>
      <c r="F118" s="909">
        <f>E118</f>
        <v>0.68620000000000003</v>
      </c>
      <c r="G118" s="909">
        <f>ROUND(0.6299-0.0122*B113,4)</f>
        <v>0.61150000000000004</v>
      </c>
      <c r="H118" s="909">
        <f>G118</f>
        <v>0.61150000000000004</v>
      </c>
      <c r="I118" s="909">
        <f>ROUND(0.5667-0.0136*B113,4)</f>
        <v>0.54620000000000002</v>
      </c>
      <c r="J118" s="909">
        <f t="shared" si="34"/>
        <v>0.54620000000000002</v>
      </c>
      <c r="K118" s="909">
        <f t="shared" si="34"/>
        <v>0.54620000000000002</v>
      </c>
      <c r="L118" s="909">
        <f t="shared" si="34"/>
        <v>0.54620000000000002</v>
      </c>
      <c r="M118" s="910">
        <f t="shared" si="34"/>
        <v>0.54620000000000002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23" priority="5" stopIfTrue="1" operator="notEqual">
      <formula>"——"</formula>
    </cfRule>
  </conditionalFormatting>
  <conditionalFormatting sqref="F59">
    <cfRule type="cellIs" dxfId="122" priority="4" stopIfTrue="1" operator="notEqual">
      <formula>"——"</formula>
    </cfRule>
  </conditionalFormatting>
  <conditionalFormatting sqref="F70">
    <cfRule type="cellIs" dxfId="121" priority="3" stopIfTrue="1" operator="notEqual">
      <formula>"——"</formula>
    </cfRule>
  </conditionalFormatting>
  <conditionalFormatting sqref="F81">
    <cfRule type="cellIs" dxfId="120" priority="2" stopIfTrue="1" operator="notEqual">
      <formula>"——"</formula>
    </cfRule>
  </conditionalFormatting>
  <conditionalFormatting sqref="H48:H56 H59:H67 H70:H78 H81:H88">
    <cfRule type="cellIs" dxfId="1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43" t="s">
        <v>1150</v>
      </c>
      <c r="C1" s="3243"/>
      <c r="D1" s="3243"/>
      <c r="E1" s="3243"/>
      <c r="F1" s="3243"/>
      <c r="G1" s="3239" t="s">
        <v>1151</v>
      </c>
      <c r="H1" s="3239"/>
      <c r="I1" s="3239"/>
      <c r="J1" s="3239"/>
      <c r="K1" s="3239"/>
      <c r="L1" s="3239"/>
      <c r="N1" s="3239" t="s">
        <v>1152</v>
      </c>
      <c r="O1" s="3239"/>
      <c r="P1" s="3239"/>
      <c r="Q1" s="3239"/>
      <c r="R1" s="1446"/>
      <c r="S1" s="3239" t="s">
        <v>1153</v>
      </c>
      <c r="T1" s="3239"/>
      <c r="U1" s="3239"/>
      <c r="V1" s="3239"/>
      <c r="X1" s="3238" t="s">
        <v>1154</v>
      </c>
      <c r="Y1" s="3239"/>
      <c r="Z1" s="3239"/>
      <c r="AA1" s="3239"/>
      <c r="AB1" s="3239"/>
      <c r="AD1" s="3238" t="s">
        <v>1155</v>
      </c>
      <c r="AE1" s="3239"/>
      <c r="AF1" s="3239"/>
      <c r="AG1" s="3239"/>
      <c r="AH1" s="3239"/>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5" customFormat="1" ht="14.25">
      <c r="A3" s="2934" t="s">
        <v>3037</v>
      </c>
      <c r="B3" s="2926"/>
      <c r="C3" s="2926"/>
      <c r="D3" s="2927"/>
      <c r="E3" s="2927"/>
      <c r="F3" s="2926"/>
      <c r="G3" s="2928"/>
      <c r="H3" s="2929"/>
      <c r="I3" s="2930">
        <f>ROUND(AVERAGE($I6:$I21),2)</f>
        <v>2.4500000000000002</v>
      </c>
      <c r="J3" s="2930">
        <f>ROUND(AVERAGE($J6:$J21),2)</f>
        <v>1.65</v>
      </c>
      <c r="K3" s="2930">
        <f>ROUND(AVERAGE($K6:$K21),2)</f>
        <v>2.71</v>
      </c>
      <c r="L3" s="2930">
        <f>ROUND(AVERAGE($L6:$L21),2)</f>
        <v>1.39</v>
      </c>
      <c r="N3" s="2928"/>
      <c r="O3" s="2931"/>
      <c r="P3" s="2931"/>
      <c r="Q3" s="2931"/>
      <c r="R3" s="2931"/>
      <c r="S3" s="2928"/>
      <c r="T3" s="2931"/>
      <c r="U3" s="2931"/>
      <c r="V3" s="2931"/>
      <c r="W3" s="2923"/>
      <c r="X3" s="2932">
        <f>ROUND(SUMPRODUCT(PRODUCT(1+N3:N$20)),4)</f>
        <v>1.4274</v>
      </c>
      <c r="Y3" s="2932">
        <f>ROUND(SUMPRODUCT(PRODUCT(1+O3:O$20)),4)</f>
        <v>1.2685</v>
      </c>
      <c r="Z3" s="2932">
        <f t="shared" ref="Z3:Z18" si="0">Y3</f>
        <v>1.2685</v>
      </c>
      <c r="AA3" s="2932">
        <f>ROUND(SUMPRODUCT(PRODUCT(1+P3:P$20)),4)</f>
        <v>1.4825999999999999</v>
      </c>
      <c r="AB3" s="2932">
        <f>ROUND(SUMPRODUCT(PRODUCT(1+Q3:Q$20)),4)</f>
        <v>1.2309000000000001</v>
      </c>
      <c r="AD3" s="2933">
        <f>ROUND(AVERAGE(I3:I$21)/100,4)</f>
        <v>2.3099999999999999E-2</v>
      </c>
      <c r="AE3" s="2933">
        <f>ROUND(AVERAGE(J3:J$21)/100,4)</f>
        <v>1.5599999999999999E-2</v>
      </c>
      <c r="AF3" s="2933">
        <f t="shared" ref="AF3:AF19" si="1">AE3</f>
        <v>1.5599999999999999E-2</v>
      </c>
      <c r="AG3" s="2933">
        <f>ROUND(AVERAGE(K3:K$21)/100,4)</f>
        <v>2.5600000000000001E-2</v>
      </c>
      <c r="AH3" s="2933">
        <f>ROUND(AVERAGE(L3:L$21)/100,4)</f>
        <v>1.32E-2</v>
      </c>
    </row>
    <row r="4" spans="1:34" s="1453" customFormat="1" ht="14.25">
      <c r="B4" s="1454"/>
      <c r="C4" s="1454"/>
      <c r="D4" s="1455"/>
      <c r="E4" s="1455"/>
      <c r="F4" s="1454"/>
      <c r="G4" s="1456"/>
      <c r="H4" s="1457"/>
      <c r="I4" s="2919"/>
      <c r="J4" s="2919"/>
      <c r="K4" s="2919"/>
      <c r="L4" s="2919"/>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3036</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22">
        <v>2018</v>
      </c>
      <c r="H5" s="1730">
        <v>1</v>
      </c>
      <c r="I5" s="2920">
        <v>0</v>
      </c>
      <c r="J5" s="2920">
        <v>0</v>
      </c>
      <c r="K5" s="2920">
        <v>0</v>
      </c>
      <c r="L5" s="2920">
        <v>0</v>
      </c>
      <c r="N5" s="1467">
        <f t="shared" ref="N5:N10" si="7">I5/100</f>
        <v>0</v>
      </c>
      <c r="O5" s="1467">
        <f t="shared" ref="O5" si="8">J5/100</f>
        <v>0</v>
      </c>
      <c r="P5" s="1467">
        <f t="shared" ref="P5" si="9">K5/100</f>
        <v>0</v>
      </c>
      <c r="Q5" s="1467">
        <f t="shared" ref="Q5" si="10">L5/100</f>
        <v>0</v>
      </c>
      <c r="R5" s="1732"/>
      <c r="S5" s="1733"/>
      <c r="T5" s="1732"/>
      <c r="U5" s="1732"/>
      <c r="V5" s="1732"/>
      <c r="W5" s="2924" t="s">
        <v>3038</v>
      </c>
      <c r="X5" s="1726">
        <f>ROUND(SUMPRODUCT(PRODUCT(1+N5:N$20)),4)</f>
        <v>1.4274</v>
      </c>
      <c r="Y5" s="1726">
        <f>ROUND(SUMPRODUCT(PRODUCT(1+O5:O$20)),4)</f>
        <v>1.2685</v>
      </c>
      <c r="Z5" s="1726">
        <f t="shared" ref="Z5" si="11">Y5</f>
        <v>1.2685</v>
      </c>
      <c r="AA5" s="1726">
        <f>ROUND(SUMPRODUCT(PRODUCT(1+P5:P$20)),4)</f>
        <v>1.4825999999999999</v>
      </c>
      <c r="AB5" s="1726">
        <f>ROUND(SUMPRODUCT(PRODUCT(1+Q5:Q$20)),4)</f>
        <v>1.2309000000000001</v>
      </c>
      <c r="AD5" s="1468">
        <f>ROUND(AVERAGE(I5:I$21)/100,4)</f>
        <v>2.3E-2</v>
      </c>
      <c r="AE5" s="1468">
        <f>ROUND(AVERAGE(J5:J$21)/100,4)</f>
        <v>1.55E-2</v>
      </c>
      <c r="AF5" s="1468">
        <f t="shared" ref="AF5" si="12">AE5</f>
        <v>1.55E-2</v>
      </c>
      <c r="AG5" s="1468">
        <f>ROUND(AVERAGE(K5:K$21)/100,4)</f>
        <v>2.5499999999999998E-2</v>
      </c>
      <c r="AH5" s="1468">
        <f>ROUND(AVERAGE(L5:L$21)/100,4)</f>
        <v>1.3100000000000001E-2</v>
      </c>
    </row>
    <row r="6" spans="1:34">
      <c r="A6" s="1461" t="s">
        <v>3033</v>
      </c>
      <c r="B6" s="1469">
        <f t="shared" ref="B6" si="13">B7*(1+N6)</f>
        <v>439.19121308559727</v>
      </c>
      <c r="C6" s="1469">
        <f t="shared" ref="C6" si="14">C7*(1+O6)</f>
        <v>326.28510789673351</v>
      </c>
      <c r="D6" s="1469">
        <f t="shared" ref="D6" si="15">C6</f>
        <v>326.28510789673351</v>
      </c>
      <c r="E6" s="1469">
        <f t="shared" ref="E6" si="16">E7*(1+P6)</f>
        <v>626.49404043656455</v>
      </c>
      <c r="F6" s="1470">
        <f t="shared" ref="F6" si="17">F7*(1+Q6)</f>
        <v>283.46416215500358</v>
      </c>
      <c r="G6" s="2922">
        <v>2017</v>
      </c>
      <c r="H6" s="1462">
        <v>4</v>
      </c>
      <c r="I6" s="1462">
        <v>1.71</v>
      </c>
      <c r="J6" s="1462">
        <v>1.78</v>
      </c>
      <c r="K6" s="1462">
        <v>1.71</v>
      </c>
      <c r="L6" s="1463">
        <v>1.43</v>
      </c>
      <c r="N6" s="1472">
        <f t="shared" si="7"/>
        <v>1.7100000000000001E-2</v>
      </c>
      <c r="O6" s="1473">
        <f t="shared" ref="O6" si="18">J6/100</f>
        <v>1.78E-2</v>
      </c>
      <c r="P6" s="1473">
        <f t="shared" ref="P6" si="19">K6/100</f>
        <v>1.7100000000000001E-2</v>
      </c>
      <c r="Q6" s="1473">
        <f t="shared" ref="Q6" si="20">L6/100</f>
        <v>1.43E-2</v>
      </c>
      <c r="R6" s="1474"/>
      <c r="S6" s="1475"/>
      <c r="T6" s="1476"/>
      <c r="U6" s="1476"/>
      <c r="V6" s="1476"/>
      <c r="X6" s="1459">
        <f>ROUND(SUMPRODUCT(PRODUCT(1+N6:N$20)),4)</f>
        <v>1.4274</v>
      </c>
      <c r="Y6" s="1459">
        <f>ROUND(SUMPRODUCT(PRODUCT(1+O6:O$20)),4)</f>
        <v>1.2685</v>
      </c>
      <c r="Z6" s="1459">
        <f t="shared" si="0"/>
        <v>1.2685</v>
      </c>
      <c r="AA6" s="1459">
        <f>ROUND(SUMPRODUCT(PRODUCT(1+P6:P$20)),4)</f>
        <v>1.4825999999999999</v>
      </c>
      <c r="AB6" s="1459">
        <f>ROUND(SUMPRODUCT(PRODUCT(1+Q6:Q$20)),4)</f>
        <v>1.2309000000000001</v>
      </c>
      <c r="AD6" s="1460">
        <f>ROUND(AVERAGE(I6:I$21)/100,4)</f>
        <v>2.4500000000000001E-2</v>
      </c>
      <c r="AE6" s="1460">
        <f>ROUND(AVERAGE(J6:J$21)/100,4)</f>
        <v>1.6500000000000001E-2</v>
      </c>
      <c r="AF6" s="1460">
        <f t="shared" si="1"/>
        <v>1.6500000000000001E-2</v>
      </c>
      <c r="AG6" s="1460">
        <f>ROUND(AVERAGE(K6:K$21)/100,4)</f>
        <v>2.7099999999999999E-2</v>
      </c>
      <c r="AH6" s="1460">
        <f>ROUND(AVERAGE(L6:L$21)/100,4)</f>
        <v>1.3899999999999999E-2</v>
      </c>
    </row>
    <row r="7" spans="1:34" s="1466" customFormat="1" ht="13.5" thickBot="1">
      <c r="A7" s="1461" t="s">
        <v>3034</v>
      </c>
      <c r="B7" s="1477">
        <f t="shared" ref="B7:B8" si="21">B8*(1+N7)</f>
        <v>431.80730811680002</v>
      </c>
      <c r="C7" s="1477">
        <f t="shared" ref="C7:C8" si="22">C8*(1+O7)</f>
        <v>320.57880516480003</v>
      </c>
      <c r="D7" s="1477">
        <f t="shared" ref="D7:D8" si="23">C7</f>
        <v>320.57880516480003</v>
      </c>
      <c r="E7" s="1477">
        <f t="shared" ref="E7:E8" si="24">E8*(1+P7)</f>
        <v>615.96110553196797</v>
      </c>
      <c r="F7" s="1477">
        <f t="shared" ref="F7:F8" si="25">F8*(1+Q7)</f>
        <v>279.46777300108801</v>
      </c>
      <c r="G7" s="2918"/>
      <c r="H7" s="1464">
        <v>3</v>
      </c>
      <c r="I7" s="1464">
        <v>2.98</v>
      </c>
      <c r="J7" s="1464">
        <v>2.11</v>
      </c>
      <c r="K7" s="1464">
        <v>3.24</v>
      </c>
      <c r="L7" s="1478">
        <v>1.72</v>
      </c>
      <c r="M7" s="1471"/>
      <c r="N7" s="1472">
        <f t="shared" si="7"/>
        <v>2.98E-2</v>
      </c>
      <c r="O7" s="1473">
        <f t="shared" ref="O7" si="26">J7/100</f>
        <v>2.1099999999999997E-2</v>
      </c>
      <c r="P7" s="1473">
        <f t="shared" ref="P7" si="27">K7/100</f>
        <v>3.2400000000000005E-2</v>
      </c>
      <c r="Q7" s="1473">
        <f t="shared" ref="Q7" si="28">L7/100</f>
        <v>1.72E-2</v>
      </c>
      <c r="R7" s="1474"/>
      <c r="S7" s="1472"/>
      <c r="T7" s="1473"/>
      <c r="U7" s="1473"/>
      <c r="V7" s="1473"/>
      <c r="W7" s="1790"/>
      <c r="X7" s="1788">
        <f>ROUND(SUMPRODUCT(PRODUCT(1+N7:N$20)),4)</f>
        <v>1.4034</v>
      </c>
      <c r="Y7" s="1788">
        <f>ROUND(SUMPRODUCT(PRODUCT(1+O7:O$20)),4)</f>
        <v>1.2463</v>
      </c>
      <c r="Z7" s="1788">
        <f t="shared" si="0"/>
        <v>1.2463</v>
      </c>
      <c r="AA7" s="1788">
        <f>ROUND(SUMPRODUCT(PRODUCT(1+P7:P$20)),4)</f>
        <v>1.4577</v>
      </c>
      <c r="AB7" s="1788">
        <f>ROUND(SUMPRODUCT(PRODUCT(1+Q7:Q$20)),4)</f>
        <v>1.2136</v>
      </c>
      <c r="AC7" s="1790"/>
      <c r="AD7" s="1789">
        <f>ROUND(AVERAGE(I7:I$21)/100,4)</f>
        <v>2.4899999999999999E-2</v>
      </c>
      <c r="AE7" s="1789">
        <f>ROUND(AVERAGE(J7:J$21)/100,4)</f>
        <v>1.6400000000000001E-2</v>
      </c>
      <c r="AF7" s="1789">
        <f t="shared" si="1"/>
        <v>1.6400000000000001E-2</v>
      </c>
      <c r="AG7" s="1789">
        <f>ROUND(AVERAGE(K7:K$21)/100,4)</f>
        <v>2.7799999999999998E-2</v>
      </c>
      <c r="AH7" s="1789">
        <f>ROUND(AVERAGE(L7:L$21)/100,4)</f>
        <v>1.3899999999999999E-2</v>
      </c>
    </row>
    <row r="8" spans="1:34" s="1731" customFormat="1">
      <c r="A8" s="1461" t="s">
        <v>1386</v>
      </c>
      <c r="B8" s="1477">
        <f t="shared" si="21"/>
        <v>419.31181600000002</v>
      </c>
      <c r="C8" s="1477">
        <f t="shared" si="22"/>
        <v>313.95436800000004</v>
      </c>
      <c r="D8" s="1477">
        <f t="shared" si="23"/>
        <v>313.95436800000004</v>
      </c>
      <c r="E8" s="1477">
        <f t="shared" si="24"/>
        <v>596.63028431999999</v>
      </c>
      <c r="F8" s="1477">
        <f t="shared" si="25"/>
        <v>274.74220703999998</v>
      </c>
      <c r="G8" s="2917"/>
      <c r="H8" s="1465">
        <v>2</v>
      </c>
      <c r="I8" s="1465">
        <v>3.4</v>
      </c>
      <c r="J8" s="1465">
        <v>2</v>
      </c>
      <c r="K8" s="1465">
        <v>3.82</v>
      </c>
      <c r="L8" s="1479">
        <v>1.68</v>
      </c>
      <c r="M8" s="1471"/>
      <c r="N8" s="1472">
        <f t="shared" si="7"/>
        <v>3.4000000000000002E-2</v>
      </c>
      <c r="O8" s="1473">
        <f t="shared" ref="O8" si="29">J8/100</f>
        <v>0.02</v>
      </c>
      <c r="P8" s="1473">
        <f t="shared" ref="P8" si="30">K8/100</f>
        <v>3.8199999999999998E-2</v>
      </c>
      <c r="Q8" s="1473">
        <f t="shared" ref="Q8" si="31">L8/100</f>
        <v>1.6799999999999999E-2</v>
      </c>
      <c r="R8" s="1474"/>
      <c r="S8" s="1475"/>
      <c r="T8" s="1476"/>
      <c r="U8" s="1476"/>
      <c r="V8" s="1476"/>
      <c r="W8" s="1453"/>
      <c r="X8" s="1788">
        <f>ROUND(SUMPRODUCT(PRODUCT(1+N8:N$20)),4)</f>
        <v>1.3628</v>
      </c>
      <c r="Y8" s="1788">
        <f>ROUND(SUMPRODUCT(PRODUCT(1+O8:O$20)),4)</f>
        <v>1.2205999999999999</v>
      </c>
      <c r="Z8" s="1788">
        <f t="shared" si="0"/>
        <v>1.2205999999999999</v>
      </c>
      <c r="AA8" s="1788">
        <f>ROUND(SUMPRODUCT(PRODUCT(1+P8:P$20)),4)</f>
        <v>1.4118999999999999</v>
      </c>
      <c r="AB8" s="1788">
        <f>ROUND(SUMPRODUCT(PRODUCT(1+Q8:Q$20)),4)</f>
        <v>1.1930000000000001</v>
      </c>
      <c r="AC8" s="1453"/>
      <c r="AD8" s="1789">
        <f>ROUND(AVERAGE(I8:I$21)/100,4)</f>
        <v>2.46E-2</v>
      </c>
      <c r="AE8" s="1789">
        <f>ROUND(AVERAGE(J8:J$21)/100,4)</f>
        <v>1.6E-2</v>
      </c>
      <c r="AF8" s="1789">
        <f t="shared" si="1"/>
        <v>1.6E-2</v>
      </c>
      <c r="AG8" s="1789">
        <f>ROUND(AVERAGE(K8:K$21)/100,4)</f>
        <v>2.75E-2</v>
      </c>
      <c r="AH8" s="1789">
        <f>ROUND(AVERAGE(L8:L$21)/100,4)</f>
        <v>1.37E-2</v>
      </c>
    </row>
    <row r="9" spans="1:34" s="1466" customFormat="1" ht="13.5" thickBot="1">
      <c r="A9" s="1461" t="s">
        <v>1161</v>
      </c>
      <c r="B9" s="1477">
        <f>B10*(1+N9)</f>
        <v>405.524</v>
      </c>
      <c r="C9" s="1477">
        <f>C10*(1+O9)</f>
        <v>307.79840000000002</v>
      </c>
      <c r="D9" s="1477">
        <f>C9</f>
        <v>307.79840000000002</v>
      </c>
      <c r="E9" s="1477">
        <f>E10*(1+P9)</f>
        <v>574.67759999999998</v>
      </c>
      <c r="F9" s="1477">
        <f>F10*(1+Q9)</f>
        <v>270.20280000000002</v>
      </c>
      <c r="G9" s="2918"/>
      <c r="H9" s="1464">
        <v>1</v>
      </c>
      <c r="I9" s="1464">
        <v>3.45</v>
      </c>
      <c r="J9" s="1464">
        <v>1.92</v>
      </c>
      <c r="K9" s="1464">
        <v>3.92</v>
      </c>
      <c r="L9" s="1478">
        <v>1.58</v>
      </c>
      <c r="M9" s="1471"/>
      <c r="N9" s="1472">
        <f t="shared" si="7"/>
        <v>3.4500000000000003E-2</v>
      </c>
      <c r="O9" s="1473">
        <f t="shared" ref="O9:Q24" si="32">J9/100</f>
        <v>1.9199999999999998E-2</v>
      </c>
      <c r="P9" s="1473">
        <f t="shared" si="32"/>
        <v>3.9199999999999999E-2</v>
      </c>
      <c r="Q9" s="1473">
        <f t="shared" si="32"/>
        <v>1.5800000000000002E-2</v>
      </c>
      <c r="R9" s="1474"/>
      <c r="S9" s="1472">
        <f>B9/B10-1</f>
        <v>3.4499999999999975E-2</v>
      </c>
      <c r="T9" s="1473">
        <f t="shared" ref="T9:V9" si="33">C9/C10-1</f>
        <v>1.9200000000000106E-2</v>
      </c>
      <c r="U9" s="1473">
        <f t="shared" si="33"/>
        <v>1.9200000000000106E-2</v>
      </c>
      <c r="V9" s="1473">
        <f t="shared" si="33"/>
        <v>3.9199999999999902E-2</v>
      </c>
      <c r="W9" s="1790"/>
      <c r="X9" s="1788">
        <f>ROUND(SUMPRODUCT(PRODUCT(1+N9:N$20)),4)</f>
        <v>1.3180000000000001</v>
      </c>
      <c r="Y9" s="1788">
        <f>ROUND(SUMPRODUCT(PRODUCT(1+O9:O$20)),4)</f>
        <v>1.1966000000000001</v>
      </c>
      <c r="Z9" s="1788">
        <f t="shared" si="0"/>
        <v>1.1966000000000001</v>
      </c>
      <c r="AA9" s="1788">
        <f>ROUND(SUMPRODUCT(PRODUCT(1+P9:P$20)),4)</f>
        <v>1.36</v>
      </c>
      <c r="AB9" s="1788">
        <f>ROUND(SUMPRODUCT(PRODUCT(1+Q9:Q$20)),4)</f>
        <v>1.1733</v>
      </c>
      <c r="AC9" s="1790"/>
      <c r="AD9" s="1789">
        <f>ROUND(AVERAGE(I9:I$21)/100,4)</f>
        <v>2.3900000000000001E-2</v>
      </c>
      <c r="AE9" s="1789">
        <f>ROUND(AVERAGE(J9:J$21)/100,4)</f>
        <v>1.5699999999999999E-2</v>
      </c>
      <c r="AF9" s="1789">
        <f t="shared" si="1"/>
        <v>1.5699999999999999E-2</v>
      </c>
      <c r="AG9" s="1789">
        <f>ROUND(AVERAGE(K9:K$21)/100,4)</f>
        <v>2.6599999999999999E-2</v>
      </c>
      <c r="AH9" s="1789">
        <f>ROUND(AVERAGE(L9:L$21)/100,4)</f>
        <v>1.34E-2</v>
      </c>
    </row>
    <row r="10" spans="1:34">
      <c r="A10" s="1461" t="s">
        <v>154</v>
      </c>
      <c r="B10" s="1469">
        <v>392</v>
      </c>
      <c r="C10" s="1469">
        <v>302</v>
      </c>
      <c r="D10" s="1469">
        <f>C10</f>
        <v>302</v>
      </c>
      <c r="E10" s="1469">
        <v>553</v>
      </c>
      <c r="F10" s="1470">
        <v>266</v>
      </c>
      <c r="G10" s="3244">
        <v>2016</v>
      </c>
      <c r="H10" s="1462">
        <v>4</v>
      </c>
      <c r="I10" s="1462">
        <v>4.5599999999999996</v>
      </c>
      <c r="J10" s="1462">
        <v>2.15</v>
      </c>
      <c r="K10" s="1462">
        <v>5.32</v>
      </c>
      <c r="L10" s="1463">
        <v>1.57</v>
      </c>
      <c r="N10" s="1472">
        <f t="shared" si="7"/>
        <v>4.5599999999999995E-2</v>
      </c>
      <c r="O10" s="1473">
        <f t="shared" si="32"/>
        <v>2.1499999999999998E-2</v>
      </c>
      <c r="P10" s="1473">
        <f t="shared" si="32"/>
        <v>5.3200000000000004E-2</v>
      </c>
      <c r="Q10" s="1473">
        <f t="shared" si="32"/>
        <v>1.5700000000000002E-2</v>
      </c>
      <c r="R10" s="1474"/>
      <c r="S10" s="1475"/>
      <c r="T10" s="1476"/>
      <c r="U10" s="1476"/>
      <c r="V10" s="1476"/>
      <c r="X10" s="1459">
        <f>ROUND(SUMPRODUCT(PRODUCT(1+N10:N$20)),4)</f>
        <v>1.274</v>
      </c>
      <c r="Y10" s="1459">
        <f>ROUND(SUMPRODUCT(PRODUCT(1+O10:O$20)),4)</f>
        <v>1.1740999999999999</v>
      </c>
      <c r="Z10" s="1459">
        <f t="shared" si="0"/>
        <v>1.1740999999999999</v>
      </c>
      <c r="AA10" s="1459">
        <f>ROUND(SUMPRODUCT(PRODUCT(1+P10:P$20)),4)</f>
        <v>1.3087</v>
      </c>
      <c r="AB10" s="1459">
        <f>ROUND(SUMPRODUCT(PRODUCT(1+Q10:Q$20)),4)</f>
        <v>1.1551</v>
      </c>
      <c r="AD10" s="1460">
        <f>ROUND(AVERAGE(I10:I$21)/100,4)</f>
        <v>2.3E-2</v>
      </c>
      <c r="AE10" s="1460">
        <f>ROUND(AVERAGE(J10:J$21)/100,4)</f>
        <v>1.55E-2</v>
      </c>
      <c r="AF10" s="1460">
        <f t="shared" si="1"/>
        <v>1.55E-2</v>
      </c>
      <c r="AG10" s="1460">
        <f>ROUND(AVERAGE(K10:K$21)/100,4)</f>
        <v>2.5600000000000001E-2</v>
      </c>
      <c r="AH10" s="1460">
        <f>ROUND(AVERAGE(L10:L$21)/100,4)</f>
        <v>1.32E-2</v>
      </c>
    </row>
    <row r="11" spans="1:34">
      <c r="A11" s="1461" t="s">
        <v>153</v>
      </c>
      <c r="B11" s="1477">
        <f t="shared" ref="B11:C13" si="34">B10/(1+N10)</f>
        <v>374.90436113236416</v>
      </c>
      <c r="C11" s="1477">
        <f t="shared" si="34"/>
        <v>295.64366128242779</v>
      </c>
      <c r="D11" s="1477">
        <f t="shared" ref="D11:D70" si="35">C11</f>
        <v>295.64366128242779</v>
      </c>
      <c r="E11" s="1477">
        <f t="shared" ref="E11:F13" si="36">E10/(1+P10)</f>
        <v>525.06646410938095</v>
      </c>
      <c r="F11" s="1477">
        <f t="shared" si="36"/>
        <v>261.88835286009646</v>
      </c>
      <c r="G11" s="3241"/>
      <c r="H11" s="1464">
        <v>3</v>
      </c>
      <c r="I11" s="1464">
        <v>4.12</v>
      </c>
      <c r="J11" s="1464">
        <v>2</v>
      </c>
      <c r="K11" s="1464">
        <v>4.79</v>
      </c>
      <c r="L11" s="1478">
        <v>1.97</v>
      </c>
      <c r="N11" s="1472">
        <f t="shared" ref="N11:Q45" si="37">I11/100</f>
        <v>4.1200000000000001E-2</v>
      </c>
      <c r="O11" s="1473">
        <f t="shared" si="32"/>
        <v>0.02</v>
      </c>
      <c r="P11" s="1473">
        <f t="shared" si="32"/>
        <v>4.7899999999999998E-2</v>
      </c>
      <c r="Q11" s="1473">
        <f t="shared" si="32"/>
        <v>1.9699999999999999E-2</v>
      </c>
      <c r="R11" s="1474"/>
      <c r="S11" s="1472"/>
      <c r="T11" s="1473"/>
      <c r="U11" s="1473"/>
      <c r="V11" s="1473"/>
      <c r="X11" s="1459">
        <f>ROUND(SUMPRODUCT(PRODUCT(1+N11:N$20)),4)</f>
        <v>1.2184999999999999</v>
      </c>
      <c r="Y11" s="1459">
        <f>ROUND(SUMPRODUCT(PRODUCT(1+O11:O$20)),4)</f>
        <v>1.1494</v>
      </c>
      <c r="Z11" s="1459">
        <f t="shared" si="0"/>
        <v>1.1494</v>
      </c>
      <c r="AA11" s="1459">
        <f>ROUND(SUMPRODUCT(PRODUCT(1+P11:P$20)),4)</f>
        <v>1.2425999999999999</v>
      </c>
      <c r="AB11" s="1459">
        <f>ROUND(SUMPRODUCT(PRODUCT(1+Q11:Q$20)),4)</f>
        <v>1.1372</v>
      </c>
      <c r="AD11" s="1460">
        <f>ROUND(AVERAGE(I11:I$21)/100,4)</f>
        <v>2.0899999999999998E-2</v>
      </c>
      <c r="AE11" s="1460">
        <f>ROUND(AVERAGE(J11:J$21)/100,4)</f>
        <v>1.49E-2</v>
      </c>
      <c r="AF11" s="1460">
        <f t="shared" si="1"/>
        <v>1.49E-2</v>
      </c>
      <c r="AG11" s="1460">
        <f>ROUND(AVERAGE(K11:K$21)/100,4)</f>
        <v>2.3099999999999999E-2</v>
      </c>
      <c r="AH11" s="1460">
        <f>ROUND(AVERAGE(L11:L$21)/100,4)</f>
        <v>1.2999999999999999E-2</v>
      </c>
    </row>
    <row r="12" spans="1:34">
      <c r="A12" s="1461" t="s">
        <v>143</v>
      </c>
      <c r="B12" s="1477">
        <f t="shared" si="34"/>
        <v>360.06949782209392</v>
      </c>
      <c r="C12" s="1477">
        <f t="shared" si="34"/>
        <v>289.84672674747821</v>
      </c>
      <c r="D12" s="1477">
        <f t="shared" si="35"/>
        <v>289.84672674747821</v>
      </c>
      <c r="E12" s="1477">
        <f t="shared" si="36"/>
        <v>501.06543001181495</v>
      </c>
      <c r="F12" s="1477">
        <f t="shared" si="36"/>
        <v>256.82882500744967</v>
      </c>
      <c r="G12" s="3241"/>
      <c r="H12" s="1465">
        <v>2</v>
      </c>
      <c r="I12" s="1465">
        <v>3.85</v>
      </c>
      <c r="J12" s="1465">
        <v>1.95</v>
      </c>
      <c r="K12" s="1465">
        <v>4.4800000000000004</v>
      </c>
      <c r="L12" s="1479">
        <v>1.41</v>
      </c>
      <c r="N12" s="1472">
        <f t="shared" si="37"/>
        <v>3.85E-2</v>
      </c>
      <c r="O12" s="1473">
        <f t="shared" si="32"/>
        <v>1.95E-2</v>
      </c>
      <c r="P12" s="1473">
        <f t="shared" si="32"/>
        <v>4.4800000000000006E-2</v>
      </c>
      <c r="Q12" s="1473">
        <f t="shared" si="32"/>
        <v>1.41E-2</v>
      </c>
      <c r="R12" s="1474"/>
      <c r="S12" s="1472"/>
      <c r="T12" s="1473"/>
      <c r="U12" s="1473"/>
      <c r="V12" s="1473"/>
      <c r="X12" s="1459">
        <f>ROUND(SUMPRODUCT(PRODUCT(1+N12:N$20)),4)</f>
        <v>1.1702999999999999</v>
      </c>
      <c r="Y12" s="1459">
        <f>ROUND(SUMPRODUCT(PRODUCT(1+O12:O$20)),4)</f>
        <v>1.1269</v>
      </c>
      <c r="Z12" s="1459">
        <f t="shared" si="0"/>
        <v>1.1269</v>
      </c>
      <c r="AA12" s="1459">
        <f>ROUND(SUMPRODUCT(PRODUCT(1+P12:P$20)),4)</f>
        <v>1.1858</v>
      </c>
      <c r="AB12" s="1459">
        <f>ROUND(SUMPRODUCT(PRODUCT(1+Q12:Q$20)),4)</f>
        <v>1.1152</v>
      </c>
      <c r="AD12" s="1460">
        <f>ROUND(AVERAGE(I12:I$21)/100,4)</f>
        <v>1.89E-2</v>
      </c>
      <c r="AE12" s="1460">
        <f>ROUND(AVERAGE(J12:J$21)/100,4)</f>
        <v>1.44E-2</v>
      </c>
      <c r="AF12" s="1460">
        <f t="shared" si="1"/>
        <v>1.44E-2</v>
      </c>
      <c r="AG12" s="1460">
        <f>ROUND(AVERAGE(K12:K$21)/100,4)</f>
        <v>2.06E-2</v>
      </c>
      <c r="AH12" s="1460">
        <f>ROUND(AVERAGE(L12:L$21)/100,4)</f>
        <v>1.23E-2</v>
      </c>
    </row>
    <row r="13" spans="1:34" ht="13.5" thickBot="1">
      <c r="A13" s="1461" t="s">
        <v>152</v>
      </c>
      <c r="B13" s="1477">
        <f t="shared" si="34"/>
        <v>346.720748986128</v>
      </c>
      <c r="C13" s="1477">
        <f t="shared" si="34"/>
        <v>284.30282172386285</v>
      </c>
      <c r="D13" s="1477">
        <f t="shared" si="35"/>
        <v>284.30282172386285</v>
      </c>
      <c r="E13" s="1477">
        <f t="shared" si="36"/>
        <v>479.58023546306947</v>
      </c>
      <c r="F13" s="1477">
        <f t="shared" si="36"/>
        <v>253.25788877571213</v>
      </c>
      <c r="G13" s="3242"/>
      <c r="H13" s="1464">
        <v>1</v>
      </c>
      <c r="I13" s="1464">
        <v>4.09</v>
      </c>
      <c r="J13" s="1464">
        <v>2.93</v>
      </c>
      <c r="K13" s="1464">
        <v>4.54</v>
      </c>
      <c r="L13" s="1478">
        <v>1.48</v>
      </c>
      <c r="N13" s="1472">
        <f t="shared" si="37"/>
        <v>4.0899999999999999E-2</v>
      </c>
      <c r="O13" s="1473">
        <f t="shared" si="32"/>
        <v>2.9300000000000003E-2</v>
      </c>
      <c r="P13" s="1473">
        <f t="shared" si="32"/>
        <v>4.5400000000000003E-2</v>
      </c>
      <c r="Q13" s="1473">
        <f t="shared" si="32"/>
        <v>1.4800000000000001E-2</v>
      </c>
      <c r="R13" s="1474"/>
      <c r="S13" s="1480">
        <f>B13/B14-1</f>
        <v>4.1203450408792808E-2</v>
      </c>
      <c r="T13" s="1481">
        <f>C13/C14-1</f>
        <v>2.6363977342465095E-2</v>
      </c>
      <c r="U13" s="1481">
        <f>E13/E14-1</f>
        <v>4.4837114298626357E-2</v>
      </c>
      <c r="V13" s="1481">
        <f>F13/F14-1</f>
        <v>1.7099954922538574E-2</v>
      </c>
      <c r="X13" s="1459">
        <f>ROUND(SUMPRODUCT(PRODUCT(1+N13:N$20)),4)</f>
        <v>1.1269</v>
      </c>
      <c r="Y13" s="1459">
        <f>ROUND(SUMPRODUCT(PRODUCT(1+O13:O$20)),4)</f>
        <v>1.1052999999999999</v>
      </c>
      <c r="Z13" s="1459">
        <f t="shared" si="0"/>
        <v>1.1052999999999999</v>
      </c>
      <c r="AA13" s="1459">
        <f>ROUND(SUMPRODUCT(PRODUCT(1+P13:P$20)),4)</f>
        <v>1.1349</v>
      </c>
      <c r="AB13" s="1459">
        <f>ROUND(SUMPRODUCT(PRODUCT(1+Q13:Q$20)),4)</f>
        <v>1.0996999999999999</v>
      </c>
      <c r="AD13" s="1460">
        <f>ROUND(AVERAGE(I13:I$21)/100,4)</f>
        <v>1.67E-2</v>
      </c>
      <c r="AE13" s="1460">
        <f>ROUND(AVERAGE(J13:J$21)/100,4)</f>
        <v>1.38E-2</v>
      </c>
      <c r="AF13" s="1460">
        <f t="shared" si="1"/>
        <v>1.38E-2</v>
      </c>
      <c r="AG13" s="1460">
        <f>ROUND(AVERAGE(K13:K$21)/100,4)</f>
        <v>1.7899999999999999E-2</v>
      </c>
      <c r="AH13" s="1460">
        <f>ROUND(AVERAGE(L13:L$21)/100,4)</f>
        <v>1.21E-2</v>
      </c>
    </row>
    <row r="14" spans="1:34" ht="13.5" thickBot="1">
      <c r="A14" s="1461" t="s">
        <v>151</v>
      </c>
      <c r="B14" s="1469">
        <v>333</v>
      </c>
      <c r="C14" s="1469">
        <v>277</v>
      </c>
      <c r="D14" s="1469">
        <f t="shared" si="35"/>
        <v>277</v>
      </c>
      <c r="E14" s="1469">
        <v>459</v>
      </c>
      <c r="F14" s="1470">
        <v>249</v>
      </c>
      <c r="G14" s="3240">
        <v>2015</v>
      </c>
      <c r="H14" s="1482">
        <v>4</v>
      </c>
      <c r="I14" s="1482">
        <v>1.63</v>
      </c>
      <c r="J14" s="1482">
        <v>1.1100000000000001</v>
      </c>
      <c r="K14" s="1482">
        <v>1.77</v>
      </c>
      <c r="L14" s="1483">
        <v>1.89</v>
      </c>
      <c r="N14" s="1484">
        <f t="shared" si="37"/>
        <v>1.6299999999999999E-2</v>
      </c>
      <c r="O14" s="1485">
        <f t="shared" si="32"/>
        <v>1.11E-2</v>
      </c>
      <c r="P14" s="1485">
        <f t="shared" si="32"/>
        <v>1.77E-2</v>
      </c>
      <c r="Q14" s="1485">
        <f t="shared" si="32"/>
        <v>1.89E-2</v>
      </c>
      <c r="R14" s="1474"/>
      <c r="X14" s="1459">
        <f>ROUND(SUMPRODUCT(PRODUCT(1+N14:N$20)),4)</f>
        <v>1.0826</v>
      </c>
      <c r="Y14" s="1459">
        <f>ROUND(SUMPRODUCT(PRODUCT(1+O14:O$20)),4)</f>
        <v>1.0738000000000001</v>
      </c>
      <c r="Z14" s="1459">
        <f t="shared" si="0"/>
        <v>1.0738000000000001</v>
      </c>
      <c r="AA14" s="1459">
        <f>ROUND(SUMPRODUCT(PRODUCT(1+P14:P$20)),4)</f>
        <v>1.0855999999999999</v>
      </c>
      <c r="AB14" s="1459">
        <f>ROUND(SUMPRODUCT(PRODUCT(1+Q14:Q$20)),4)</f>
        <v>1.0837000000000001</v>
      </c>
      <c r="AD14" s="1460">
        <f>ROUND(AVERAGE(I14:I$21)/100,4)</f>
        <v>1.37E-2</v>
      </c>
      <c r="AE14" s="1460">
        <f>ROUND(AVERAGE(J14:J$21)/100,4)</f>
        <v>1.1900000000000001E-2</v>
      </c>
      <c r="AF14" s="1460">
        <f t="shared" si="1"/>
        <v>1.1900000000000001E-2</v>
      </c>
      <c r="AG14" s="1460">
        <f>ROUND(AVERAGE(K14:K$21)/100,4)</f>
        <v>1.4500000000000001E-2</v>
      </c>
      <c r="AH14" s="1460">
        <f>ROUND(AVERAGE(L14:L$21)/100,4)</f>
        <v>1.18E-2</v>
      </c>
    </row>
    <row r="15" spans="1:34">
      <c r="A15" s="1461" t="s">
        <v>150</v>
      </c>
      <c r="B15" s="1477">
        <f t="shared" ref="B15:C17" si="38">B14/(1+N14)</f>
        <v>327.65915576109415</v>
      </c>
      <c r="C15" s="1477">
        <f t="shared" si="38"/>
        <v>273.95905449510434</v>
      </c>
      <c r="D15" s="1477">
        <f t="shared" si="35"/>
        <v>273.95905449510434</v>
      </c>
      <c r="E15" s="1477">
        <f t="shared" ref="E15:F17" si="39">E14/(1+P14)</f>
        <v>451.01699911565294</v>
      </c>
      <c r="F15" s="1477">
        <f t="shared" si="39"/>
        <v>244.38119540681129</v>
      </c>
      <c r="G15" s="3241"/>
      <c r="H15" s="1487">
        <v>3</v>
      </c>
      <c r="I15" s="1487">
        <v>1.65</v>
      </c>
      <c r="J15" s="1487">
        <v>0.92</v>
      </c>
      <c r="K15" s="1487">
        <v>1.88</v>
      </c>
      <c r="L15" s="1488">
        <v>1.26</v>
      </c>
      <c r="N15" s="1472">
        <f t="shared" si="37"/>
        <v>1.6500000000000001E-2</v>
      </c>
      <c r="O15" s="1489">
        <f t="shared" si="32"/>
        <v>9.1999999999999998E-3</v>
      </c>
      <c r="P15" s="1489">
        <f t="shared" si="32"/>
        <v>1.8799999999999997E-2</v>
      </c>
      <c r="Q15" s="1489">
        <f t="shared" si="32"/>
        <v>1.26E-2</v>
      </c>
      <c r="R15" s="1474"/>
      <c r="S15" s="1472"/>
      <c r="T15" s="1473"/>
      <c r="U15" s="1473"/>
      <c r="V15" s="1473"/>
      <c r="X15" s="1459">
        <f>ROUND(SUMPRODUCT(PRODUCT(1+N15:N$20)),4)</f>
        <v>1.0651999999999999</v>
      </c>
      <c r="Y15" s="1459">
        <f>ROUND(SUMPRODUCT(PRODUCT(1+O15:O$20)),4)</f>
        <v>1.0621</v>
      </c>
      <c r="Z15" s="1459">
        <f t="shared" si="0"/>
        <v>1.0621</v>
      </c>
      <c r="AA15" s="1459">
        <f>ROUND(SUMPRODUCT(PRODUCT(1+P15:P$20)),4)</f>
        <v>1.0668</v>
      </c>
      <c r="AB15" s="1459">
        <f>ROUND(SUMPRODUCT(PRODUCT(1+Q15:Q$20)),4)</f>
        <v>1.0636000000000001</v>
      </c>
      <c r="AD15" s="1460">
        <f>ROUND(AVERAGE(I15:I$21)/100,4)</f>
        <v>1.3299999999999999E-2</v>
      </c>
      <c r="AE15" s="1460">
        <f>ROUND(AVERAGE(J15:J$21)/100,4)</f>
        <v>1.2E-2</v>
      </c>
      <c r="AF15" s="1460">
        <f t="shared" si="1"/>
        <v>1.2E-2</v>
      </c>
      <c r="AG15" s="1460">
        <f>ROUND(AVERAGE(K15:K$21)/100,4)</f>
        <v>1.4E-2</v>
      </c>
      <c r="AH15" s="1460">
        <f>ROUND(AVERAGE(L15:L$21)/100,4)</f>
        <v>1.0800000000000001E-2</v>
      </c>
    </row>
    <row r="16" spans="1:34">
      <c r="A16" s="1461" t="s">
        <v>149</v>
      </c>
      <c r="B16" s="1477">
        <f t="shared" si="38"/>
        <v>322.34053690220776</v>
      </c>
      <c r="C16" s="1477">
        <f t="shared" si="38"/>
        <v>271.46160770422546</v>
      </c>
      <c r="D16" s="1477">
        <f t="shared" si="35"/>
        <v>271.46160770422546</v>
      </c>
      <c r="E16" s="1477">
        <f t="shared" si="39"/>
        <v>442.69434542172456</v>
      </c>
      <c r="F16" s="1477">
        <f t="shared" si="39"/>
        <v>241.34030753190925</v>
      </c>
      <c r="G16" s="3241"/>
      <c r="H16" s="1465">
        <v>2</v>
      </c>
      <c r="I16" s="1465">
        <v>0.77</v>
      </c>
      <c r="J16" s="1465">
        <v>0.69</v>
      </c>
      <c r="K16" s="1465">
        <v>0.8</v>
      </c>
      <c r="L16" s="1479">
        <v>0.88</v>
      </c>
      <c r="N16" s="1472">
        <f t="shared" si="37"/>
        <v>7.7000000000000002E-3</v>
      </c>
      <c r="O16" s="1489">
        <f t="shared" si="32"/>
        <v>6.8999999999999999E-3</v>
      </c>
      <c r="P16" s="1489">
        <f t="shared" si="32"/>
        <v>8.0000000000000002E-3</v>
      </c>
      <c r="Q16" s="1489">
        <f t="shared" si="32"/>
        <v>8.8000000000000005E-3</v>
      </c>
      <c r="R16" s="1474"/>
      <c r="S16" s="1472"/>
      <c r="T16" s="1473"/>
      <c r="U16" s="1473"/>
      <c r="V16" s="1473"/>
      <c r="X16" s="1459">
        <f>ROUND(SUMPRODUCT(PRODUCT(1+N16:N$20)),4)</f>
        <v>1.048</v>
      </c>
      <c r="Y16" s="1459">
        <f>ROUND(SUMPRODUCT(PRODUCT(1+O16:O$20)),4)</f>
        <v>1.0524</v>
      </c>
      <c r="Z16" s="1459">
        <f t="shared" si="0"/>
        <v>1.0524</v>
      </c>
      <c r="AA16" s="1459">
        <f>ROUND(SUMPRODUCT(PRODUCT(1+P16:P$20)),4)</f>
        <v>1.0470999999999999</v>
      </c>
      <c r="AB16" s="1459">
        <f>ROUND(SUMPRODUCT(PRODUCT(1+Q16:Q$20)),4)</f>
        <v>1.0504</v>
      </c>
      <c r="AD16" s="1460">
        <f>ROUND(AVERAGE(I16:I$21)/100,4)</f>
        <v>1.2800000000000001E-2</v>
      </c>
      <c r="AE16" s="1460">
        <f>ROUND(AVERAGE(J16:J$21)/100,4)</f>
        <v>1.2500000000000001E-2</v>
      </c>
      <c r="AF16" s="1460">
        <f t="shared" si="1"/>
        <v>1.2500000000000001E-2</v>
      </c>
      <c r="AG16" s="1460">
        <f>ROUND(AVERAGE(K16:K$21)/100,4)</f>
        <v>1.32E-2</v>
      </c>
      <c r="AH16" s="1460">
        <f>ROUND(AVERAGE(L16:L$21)/100,4)</f>
        <v>1.0500000000000001E-2</v>
      </c>
    </row>
    <row r="17" spans="1:34">
      <c r="A17" s="1461" t="s">
        <v>148</v>
      </c>
      <c r="B17" s="1477">
        <f t="shared" si="38"/>
        <v>319.87748030386797</v>
      </c>
      <c r="C17" s="1477">
        <f t="shared" si="38"/>
        <v>269.60135833173649</v>
      </c>
      <c r="D17" s="1477">
        <f t="shared" si="35"/>
        <v>269.60135833173649</v>
      </c>
      <c r="E17" s="1477">
        <f t="shared" si="39"/>
        <v>439.18089823583784</v>
      </c>
      <c r="F17" s="1477">
        <f t="shared" si="39"/>
        <v>239.23503918706311</v>
      </c>
      <c r="G17" s="3242"/>
      <c r="H17" s="1464">
        <v>1</v>
      </c>
      <c r="I17" s="1464">
        <v>0.51</v>
      </c>
      <c r="J17" s="1464">
        <v>0.54</v>
      </c>
      <c r="K17" s="1464">
        <v>0.48</v>
      </c>
      <c r="L17" s="1478">
        <v>0.93</v>
      </c>
      <c r="N17" s="1480">
        <f t="shared" si="37"/>
        <v>5.1000000000000004E-3</v>
      </c>
      <c r="O17" s="1481">
        <f t="shared" si="32"/>
        <v>5.4000000000000003E-3</v>
      </c>
      <c r="P17" s="1481">
        <f t="shared" si="32"/>
        <v>4.7999999999999996E-3</v>
      </c>
      <c r="Q17" s="1481">
        <f t="shared" si="32"/>
        <v>9.300000000000001E-3</v>
      </c>
      <c r="R17" s="1474"/>
      <c r="S17" s="1480">
        <f>B17/B18-1</f>
        <v>5.9040261127922822E-3</v>
      </c>
      <c r="T17" s="1481">
        <f>C17/C18-1</f>
        <v>5.9752176557332781E-3</v>
      </c>
      <c r="U17" s="1481">
        <f>E17/E18-1</f>
        <v>4.9906138119859556E-3</v>
      </c>
      <c r="V17" s="1481">
        <f>F17/F18-1</f>
        <v>9.4305450930933787E-3</v>
      </c>
      <c r="X17" s="1459">
        <f>ROUND(SUMPRODUCT(PRODUCT(1+N17:N$20)),4)</f>
        <v>1.0399</v>
      </c>
      <c r="Y17" s="1459">
        <f>ROUND(SUMPRODUCT(PRODUCT(1+O17:O$20)),4)</f>
        <v>1.0451999999999999</v>
      </c>
      <c r="Z17" s="1459">
        <f t="shared" si="0"/>
        <v>1.0451999999999999</v>
      </c>
      <c r="AA17" s="1459">
        <f>ROUND(SUMPRODUCT(PRODUCT(1+P17:P$20)),4)</f>
        <v>1.0387999999999999</v>
      </c>
      <c r="AB17" s="1459">
        <f>ROUND(SUMPRODUCT(PRODUCT(1+Q17:Q$20)),4)</f>
        <v>1.0411999999999999</v>
      </c>
      <c r="AD17" s="1460">
        <f>ROUND(AVERAGE(I17:I$21)/100,4)</f>
        <v>1.38E-2</v>
      </c>
      <c r="AE17" s="1460">
        <f>ROUND(AVERAGE(J17:J$21)/100,4)</f>
        <v>1.3599999999999999E-2</v>
      </c>
      <c r="AF17" s="1460">
        <f t="shared" si="1"/>
        <v>1.3599999999999999E-2</v>
      </c>
      <c r="AG17" s="1460">
        <f>ROUND(AVERAGE(K17:K$21)/100,4)</f>
        <v>1.4200000000000001E-2</v>
      </c>
      <c r="AH17" s="1460">
        <f>ROUND(AVERAGE(L17:L$21)/100,4)</f>
        <v>1.0800000000000001E-2</v>
      </c>
    </row>
    <row r="18" spans="1:34" ht="13.5" thickBot="1">
      <c r="A18" s="1461" t="s">
        <v>147</v>
      </c>
      <c r="B18" s="1490">
        <v>318</v>
      </c>
      <c r="C18" s="1490">
        <v>268</v>
      </c>
      <c r="D18" s="1490">
        <f t="shared" si="35"/>
        <v>268</v>
      </c>
      <c r="E18" s="1490">
        <v>437</v>
      </c>
      <c r="F18" s="1491">
        <v>237</v>
      </c>
      <c r="G18" s="3240">
        <v>2014</v>
      </c>
      <c r="H18" s="1482">
        <v>4</v>
      </c>
      <c r="I18" s="1482">
        <v>0.21</v>
      </c>
      <c r="J18" s="1482">
        <v>0.41</v>
      </c>
      <c r="K18" s="1482">
        <v>0.12</v>
      </c>
      <c r="L18" s="1483">
        <v>0.89</v>
      </c>
      <c r="N18" s="1472">
        <f t="shared" si="37"/>
        <v>2.0999999999999999E-3</v>
      </c>
      <c r="O18" s="1473">
        <f t="shared" si="32"/>
        <v>4.0999999999999995E-3</v>
      </c>
      <c r="P18" s="1473">
        <f t="shared" si="32"/>
        <v>1.1999999999999999E-3</v>
      </c>
      <c r="Q18" s="1473">
        <f t="shared" si="32"/>
        <v>8.8999999999999999E-3</v>
      </c>
      <c r="R18" s="1474"/>
      <c r="S18" s="1475"/>
      <c r="T18" s="1476"/>
      <c r="U18" s="1476"/>
      <c r="V18" s="1476"/>
      <c r="X18" s="1459">
        <f>ROUND(SUMPRODUCT(PRODUCT(1+N18:N$20)),4)</f>
        <v>1.0347</v>
      </c>
      <c r="Y18" s="1459">
        <f>ROUND(SUMPRODUCT(PRODUCT(1+O18:O$20)),4)</f>
        <v>1.0395000000000001</v>
      </c>
      <c r="Z18" s="1459">
        <f t="shared" si="0"/>
        <v>1.0395000000000001</v>
      </c>
      <c r="AA18" s="1459">
        <f>ROUND(SUMPRODUCT(PRODUCT(1+P18:P$20)),4)</f>
        <v>1.0338000000000001</v>
      </c>
      <c r="AB18" s="1459">
        <f>ROUND(SUMPRODUCT(PRODUCT(1+Q18:Q$20)),4)</f>
        <v>1.0316000000000001</v>
      </c>
      <c r="AD18" s="1460">
        <f>ROUND(AVERAGE(I18:I$21)/100,4)</f>
        <v>1.6E-2</v>
      </c>
      <c r="AE18" s="1460">
        <f>ROUND(AVERAGE(J18:J$21)/100,4)</f>
        <v>1.5599999999999999E-2</v>
      </c>
      <c r="AF18" s="1460">
        <f t="shared" si="1"/>
        <v>1.5599999999999999E-2</v>
      </c>
      <c r="AG18" s="1460">
        <f>ROUND(AVERAGE(K18:K$21)/100,4)</f>
        <v>1.66E-2</v>
      </c>
      <c r="AH18" s="1460">
        <f>ROUND(AVERAGE(L18:L$21)/100,4)</f>
        <v>1.12E-2</v>
      </c>
    </row>
    <row r="19" spans="1:34">
      <c r="A19" s="1461" t="s">
        <v>146</v>
      </c>
      <c r="B19" s="1477">
        <f t="shared" ref="B19:C21" si="40">B18/(1+N18)</f>
        <v>317.33359944117353</v>
      </c>
      <c r="C19" s="1477">
        <f t="shared" si="40"/>
        <v>266.90568668459315</v>
      </c>
      <c r="D19" s="1477">
        <f t="shared" si="35"/>
        <v>266.90568668459315</v>
      </c>
      <c r="E19" s="1477">
        <f t="shared" ref="E19:F21" si="41">E18/(1+P18)</f>
        <v>436.47622852576905</v>
      </c>
      <c r="F19" s="1477">
        <f t="shared" si="41"/>
        <v>234.90930716622066</v>
      </c>
      <c r="G19" s="3241"/>
      <c r="H19" s="1492">
        <v>3</v>
      </c>
      <c r="I19" s="1492">
        <v>0.83</v>
      </c>
      <c r="J19" s="1492">
        <v>1.47</v>
      </c>
      <c r="K19" s="1492">
        <v>0.65</v>
      </c>
      <c r="L19" s="1493">
        <v>0.72</v>
      </c>
      <c r="N19" s="1472">
        <f t="shared" si="37"/>
        <v>8.3000000000000001E-3</v>
      </c>
      <c r="O19" s="1473">
        <f t="shared" si="32"/>
        <v>1.47E-2</v>
      </c>
      <c r="P19" s="1473">
        <f t="shared" si="32"/>
        <v>6.5000000000000006E-3</v>
      </c>
      <c r="Q19" s="1473">
        <f t="shared" si="32"/>
        <v>7.1999999999999998E-3</v>
      </c>
      <c r="R19" s="1474"/>
      <c r="S19" s="1472"/>
      <c r="T19" s="1473"/>
      <c r="U19" s="1473"/>
      <c r="V19" s="1473"/>
      <c r="X19" s="1459">
        <f>ROUND(SUMPRODUCT(PRODUCT(1+N19:N$20)),4)</f>
        <v>1.0325</v>
      </c>
      <c r="Y19" s="1459">
        <f>ROUND(SUMPRODUCT(PRODUCT(1+O19:O$20)),4)</f>
        <v>1.0353000000000001</v>
      </c>
      <c r="Z19" s="1459">
        <f t="shared" ref="Z19:Z20" si="42">Y19</f>
        <v>1.0353000000000001</v>
      </c>
      <c r="AA19" s="1459">
        <f>ROUND(SUMPRODUCT(PRODUCT(1+P19:P$20)),4)</f>
        <v>1.0326</v>
      </c>
      <c r="AB19" s="1459">
        <f>ROUND(SUMPRODUCT(PRODUCT(1+Q19:Q$20)),4)</f>
        <v>1.0225</v>
      </c>
      <c r="AD19" s="1460">
        <f>ROUND(AVERAGE(I19:I$21)/100,4)</f>
        <v>2.07E-2</v>
      </c>
      <c r="AE19" s="1460">
        <f>ROUND(AVERAGE(J19:J$21)/100,4)</f>
        <v>1.95E-2</v>
      </c>
      <c r="AF19" s="1460">
        <f t="shared" si="1"/>
        <v>1.95E-2</v>
      </c>
      <c r="AG19" s="1460">
        <f>ROUND(AVERAGE(K19:K$21)/100,4)</f>
        <v>2.1700000000000001E-2</v>
      </c>
      <c r="AH19" s="1460">
        <f>ROUND(AVERAGE(L19:L$21)/100,4)</f>
        <v>1.2E-2</v>
      </c>
    </row>
    <row r="20" spans="1:34" ht="13.5" thickBot="1">
      <c r="A20" s="1461" t="s">
        <v>145</v>
      </c>
      <c r="B20" s="1477">
        <f t="shared" si="40"/>
        <v>314.72141172386546</v>
      </c>
      <c r="C20" s="1477">
        <f t="shared" si="40"/>
        <v>263.03901319069001</v>
      </c>
      <c r="D20" s="1477">
        <f t="shared" si="35"/>
        <v>263.03901319069001</v>
      </c>
      <c r="E20" s="1477">
        <f t="shared" si="41"/>
        <v>433.65745506782821</v>
      </c>
      <c r="F20" s="1477">
        <f t="shared" si="41"/>
        <v>233.23005080045735</v>
      </c>
      <c r="G20" s="3241"/>
      <c r="H20" s="1482">
        <v>2</v>
      </c>
      <c r="I20" s="1482">
        <v>2.4</v>
      </c>
      <c r="J20" s="1482">
        <v>2.0299999999999998</v>
      </c>
      <c r="K20" s="1482">
        <v>2.59</v>
      </c>
      <c r="L20" s="1483">
        <v>1.52</v>
      </c>
      <c r="N20" s="1472">
        <f t="shared" si="37"/>
        <v>2.4E-2</v>
      </c>
      <c r="O20" s="1473">
        <f t="shared" si="32"/>
        <v>2.0299999999999999E-2</v>
      </c>
      <c r="P20" s="1473">
        <f t="shared" si="32"/>
        <v>2.5899999999999999E-2</v>
      </c>
      <c r="Q20" s="1473">
        <f t="shared" si="32"/>
        <v>1.52E-2</v>
      </c>
      <c r="R20" s="1474"/>
      <c r="S20" s="1472"/>
      <c r="T20" s="1473"/>
      <c r="U20" s="1473"/>
      <c r="V20" s="1473"/>
      <c r="X20" s="1459">
        <f>1+N20</f>
        <v>1.024</v>
      </c>
      <c r="Y20" s="1459">
        <f>1+O20</f>
        <v>1.0203</v>
      </c>
      <c r="Z20" s="1459">
        <f t="shared" si="42"/>
        <v>1.0203</v>
      </c>
      <c r="AA20" s="1459">
        <f>1+P20</f>
        <v>1.0259</v>
      </c>
      <c r="AB20" s="1459">
        <f>1+Q20</f>
        <v>1.0152000000000001</v>
      </c>
      <c r="AD20" s="1460">
        <f>ROUND(AVERAGE(I20:I$21)/100,4)</f>
        <v>2.69E-2</v>
      </c>
      <c r="AE20" s="1460">
        <f>ROUND(AVERAGE(J20:J$21)/100,4)</f>
        <v>2.1899999999999999E-2</v>
      </c>
      <c r="AF20" s="1460">
        <f t="shared" ref="AF20" si="43">AE20</f>
        <v>2.1899999999999999E-2</v>
      </c>
      <c r="AG20" s="1460">
        <f>ROUND(AVERAGE(K20:K$21)/100,4)</f>
        <v>2.9399999999999999E-2</v>
      </c>
      <c r="AH20" s="1460">
        <f>ROUND(AVERAGE(L20:L$21)/100,4)</f>
        <v>1.44E-2</v>
      </c>
    </row>
    <row r="21" spans="1:34" s="1498" customFormat="1" ht="13.5" thickBot="1">
      <c r="A21" s="1494" t="s">
        <v>144</v>
      </c>
      <c r="B21" s="1495">
        <f t="shared" si="40"/>
        <v>307.34512863658733</v>
      </c>
      <c r="C21" s="1495">
        <f t="shared" si="40"/>
        <v>257.80556031626975</v>
      </c>
      <c r="D21" s="1495">
        <f t="shared" si="35"/>
        <v>257.80556031626975</v>
      </c>
      <c r="E21" s="1495">
        <f t="shared" si="41"/>
        <v>422.70928459677179</v>
      </c>
      <c r="F21" s="1495">
        <f t="shared" si="41"/>
        <v>229.73803270336617</v>
      </c>
      <c r="G21" s="3242"/>
      <c r="H21" s="1496">
        <v>1</v>
      </c>
      <c r="I21" s="1496">
        <v>2.97</v>
      </c>
      <c r="J21" s="1496">
        <v>2.34</v>
      </c>
      <c r="K21" s="1496">
        <v>3.28</v>
      </c>
      <c r="L21" s="1497">
        <v>1.36</v>
      </c>
      <c r="N21" s="1499">
        <f t="shared" si="37"/>
        <v>2.9700000000000001E-2</v>
      </c>
      <c r="O21" s="1500">
        <f t="shared" si="32"/>
        <v>2.3399999999999997E-2</v>
      </c>
      <c r="P21" s="1500">
        <f t="shared" si="32"/>
        <v>3.2799999999999996E-2</v>
      </c>
      <c r="Q21" s="1500">
        <f t="shared" si="32"/>
        <v>1.3600000000000001E-2</v>
      </c>
      <c r="R21" s="1501"/>
      <c r="S21" s="1502">
        <f>B21/B22-1</f>
        <v>2.7910129219355539E-2</v>
      </c>
      <c r="T21" s="1503">
        <f>C21/C22-1</f>
        <v>2.3037937762975247E-2</v>
      </c>
      <c r="U21" s="1503">
        <f>E21/E22-1</f>
        <v>3.3519033243940788E-2</v>
      </c>
      <c r="V21" s="1503">
        <f>F21/F22-1</f>
        <v>1.2061818076502862E-2</v>
      </c>
      <c r="W21" s="1504" t="s">
        <v>1162</v>
      </c>
      <c r="X21" s="1505">
        <v>1</v>
      </c>
      <c r="Y21" s="1505">
        <v>1</v>
      </c>
      <c r="Z21" s="1505">
        <v>1</v>
      </c>
      <c r="AA21" s="1505">
        <v>1</v>
      </c>
      <c r="AB21" s="1505">
        <v>1</v>
      </c>
      <c r="AD21" s="1727">
        <f>I21/100</f>
        <v>2.9700000000000001E-2</v>
      </c>
      <c r="AE21" s="1727">
        <f>J21/100</f>
        <v>2.3399999999999997E-2</v>
      </c>
      <c r="AF21" s="1727">
        <f>AE21</f>
        <v>2.3399999999999997E-2</v>
      </c>
      <c r="AG21" s="1727">
        <f>K21/100</f>
        <v>3.2799999999999996E-2</v>
      </c>
      <c r="AH21" s="1727">
        <f>L21/100</f>
        <v>1.3600000000000001E-2</v>
      </c>
    </row>
    <row r="22" spans="1:34" ht="13.5" thickBot="1">
      <c r="A22" s="1461" t="s">
        <v>1163</v>
      </c>
      <c r="B22" s="1469">
        <v>299</v>
      </c>
      <c r="C22" s="1469">
        <v>252</v>
      </c>
      <c r="D22" s="1469">
        <f t="shared" si="35"/>
        <v>252</v>
      </c>
      <c r="E22" s="1469">
        <v>409</v>
      </c>
      <c r="F22" s="1470">
        <v>227</v>
      </c>
      <c r="G22" s="3245">
        <v>2013</v>
      </c>
      <c r="H22" s="1506">
        <v>4</v>
      </c>
      <c r="I22" s="1506">
        <v>1.83</v>
      </c>
      <c r="J22" s="1506">
        <v>1.68</v>
      </c>
      <c r="K22" s="1506">
        <v>1.97</v>
      </c>
      <c r="L22" s="1507">
        <v>0.87</v>
      </c>
      <c r="N22" s="1484">
        <f t="shared" si="37"/>
        <v>1.83E-2</v>
      </c>
      <c r="O22" s="1485">
        <f t="shared" si="32"/>
        <v>1.6799999999999999E-2</v>
      </c>
      <c r="P22" s="1485">
        <f t="shared" si="32"/>
        <v>1.9699999999999999E-2</v>
      </c>
      <c r="Q22" s="1485">
        <f t="shared" si="32"/>
        <v>8.6999999999999994E-3</v>
      </c>
      <c r="R22" s="1474"/>
      <c r="S22" s="1475"/>
      <c r="T22" s="1476"/>
      <c r="U22" s="1476"/>
      <c r="V22" s="1476"/>
      <c r="X22" s="1476"/>
      <c r="Y22" s="1476"/>
      <c r="Z22" s="1476"/>
    </row>
    <row r="23" spans="1:34">
      <c r="A23" s="1461" t="s">
        <v>1164</v>
      </c>
      <c r="B23" s="1477">
        <f t="shared" ref="B23:C25" si="44">B22/(1+N22)</f>
        <v>293.62663262299913</v>
      </c>
      <c r="C23" s="1477">
        <f t="shared" si="44"/>
        <v>247.83634933123525</v>
      </c>
      <c r="D23" s="1477">
        <f t="shared" si="35"/>
        <v>247.83634933123525</v>
      </c>
      <c r="E23" s="1477">
        <f t="shared" ref="E23:F25" si="45">E22/(1+P22)</f>
        <v>401.09836226341076</v>
      </c>
      <c r="F23" s="1477">
        <f t="shared" si="45"/>
        <v>225.04213343908003</v>
      </c>
      <c r="G23" s="3246"/>
      <c r="H23" s="1487">
        <v>3</v>
      </c>
      <c r="I23" s="1487">
        <v>1.86</v>
      </c>
      <c r="J23" s="1487">
        <v>1.72</v>
      </c>
      <c r="K23" s="1487">
        <v>1.98</v>
      </c>
      <c r="L23" s="1488">
        <v>0.88</v>
      </c>
      <c r="N23" s="1472">
        <f t="shared" si="37"/>
        <v>1.8600000000000002E-2</v>
      </c>
      <c r="O23" s="1489">
        <f t="shared" si="32"/>
        <v>1.72E-2</v>
      </c>
      <c r="P23" s="1489">
        <f t="shared" si="32"/>
        <v>1.9799999999999998E-2</v>
      </c>
      <c r="Q23" s="1489">
        <f t="shared" si="32"/>
        <v>8.8000000000000005E-3</v>
      </c>
      <c r="R23" s="1474"/>
      <c r="S23" s="1472"/>
      <c r="T23" s="1473"/>
      <c r="U23" s="1473"/>
      <c r="V23" s="1473"/>
    </row>
    <row r="24" spans="1:34">
      <c r="A24" s="1461" t="s">
        <v>1165</v>
      </c>
      <c r="B24" s="1477">
        <f t="shared" si="44"/>
        <v>288.2649053828776</v>
      </c>
      <c r="C24" s="1477">
        <f t="shared" si="44"/>
        <v>243.64564425013293</v>
      </c>
      <c r="D24" s="1477">
        <f t="shared" si="35"/>
        <v>243.64564425013293</v>
      </c>
      <c r="E24" s="1477">
        <f t="shared" si="45"/>
        <v>393.31080825986544</v>
      </c>
      <c r="F24" s="1477">
        <f t="shared" si="45"/>
        <v>223.07903790551154</v>
      </c>
      <c r="G24" s="3246"/>
      <c r="H24" s="1465">
        <v>2</v>
      </c>
      <c r="I24" s="1465">
        <v>2.04</v>
      </c>
      <c r="J24" s="1465">
        <v>2.33</v>
      </c>
      <c r="K24" s="1465">
        <v>2.0699999999999998</v>
      </c>
      <c r="L24" s="1479">
        <v>0.69</v>
      </c>
      <c r="N24" s="1472">
        <f t="shared" si="37"/>
        <v>2.0400000000000001E-2</v>
      </c>
      <c r="O24" s="1489">
        <f t="shared" si="32"/>
        <v>2.3300000000000001E-2</v>
      </c>
      <c r="P24" s="1489">
        <f t="shared" si="32"/>
        <v>2.07E-2</v>
      </c>
      <c r="Q24" s="1489">
        <f t="shared" si="32"/>
        <v>6.8999999999999999E-3</v>
      </c>
      <c r="R24" s="1474"/>
      <c r="S24" s="1472"/>
      <c r="T24" s="1473"/>
      <c r="U24" s="1473"/>
      <c r="V24" s="1473"/>
      <c r="X24" s="1508"/>
      <c r="Y24" s="1509"/>
    </row>
    <row r="25" spans="1:34">
      <c r="A25" s="1461" t="s">
        <v>1166</v>
      </c>
      <c r="B25" s="1477">
        <f t="shared" si="44"/>
        <v>282.50186729015837</v>
      </c>
      <c r="C25" s="1477">
        <f t="shared" si="44"/>
        <v>238.09796174155468</v>
      </c>
      <c r="D25" s="1477">
        <f t="shared" si="35"/>
        <v>238.09796174155468</v>
      </c>
      <c r="E25" s="1477">
        <f t="shared" si="45"/>
        <v>385.33438646014054</v>
      </c>
      <c r="F25" s="1477">
        <f t="shared" si="45"/>
        <v>221.55034055567739</v>
      </c>
      <c r="G25" s="3247"/>
      <c r="H25" s="1464">
        <v>1</v>
      </c>
      <c r="I25" s="1464">
        <v>1.67</v>
      </c>
      <c r="J25" s="1464">
        <v>1.31</v>
      </c>
      <c r="K25" s="1464">
        <v>1.85</v>
      </c>
      <c r="L25" s="1478">
        <v>0.96</v>
      </c>
      <c r="N25" s="1480">
        <f t="shared" si="37"/>
        <v>1.67E-2</v>
      </c>
      <c r="O25" s="1481">
        <f t="shared" si="37"/>
        <v>1.3100000000000001E-2</v>
      </c>
      <c r="P25" s="1481">
        <f t="shared" si="37"/>
        <v>1.8500000000000003E-2</v>
      </c>
      <c r="Q25" s="1481">
        <f t="shared" si="37"/>
        <v>9.5999999999999992E-3</v>
      </c>
      <c r="R25" s="1474"/>
      <c r="S25" s="1480">
        <f>B25/B26-1</f>
        <v>1.6193767230785472E-2</v>
      </c>
      <c r="T25" s="1481">
        <f>C25/C26-1</f>
        <v>1.7512657015190891E-2</v>
      </c>
      <c r="U25" s="1481">
        <f>E25/E26-1</f>
        <v>1.6713420739157048E-2</v>
      </c>
      <c r="V25" s="1481">
        <f>F25/F26-1</f>
        <v>7.0470025258062563E-3</v>
      </c>
      <c r="X25" s="1510"/>
      <c r="Y25" s="1460"/>
      <c r="Z25" s="1460"/>
    </row>
    <row r="26" spans="1:34" ht="13.5" thickBot="1">
      <c r="A26" s="1461" t="s">
        <v>1167</v>
      </c>
      <c r="B26" s="1511">
        <v>278</v>
      </c>
      <c r="C26" s="1511">
        <v>234</v>
      </c>
      <c r="D26" s="1511">
        <f t="shared" si="35"/>
        <v>234</v>
      </c>
      <c r="E26" s="1511">
        <v>379</v>
      </c>
      <c r="F26" s="1512">
        <v>220</v>
      </c>
      <c r="G26" s="3240">
        <v>2012</v>
      </c>
      <c r="H26" s="1482">
        <v>4</v>
      </c>
      <c r="I26" s="1482">
        <v>0.91</v>
      </c>
      <c r="J26" s="1482">
        <v>0.68</v>
      </c>
      <c r="K26" s="1482">
        <v>0.98</v>
      </c>
      <c r="L26" s="1483">
        <v>0.9</v>
      </c>
      <c r="N26" s="1472">
        <f t="shared" si="37"/>
        <v>9.1000000000000004E-3</v>
      </c>
      <c r="O26" s="1473">
        <f t="shared" si="37"/>
        <v>6.8000000000000005E-3</v>
      </c>
      <c r="P26" s="1473">
        <f t="shared" si="37"/>
        <v>9.7999999999999997E-3</v>
      </c>
      <c r="Q26" s="1473">
        <f t="shared" si="37"/>
        <v>9.0000000000000011E-3</v>
      </c>
      <c r="R26" s="1474"/>
      <c r="S26" s="1475"/>
      <c r="T26" s="1476"/>
      <c r="U26" s="1476"/>
      <c r="V26" s="1476"/>
      <c r="X26" s="1476"/>
      <c r="Y26" s="1476"/>
      <c r="Z26" s="1476"/>
    </row>
    <row r="27" spans="1:34">
      <c r="A27" s="1461" t="s">
        <v>1168</v>
      </c>
      <c r="B27" s="1477">
        <f>B26/(1+N26)</f>
        <v>275.49301357645425</v>
      </c>
      <c r="C27" s="1477">
        <f>C26/(1+O26)</f>
        <v>232.41954707985698</v>
      </c>
      <c r="D27" s="1477">
        <f t="shared" si="35"/>
        <v>232.41954707985698</v>
      </c>
      <c r="E27" s="1477">
        <f t="shared" ref="E27:F29" si="46">E26/(1+P26)</f>
        <v>375.32184591008121</v>
      </c>
      <c r="F27" s="1477">
        <f t="shared" si="46"/>
        <v>218.03766105054513</v>
      </c>
      <c r="G27" s="3241"/>
      <c r="H27" s="1487">
        <v>3</v>
      </c>
      <c r="I27" s="1487">
        <v>0.09</v>
      </c>
      <c r="J27" s="1487">
        <v>0.28999999999999998</v>
      </c>
      <c r="K27" s="1487">
        <v>-0.01</v>
      </c>
      <c r="L27" s="1488">
        <v>0.57999999999999996</v>
      </c>
      <c r="N27" s="1472">
        <f t="shared" si="37"/>
        <v>8.9999999999999998E-4</v>
      </c>
      <c r="O27" s="1473">
        <f t="shared" si="37"/>
        <v>2.8999999999999998E-3</v>
      </c>
      <c r="P27" s="1473">
        <f t="shared" si="37"/>
        <v>-1E-4</v>
      </c>
      <c r="Q27" s="1473">
        <f t="shared" si="37"/>
        <v>5.7999999999999996E-3</v>
      </c>
      <c r="R27" s="1474"/>
      <c r="S27" s="1472"/>
      <c r="T27" s="1473"/>
      <c r="U27" s="1473"/>
      <c r="V27" s="1473"/>
    </row>
    <row r="28" spans="1:34">
      <c r="A28" s="1461" t="s">
        <v>1169</v>
      </c>
      <c r="B28" s="1477">
        <f>B27/(1+N27)</f>
        <v>275.24529281292263</v>
      </c>
      <c r="C28" s="1477">
        <f>C27/(1+O27)</f>
        <v>231.74747938962707</v>
      </c>
      <c r="D28" s="1477">
        <f t="shared" si="35"/>
        <v>231.74747938962707</v>
      </c>
      <c r="E28" s="1477">
        <f t="shared" si="46"/>
        <v>375.35938184826603</v>
      </c>
      <c r="F28" s="1477">
        <f t="shared" si="46"/>
        <v>216.78033510692495</v>
      </c>
      <c r="G28" s="3241"/>
      <c r="H28" s="1465">
        <v>2</v>
      </c>
      <c r="I28" s="1465">
        <v>0.02</v>
      </c>
      <c r="J28" s="1465">
        <v>0.12</v>
      </c>
      <c r="K28" s="1465">
        <v>-0.08</v>
      </c>
      <c r="L28" s="1479">
        <v>1.24</v>
      </c>
      <c r="N28" s="1472">
        <f t="shared" si="37"/>
        <v>2.0000000000000001E-4</v>
      </c>
      <c r="O28" s="1473">
        <f t="shared" si="37"/>
        <v>1.1999999999999999E-3</v>
      </c>
      <c r="P28" s="1473">
        <f t="shared" si="37"/>
        <v>-8.0000000000000004E-4</v>
      </c>
      <c r="Q28" s="1473">
        <f t="shared" si="37"/>
        <v>1.24E-2</v>
      </c>
      <c r="R28" s="1474"/>
      <c r="S28" s="1472"/>
      <c r="T28" s="1473"/>
      <c r="U28" s="1473"/>
      <c r="V28" s="1473"/>
    </row>
    <row r="29" spans="1:34" ht="13.5" thickBot="1">
      <c r="A29" s="1461" t="s">
        <v>1170</v>
      </c>
      <c r="B29" s="1477">
        <f>B28/(1+N28)</f>
        <v>275.19025476197027</v>
      </c>
      <c r="C29" s="1513">
        <v>232</v>
      </c>
      <c r="D29" s="1513">
        <f t="shared" si="35"/>
        <v>232</v>
      </c>
      <c r="E29" s="1477">
        <f t="shared" si="46"/>
        <v>375.65990977608692</v>
      </c>
      <c r="F29" s="1477">
        <f t="shared" si="46"/>
        <v>214.12518283971252</v>
      </c>
      <c r="G29" s="3242"/>
      <c r="H29" s="1464">
        <v>1</v>
      </c>
      <c r="I29" s="1464">
        <v>0.02</v>
      </c>
      <c r="J29" s="1464">
        <v>0.13</v>
      </c>
      <c r="K29" s="1464">
        <v>-0.04</v>
      </c>
      <c r="L29" s="1478">
        <v>0.46</v>
      </c>
      <c r="N29" s="1472">
        <f t="shared" si="37"/>
        <v>2.0000000000000001E-4</v>
      </c>
      <c r="O29" s="1473">
        <f t="shared" si="37"/>
        <v>1.2999999999999999E-3</v>
      </c>
      <c r="P29" s="1473">
        <f t="shared" si="37"/>
        <v>-4.0000000000000002E-4</v>
      </c>
      <c r="Q29" s="1473">
        <f t="shared" si="37"/>
        <v>4.5999999999999999E-3</v>
      </c>
      <c r="R29" s="1474"/>
      <c r="S29" s="1480">
        <f>B29/B30-1</f>
        <v>6.9183549807361189E-4</v>
      </c>
      <c r="T29" s="1481">
        <f>C29/C30-1</f>
        <v>0</v>
      </c>
      <c r="U29" s="1481">
        <f>E29/E30-1</f>
        <v>-9.0449527636460303E-4</v>
      </c>
      <c r="V29" s="1481">
        <f>F29/F30-1</f>
        <v>5.2825485432512753E-3</v>
      </c>
      <c r="X29" s="1460"/>
      <c r="Y29" s="1460"/>
      <c r="Z29" s="1460"/>
    </row>
    <row r="30" spans="1:34" ht="13.5" thickBot="1">
      <c r="A30" s="1461" t="s">
        <v>1171</v>
      </c>
      <c r="B30" s="1469">
        <v>275</v>
      </c>
      <c r="C30" s="1469">
        <v>232</v>
      </c>
      <c r="D30" s="1469">
        <f t="shared" si="35"/>
        <v>232</v>
      </c>
      <c r="E30" s="1469">
        <v>376</v>
      </c>
      <c r="F30" s="1470">
        <v>213</v>
      </c>
      <c r="G30" s="3240">
        <v>2011</v>
      </c>
      <c r="H30" s="1482">
        <v>4</v>
      </c>
      <c r="I30" s="1482">
        <v>-0.2</v>
      </c>
      <c r="J30" s="1482">
        <v>0.04</v>
      </c>
      <c r="K30" s="1482">
        <v>-0.34</v>
      </c>
      <c r="L30" s="1483">
        <v>0.46</v>
      </c>
      <c r="N30" s="1484">
        <f t="shared" si="37"/>
        <v>-2E-3</v>
      </c>
      <c r="O30" s="1485">
        <f t="shared" si="37"/>
        <v>4.0000000000000002E-4</v>
      </c>
      <c r="P30" s="1485">
        <f t="shared" si="37"/>
        <v>-3.4000000000000002E-3</v>
      </c>
      <c r="Q30" s="1485">
        <f t="shared" si="37"/>
        <v>4.5999999999999999E-3</v>
      </c>
      <c r="R30" s="1474"/>
      <c r="S30" s="1475"/>
      <c r="T30" s="1476"/>
      <c r="U30" s="1476"/>
      <c r="V30" s="1476"/>
      <c r="X30" s="1476"/>
      <c r="Y30" s="1476"/>
      <c r="Z30" s="1476"/>
    </row>
    <row r="31" spans="1:34">
      <c r="A31" s="1461" t="s">
        <v>1172</v>
      </c>
      <c r="B31" s="1477">
        <f t="shared" ref="B31:C33" si="47">B30/(1+N30)</f>
        <v>275.55110220440883</v>
      </c>
      <c r="C31" s="1477">
        <f t="shared" si="47"/>
        <v>231.90723710515795</v>
      </c>
      <c r="D31" s="1477">
        <f t="shared" si="35"/>
        <v>231.90723710515795</v>
      </c>
      <c r="E31" s="1477">
        <f t="shared" ref="E31:F33" si="48">E30/(1+P30)</f>
        <v>377.28276138872161</v>
      </c>
      <c r="F31" s="1477">
        <f t="shared" si="48"/>
        <v>212.02468644236512</v>
      </c>
      <c r="G31" s="3241">
        <v>2011</v>
      </c>
      <c r="H31" s="1487">
        <v>3</v>
      </c>
      <c r="I31" s="1487">
        <v>0.13</v>
      </c>
      <c r="J31" s="1487">
        <v>0.75</v>
      </c>
      <c r="K31" s="1487">
        <v>-0.08</v>
      </c>
      <c r="L31" s="1488">
        <v>0.53</v>
      </c>
      <c r="N31" s="1472">
        <f t="shared" si="37"/>
        <v>1.2999999999999999E-3</v>
      </c>
      <c r="O31" s="1489">
        <f t="shared" si="37"/>
        <v>7.4999999999999997E-3</v>
      </c>
      <c r="P31" s="1489">
        <f t="shared" si="37"/>
        <v>-8.0000000000000004E-4</v>
      </c>
      <c r="Q31" s="1489">
        <f t="shared" si="37"/>
        <v>5.3E-3</v>
      </c>
      <c r="R31" s="1474"/>
      <c r="S31" s="1472"/>
      <c r="T31" s="1473"/>
      <c r="U31" s="1473"/>
      <c r="V31" s="1473"/>
    </row>
    <row r="32" spans="1:34">
      <c r="A32" s="1461" t="s">
        <v>1173</v>
      </c>
      <c r="B32" s="1477">
        <f t="shared" si="47"/>
        <v>275.19335084830601</v>
      </c>
      <c r="C32" s="1477">
        <f t="shared" si="47"/>
        <v>230.18088050139744</v>
      </c>
      <c r="D32" s="1477">
        <f t="shared" si="35"/>
        <v>230.18088050139744</v>
      </c>
      <c r="E32" s="1477">
        <f t="shared" si="48"/>
        <v>377.58482925212331</v>
      </c>
      <c r="F32" s="1477">
        <f t="shared" si="48"/>
        <v>210.90687997847917</v>
      </c>
      <c r="G32" s="3241">
        <v>2011</v>
      </c>
      <c r="H32" s="1465">
        <v>2</v>
      </c>
      <c r="I32" s="1465">
        <v>-0.4</v>
      </c>
      <c r="J32" s="1465">
        <v>0.17</v>
      </c>
      <c r="K32" s="1465">
        <v>-0.57999999999999996</v>
      </c>
      <c r="L32" s="1479">
        <v>-0.2</v>
      </c>
      <c r="N32" s="1472">
        <f t="shared" si="37"/>
        <v>-4.0000000000000001E-3</v>
      </c>
      <c r="O32" s="1489">
        <f t="shared" si="37"/>
        <v>1.7000000000000001E-3</v>
      </c>
      <c r="P32" s="1489">
        <f t="shared" si="37"/>
        <v>-5.7999999999999996E-3</v>
      </c>
      <c r="Q32" s="1489">
        <f t="shared" si="37"/>
        <v>-2E-3</v>
      </c>
      <c r="R32" s="1474"/>
      <c r="S32" s="1472"/>
      <c r="T32" s="1473"/>
      <c r="U32" s="1473"/>
      <c r="V32" s="1473"/>
    </row>
    <row r="33" spans="1:26" ht="13.5" thickBot="1">
      <c r="A33" s="1461" t="s">
        <v>1174</v>
      </c>
      <c r="B33" s="1477">
        <f t="shared" si="47"/>
        <v>276.29854502841971</v>
      </c>
      <c r="C33" s="1477">
        <f t="shared" si="47"/>
        <v>229.79023709833027</v>
      </c>
      <c r="D33" s="1477">
        <f t="shared" si="35"/>
        <v>229.79023709833027</v>
      </c>
      <c r="E33" s="1477">
        <f t="shared" si="48"/>
        <v>379.78759731655936</v>
      </c>
      <c r="F33" s="1477">
        <f t="shared" si="48"/>
        <v>211.32953905659235</v>
      </c>
      <c r="G33" s="3242">
        <v>2011</v>
      </c>
      <c r="H33" s="1464">
        <v>1</v>
      </c>
      <c r="I33" s="1464">
        <v>2.65</v>
      </c>
      <c r="J33" s="1464">
        <v>3.76</v>
      </c>
      <c r="K33" s="1464">
        <v>1.89</v>
      </c>
      <c r="L33" s="1478">
        <v>7.95</v>
      </c>
      <c r="N33" s="1480">
        <f t="shared" si="37"/>
        <v>2.6499999999999999E-2</v>
      </c>
      <c r="O33" s="1481">
        <f t="shared" si="37"/>
        <v>3.7599999999999995E-2</v>
      </c>
      <c r="P33" s="1481">
        <f t="shared" si="37"/>
        <v>1.89E-2</v>
      </c>
      <c r="Q33" s="1481">
        <f t="shared" si="37"/>
        <v>7.9500000000000001E-2</v>
      </c>
      <c r="R33" s="1474"/>
      <c r="S33" s="1480">
        <f>B33/B34-1</f>
        <v>2.713213765211786E-2</v>
      </c>
      <c r="T33" s="1481">
        <f>C33/C34-1</f>
        <v>3.9774828499231862E-2</v>
      </c>
      <c r="U33" s="1481">
        <f>E33/E34-1</f>
        <v>1.8197311840641772E-2</v>
      </c>
      <c r="V33" s="1481">
        <f>F33/F34-1</f>
        <v>7.8211933962205826E-2</v>
      </c>
      <c r="X33" s="1460"/>
      <c r="Y33" s="1460"/>
      <c r="Z33" s="1460"/>
    </row>
    <row r="34" spans="1:26" ht="13.5" thickBot="1">
      <c r="A34" s="1461" t="s">
        <v>1175</v>
      </c>
      <c r="B34" s="1469">
        <v>269</v>
      </c>
      <c r="C34" s="1469">
        <v>221</v>
      </c>
      <c r="D34" s="1469">
        <f t="shared" si="35"/>
        <v>221</v>
      </c>
      <c r="E34" s="1469">
        <v>373</v>
      </c>
      <c r="F34" s="1470">
        <v>196</v>
      </c>
      <c r="G34" s="3240">
        <v>2010</v>
      </c>
      <c r="H34" s="1482">
        <v>4</v>
      </c>
      <c r="I34" s="1482">
        <v>5.72</v>
      </c>
      <c r="J34" s="1482">
        <v>6.57</v>
      </c>
      <c r="K34" s="1482">
        <v>5.72</v>
      </c>
      <c r="L34" s="1483">
        <v>2.72</v>
      </c>
      <c r="N34" s="1472">
        <f t="shared" si="37"/>
        <v>5.7200000000000001E-2</v>
      </c>
      <c r="O34" s="1473">
        <f t="shared" si="37"/>
        <v>6.5700000000000008E-2</v>
      </c>
      <c r="P34" s="1473">
        <f t="shared" si="37"/>
        <v>5.7200000000000001E-2</v>
      </c>
      <c r="Q34" s="1473">
        <f t="shared" si="37"/>
        <v>2.7200000000000002E-2</v>
      </c>
      <c r="R34" s="1474"/>
      <c r="S34" s="1475"/>
      <c r="T34" s="1476"/>
      <c r="U34" s="1476"/>
      <c r="V34" s="1476"/>
      <c r="X34" s="1476"/>
      <c r="Y34" s="1476"/>
      <c r="Z34" s="1476"/>
    </row>
    <row r="35" spans="1:26">
      <c r="A35" s="1461" t="s">
        <v>1176</v>
      </c>
      <c r="B35" s="1477">
        <f t="shared" ref="B35:C37" si="49">B34/(1+N34)</f>
        <v>254.44570563753314</v>
      </c>
      <c r="C35" s="1477">
        <f t="shared" si="49"/>
        <v>207.37543398705074</v>
      </c>
      <c r="D35" s="1477">
        <f t="shared" si="35"/>
        <v>207.37543398705074</v>
      </c>
      <c r="E35" s="1477">
        <f t="shared" ref="E35:F37" si="50">E34/(1+P34)</f>
        <v>352.81876655315932</v>
      </c>
      <c r="F35" s="1477">
        <f t="shared" si="50"/>
        <v>190.809968847352</v>
      </c>
      <c r="G35" s="3241">
        <v>2010</v>
      </c>
      <c r="H35" s="1487">
        <v>3</v>
      </c>
      <c r="I35" s="1487">
        <v>4.7300000000000004</v>
      </c>
      <c r="J35" s="1487">
        <v>3.9</v>
      </c>
      <c r="K35" s="1487">
        <v>5.03</v>
      </c>
      <c r="L35" s="1488">
        <v>4.21</v>
      </c>
      <c r="N35" s="1472">
        <f t="shared" si="37"/>
        <v>4.7300000000000002E-2</v>
      </c>
      <c r="O35" s="1473">
        <f t="shared" si="37"/>
        <v>3.9E-2</v>
      </c>
      <c r="P35" s="1473">
        <f t="shared" si="37"/>
        <v>5.0300000000000004E-2</v>
      </c>
      <c r="Q35" s="1473">
        <f t="shared" si="37"/>
        <v>4.2099999999999999E-2</v>
      </c>
      <c r="R35" s="1474"/>
      <c r="S35" s="1472"/>
      <c r="T35" s="1473"/>
      <c r="U35" s="1473"/>
      <c r="V35" s="1473"/>
    </row>
    <row r="36" spans="1:26">
      <c r="A36" s="1461" t="s">
        <v>1177</v>
      </c>
      <c r="B36" s="1477">
        <f t="shared" si="49"/>
        <v>242.95398227588385</v>
      </c>
      <c r="C36" s="1477">
        <f t="shared" si="49"/>
        <v>199.59137053614126</v>
      </c>
      <c r="D36" s="1477">
        <f t="shared" si="35"/>
        <v>199.59137053614126</v>
      </c>
      <c r="E36" s="1477">
        <f t="shared" si="50"/>
        <v>335.92189522342125</v>
      </c>
      <c r="F36" s="1477">
        <f t="shared" si="50"/>
        <v>183.10139991109489</v>
      </c>
      <c r="G36" s="3241">
        <v>2010</v>
      </c>
      <c r="H36" s="1465">
        <v>2</v>
      </c>
      <c r="I36" s="1465">
        <v>4.6900000000000004</v>
      </c>
      <c r="J36" s="1465">
        <v>3.55</v>
      </c>
      <c r="K36" s="1465">
        <v>5.07</v>
      </c>
      <c r="L36" s="1479">
        <v>4.2300000000000004</v>
      </c>
      <c r="N36" s="1472">
        <f t="shared" si="37"/>
        <v>4.6900000000000004E-2</v>
      </c>
      <c r="O36" s="1473">
        <f t="shared" si="37"/>
        <v>3.5499999999999997E-2</v>
      </c>
      <c r="P36" s="1473">
        <f t="shared" si="37"/>
        <v>5.0700000000000002E-2</v>
      </c>
      <c r="Q36" s="1473">
        <f t="shared" si="37"/>
        <v>4.2300000000000004E-2</v>
      </c>
      <c r="R36" s="1474"/>
      <c r="S36" s="1472"/>
      <c r="T36" s="1473"/>
      <c r="U36" s="1473"/>
      <c r="V36" s="1473"/>
    </row>
    <row r="37" spans="1:26" ht="13.5" thickBot="1">
      <c r="A37" s="1461" t="s">
        <v>1178</v>
      </c>
      <c r="B37" s="1477">
        <f t="shared" si="49"/>
        <v>232.06990378821649</v>
      </c>
      <c r="C37" s="1477">
        <f t="shared" si="49"/>
        <v>192.74878854286936</v>
      </c>
      <c r="D37" s="1477">
        <f t="shared" si="35"/>
        <v>192.74878854286936</v>
      </c>
      <c r="E37" s="1477">
        <f t="shared" si="50"/>
        <v>319.71247284992984</v>
      </c>
      <c r="F37" s="1477">
        <f t="shared" si="50"/>
        <v>175.67053622862409</v>
      </c>
      <c r="G37" s="3242">
        <v>2010</v>
      </c>
      <c r="H37" s="1464">
        <v>1</v>
      </c>
      <c r="I37" s="1464">
        <v>5.4</v>
      </c>
      <c r="J37" s="1464">
        <v>3.2</v>
      </c>
      <c r="K37" s="1464">
        <v>6.16</v>
      </c>
      <c r="L37" s="1478">
        <v>4.51</v>
      </c>
      <c r="N37" s="1472">
        <f t="shared" si="37"/>
        <v>5.4000000000000006E-2</v>
      </c>
      <c r="O37" s="1473">
        <f t="shared" si="37"/>
        <v>3.2000000000000001E-2</v>
      </c>
      <c r="P37" s="1473">
        <f t="shared" si="37"/>
        <v>6.1600000000000002E-2</v>
      </c>
      <c r="Q37" s="1473">
        <f t="shared" si="37"/>
        <v>4.5100000000000001E-2</v>
      </c>
      <c r="R37" s="1474"/>
      <c r="S37" s="1480">
        <f>B37/B38-1</f>
        <v>5.4863199037347599E-2</v>
      </c>
      <c r="T37" s="1481">
        <f>C37/C38-1</f>
        <v>3.0742184721226584E-2</v>
      </c>
      <c r="U37" s="1481">
        <f>E37/E38-1</f>
        <v>6.2167683886810154E-2</v>
      </c>
      <c r="V37" s="1481">
        <f>F37/F38-1</f>
        <v>4.5657953741810031E-2</v>
      </c>
      <c r="X37" s="1460"/>
      <c r="Y37" s="1460"/>
      <c r="Z37" s="1460"/>
    </row>
    <row r="38" spans="1:26" ht="13.5" thickBot="1">
      <c r="A38" s="1461" t="s">
        <v>1179</v>
      </c>
      <c r="B38" s="1469">
        <v>220</v>
      </c>
      <c r="C38" s="1469">
        <v>187</v>
      </c>
      <c r="D38" s="1469">
        <f t="shared" si="35"/>
        <v>187</v>
      </c>
      <c r="E38" s="1469">
        <v>301</v>
      </c>
      <c r="F38" s="1470">
        <v>168</v>
      </c>
      <c r="G38" s="3240">
        <v>2009</v>
      </c>
      <c r="H38" s="1482">
        <v>4</v>
      </c>
      <c r="I38" s="1482">
        <v>2.2999999999999998</v>
      </c>
      <c r="J38" s="1482">
        <v>1.04</v>
      </c>
      <c r="K38" s="1482">
        <v>2.84</v>
      </c>
      <c r="L38" s="1483">
        <v>0.67</v>
      </c>
      <c r="N38" s="1484">
        <f t="shared" si="37"/>
        <v>2.3E-2</v>
      </c>
      <c r="O38" s="1485">
        <f t="shared" si="37"/>
        <v>1.04E-2</v>
      </c>
      <c r="P38" s="1485">
        <f t="shared" si="37"/>
        <v>2.8399999999999998E-2</v>
      </c>
      <c r="Q38" s="1485">
        <f t="shared" si="37"/>
        <v>6.7000000000000002E-3</v>
      </c>
      <c r="R38" s="1474"/>
      <c r="S38" s="1475"/>
      <c r="T38" s="1476"/>
      <c r="U38" s="1476"/>
      <c r="V38" s="1476"/>
      <c r="X38" s="1476"/>
      <c r="Y38" s="1476"/>
      <c r="Z38" s="1476"/>
    </row>
    <row r="39" spans="1:26">
      <c r="A39" s="1461" t="s">
        <v>1180</v>
      </c>
      <c r="B39" s="1477">
        <f t="shared" ref="B39:C41" si="51">B38/(1+N38)</f>
        <v>215.05376344086022</v>
      </c>
      <c r="C39" s="1477">
        <f t="shared" si="51"/>
        <v>185.0752177355503</v>
      </c>
      <c r="D39" s="1477">
        <f t="shared" si="35"/>
        <v>185.0752177355503</v>
      </c>
      <c r="E39" s="1477">
        <f t="shared" ref="E39:F41" si="52">E38/(1+P38)</f>
        <v>292.68767016725008</v>
      </c>
      <c r="F39" s="1477">
        <f t="shared" si="52"/>
        <v>166.88189132810174</v>
      </c>
      <c r="G39" s="3241">
        <v>2009</v>
      </c>
      <c r="H39" s="1487">
        <v>3</v>
      </c>
      <c r="I39" s="1487">
        <v>2.1</v>
      </c>
      <c r="J39" s="1487">
        <v>1.86</v>
      </c>
      <c r="K39" s="1487">
        <v>2.29</v>
      </c>
      <c r="L39" s="1488">
        <v>0.85</v>
      </c>
      <c r="N39" s="1472">
        <f t="shared" si="37"/>
        <v>2.1000000000000001E-2</v>
      </c>
      <c r="O39" s="1489">
        <f t="shared" si="37"/>
        <v>1.8600000000000002E-2</v>
      </c>
      <c r="P39" s="1489">
        <f t="shared" si="37"/>
        <v>2.29E-2</v>
      </c>
      <c r="Q39" s="1489">
        <f t="shared" si="37"/>
        <v>8.5000000000000006E-3</v>
      </c>
      <c r="R39" s="1474"/>
      <c r="S39" s="1472"/>
      <c r="T39" s="1473"/>
      <c r="U39" s="1473"/>
      <c r="V39" s="1473"/>
    </row>
    <row r="40" spans="1:26">
      <c r="A40" s="1461" t="s">
        <v>1181</v>
      </c>
      <c r="B40" s="1477">
        <f t="shared" si="51"/>
        <v>210.630522469011</v>
      </c>
      <c r="C40" s="1477">
        <f t="shared" si="51"/>
        <v>181.69567812247232</v>
      </c>
      <c r="D40" s="1477">
        <f t="shared" si="35"/>
        <v>181.69567812247232</v>
      </c>
      <c r="E40" s="1477">
        <f t="shared" si="52"/>
        <v>286.13517466736738</v>
      </c>
      <c r="F40" s="1477">
        <f t="shared" si="52"/>
        <v>165.47535084591149</v>
      </c>
      <c r="G40" s="3241">
        <v>2009</v>
      </c>
      <c r="H40" s="1465">
        <v>2</v>
      </c>
      <c r="I40" s="1465">
        <v>0.86</v>
      </c>
      <c r="J40" s="1465">
        <v>-1.1299999999999999</v>
      </c>
      <c r="K40" s="1465">
        <v>1.79</v>
      </c>
      <c r="L40" s="1479">
        <v>-2.0699999999999998</v>
      </c>
      <c r="N40" s="1472">
        <f t="shared" si="37"/>
        <v>8.6E-3</v>
      </c>
      <c r="O40" s="1489">
        <f t="shared" si="37"/>
        <v>-1.1299999999999999E-2</v>
      </c>
      <c r="P40" s="1489">
        <f t="shared" si="37"/>
        <v>1.7899999999999999E-2</v>
      </c>
      <c r="Q40" s="1489">
        <f t="shared" si="37"/>
        <v>-2.07E-2</v>
      </c>
      <c r="R40" s="1474"/>
      <c r="S40" s="1472"/>
      <c r="T40" s="1473"/>
      <c r="U40" s="1473"/>
      <c r="V40" s="1473"/>
    </row>
    <row r="41" spans="1:26">
      <c r="A41" s="1461" t="s">
        <v>1182</v>
      </c>
      <c r="B41" s="1477">
        <f t="shared" si="51"/>
        <v>208.83454537875372</v>
      </c>
      <c r="C41" s="1477">
        <f t="shared" si="51"/>
        <v>183.77230517090351</v>
      </c>
      <c r="D41" s="1477">
        <f t="shared" si="35"/>
        <v>183.77230517090351</v>
      </c>
      <c r="E41" s="1477">
        <f t="shared" si="52"/>
        <v>281.10342338870947</v>
      </c>
      <c r="F41" s="1477">
        <f t="shared" si="52"/>
        <v>168.97309388942256</v>
      </c>
      <c r="G41" s="3242">
        <v>2009</v>
      </c>
      <c r="H41" s="1464">
        <v>1</v>
      </c>
      <c r="I41" s="1464">
        <v>-2.64</v>
      </c>
      <c r="J41" s="1464">
        <v>-2.5299999999999998</v>
      </c>
      <c r="K41" s="1464">
        <v>-3.02</v>
      </c>
      <c r="L41" s="1478">
        <v>1.52</v>
      </c>
      <c r="N41" s="1480">
        <f t="shared" si="37"/>
        <v>-2.64E-2</v>
      </c>
      <c r="O41" s="1481">
        <f t="shared" si="37"/>
        <v>-2.53E-2</v>
      </c>
      <c r="P41" s="1481">
        <f t="shared" si="37"/>
        <v>-3.0200000000000001E-2</v>
      </c>
      <c r="Q41" s="1481">
        <f t="shared" si="37"/>
        <v>1.52E-2</v>
      </c>
      <c r="R41" s="1474"/>
      <c r="S41" s="1480">
        <f>B41/B42-1</f>
        <v>-2.4137638417038754E-2</v>
      </c>
      <c r="T41" s="1481">
        <f>C41/C42-1</f>
        <v>-2.248773845264096E-2</v>
      </c>
      <c r="U41" s="1481">
        <f>E41/E42-1</f>
        <v>-2.7323794502735366E-2</v>
      </c>
      <c r="V41" s="1481">
        <f>F41/F42-1</f>
        <v>1.7910204153148035E-2</v>
      </c>
      <c r="X41" s="1460"/>
      <c r="Y41" s="1460"/>
      <c r="Z41" s="1460"/>
    </row>
    <row r="42" spans="1:26" ht="13.5" thickBot="1">
      <c r="A42" s="1461" t="s">
        <v>1183</v>
      </c>
      <c r="B42" s="1511">
        <v>214</v>
      </c>
      <c r="C42" s="1511">
        <v>188</v>
      </c>
      <c r="D42" s="1511">
        <f t="shared" si="35"/>
        <v>188</v>
      </c>
      <c r="E42" s="1511">
        <v>289</v>
      </c>
      <c r="F42" s="1512">
        <v>166</v>
      </c>
      <c r="G42" s="3240">
        <v>2008</v>
      </c>
      <c r="H42" s="1482">
        <v>4</v>
      </c>
      <c r="I42" s="1482">
        <v>1.73</v>
      </c>
      <c r="J42" s="1482">
        <v>0.03</v>
      </c>
      <c r="K42" s="1482">
        <v>2.59</v>
      </c>
      <c r="L42" s="1483">
        <v>-1.66</v>
      </c>
      <c r="N42" s="1472">
        <f t="shared" si="37"/>
        <v>1.7299999999999999E-2</v>
      </c>
      <c r="O42" s="1473">
        <f t="shared" si="37"/>
        <v>2.9999999999999997E-4</v>
      </c>
      <c r="P42" s="1473">
        <f t="shared" si="37"/>
        <v>2.5899999999999999E-2</v>
      </c>
      <c r="Q42" s="1473">
        <f t="shared" si="37"/>
        <v>-1.66E-2</v>
      </c>
      <c r="R42" s="1474"/>
      <c r="S42" s="1475"/>
      <c r="T42" s="1476"/>
      <c r="U42" s="1476"/>
      <c r="V42" s="1476"/>
      <c r="X42" s="1476"/>
      <c r="Y42" s="1476"/>
      <c r="Z42" s="1476"/>
    </row>
    <row r="43" spans="1:26">
      <c r="A43" s="1461" t="s">
        <v>1184</v>
      </c>
      <c r="B43" s="1477">
        <f t="shared" ref="B43:C45" si="53">B42/(1+N42)</f>
        <v>210.36075887152265</v>
      </c>
      <c r="C43" s="1477">
        <f t="shared" si="53"/>
        <v>187.94361691492554</v>
      </c>
      <c r="D43" s="1477">
        <f t="shared" si="35"/>
        <v>187.94361691492554</v>
      </c>
      <c r="E43" s="1477">
        <f t="shared" ref="E43:F45" si="54">E42/(1+P42)</f>
        <v>281.70386977288234</v>
      </c>
      <c r="F43" s="1477">
        <f t="shared" si="54"/>
        <v>168.80211511083994</v>
      </c>
      <c r="G43" s="3241">
        <v>2008</v>
      </c>
      <c r="H43" s="1487">
        <v>3</v>
      </c>
      <c r="I43" s="1487">
        <v>1.96</v>
      </c>
      <c r="J43" s="1487">
        <v>2.36</v>
      </c>
      <c r="K43" s="1487">
        <v>1.82</v>
      </c>
      <c r="L43" s="1488">
        <v>2.2200000000000002</v>
      </c>
      <c r="N43" s="1472">
        <f t="shared" si="37"/>
        <v>1.9599999999999999E-2</v>
      </c>
      <c r="O43" s="1473">
        <f t="shared" si="37"/>
        <v>2.3599999999999999E-2</v>
      </c>
      <c r="P43" s="1473">
        <f t="shared" si="37"/>
        <v>1.8200000000000001E-2</v>
      </c>
      <c r="Q43" s="1473">
        <f t="shared" si="37"/>
        <v>2.2200000000000001E-2</v>
      </c>
      <c r="R43" s="1474"/>
      <c r="S43" s="1472"/>
      <c r="T43" s="1473"/>
      <c r="U43" s="1473"/>
      <c r="V43" s="1473"/>
    </row>
    <row r="44" spans="1:26">
      <c r="A44" s="1461" t="s">
        <v>1185</v>
      </c>
      <c r="B44" s="1477">
        <f t="shared" si="53"/>
        <v>206.31694671589116</v>
      </c>
      <c r="C44" s="1477">
        <f t="shared" si="53"/>
        <v>183.61041121036101</v>
      </c>
      <c r="D44" s="1477">
        <f t="shared" si="35"/>
        <v>183.61041121036101</v>
      </c>
      <c r="E44" s="1477">
        <f t="shared" si="54"/>
        <v>276.66850301795557</v>
      </c>
      <c r="F44" s="1477">
        <f t="shared" si="54"/>
        <v>165.1360938278614</v>
      </c>
      <c r="G44" s="3241">
        <v>2008</v>
      </c>
      <c r="H44" s="1465">
        <v>2</v>
      </c>
      <c r="I44" s="1465">
        <v>4.93</v>
      </c>
      <c r="J44" s="1465">
        <v>7.38</v>
      </c>
      <c r="K44" s="1465">
        <v>3.98</v>
      </c>
      <c r="L44" s="1479">
        <v>6.86</v>
      </c>
      <c r="N44" s="1472">
        <f t="shared" si="37"/>
        <v>4.9299999999999997E-2</v>
      </c>
      <c r="O44" s="1473">
        <f t="shared" si="37"/>
        <v>7.3800000000000004E-2</v>
      </c>
      <c r="P44" s="1473">
        <f t="shared" si="37"/>
        <v>3.9800000000000002E-2</v>
      </c>
      <c r="Q44" s="1473">
        <f t="shared" si="37"/>
        <v>6.8600000000000008E-2</v>
      </c>
      <c r="R44" s="1474"/>
      <c r="S44" s="1472"/>
      <c r="T44" s="1473"/>
      <c r="U44" s="1473"/>
      <c r="V44" s="1473"/>
    </row>
    <row r="45" spans="1:26" s="1517" customFormat="1" ht="13.5" thickBot="1">
      <c r="A45" s="1461" t="s">
        <v>1186</v>
      </c>
      <c r="B45" s="1514">
        <f t="shared" si="53"/>
        <v>196.62341248059772</v>
      </c>
      <c r="C45" s="1514">
        <f t="shared" si="53"/>
        <v>170.99125648199012</v>
      </c>
      <c r="D45" s="1514">
        <f t="shared" si="35"/>
        <v>170.99125648199012</v>
      </c>
      <c r="E45" s="1514">
        <f t="shared" si="54"/>
        <v>266.07857570490052</v>
      </c>
      <c r="F45" s="1514">
        <f t="shared" si="54"/>
        <v>154.53499328828505</v>
      </c>
      <c r="G45" s="3242">
        <v>2008</v>
      </c>
      <c r="H45" s="1515">
        <v>1</v>
      </c>
      <c r="I45" s="1515">
        <v>4.1399999999999997</v>
      </c>
      <c r="J45" s="1515">
        <v>3.45</v>
      </c>
      <c r="K45" s="1515">
        <v>4.95</v>
      </c>
      <c r="L45" s="1516">
        <v>4.82</v>
      </c>
      <c r="N45" s="1518">
        <f t="shared" si="37"/>
        <v>4.1399999999999999E-2</v>
      </c>
      <c r="O45" s="1519">
        <f t="shared" si="37"/>
        <v>3.4500000000000003E-2</v>
      </c>
      <c r="P45" s="1519">
        <f t="shared" si="37"/>
        <v>4.9500000000000002E-2</v>
      </c>
      <c r="Q45" s="1519">
        <f t="shared" si="37"/>
        <v>4.82E-2</v>
      </c>
      <c r="R45" s="1520"/>
      <c r="S45" s="1518">
        <f>B45/B46-1</f>
        <v>4.5869215322328349E-2</v>
      </c>
      <c r="T45" s="1519">
        <f>C45/C46-1</f>
        <v>3.6310645345394743E-2</v>
      </c>
      <c r="U45" s="1519">
        <f>E45/E46-1</f>
        <v>4.7553447657088688E-2</v>
      </c>
      <c r="V45" s="1519">
        <f>F45/F46-1</f>
        <v>4.4155360055980086E-2</v>
      </c>
      <c r="X45" s="1521"/>
      <c r="Y45" s="1521"/>
      <c r="Z45" s="1521"/>
    </row>
    <row r="46" spans="1:26" ht="13.5" thickBot="1">
      <c r="A46" s="1461" t="s">
        <v>1187</v>
      </c>
      <c r="B46" s="1469">
        <v>188</v>
      </c>
      <c r="C46" s="1469">
        <v>165</v>
      </c>
      <c r="D46" s="1469">
        <f t="shared" si="35"/>
        <v>165</v>
      </c>
      <c r="E46" s="1469">
        <v>254</v>
      </c>
      <c r="F46" s="1470">
        <v>148</v>
      </c>
      <c r="G46" s="3240">
        <v>2007</v>
      </c>
      <c r="H46" s="1522">
        <v>4</v>
      </c>
      <c r="I46" s="1522">
        <v>5.51</v>
      </c>
      <c r="J46" s="1522">
        <v>4.8899999999999997</v>
      </c>
      <c r="K46" s="1522">
        <v>6.43</v>
      </c>
      <c r="L46" s="1523">
        <v>5.36</v>
      </c>
      <c r="N46" s="1524">
        <f t="shared" ref="N46:O49" si="55">B46/B47-1</f>
        <v>4.1339718365245526E-2</v>
      </c>
      <c r="O46" s="1525">
        <f t="shared" si="55"/>
        <v>4.0324492593776018E-2</v>
      </c>
      <c r="P46" s="1525">
        <f t="shared" ref="P46:Q49" si="56">E46/E47-1</f>
        <v>6.1625555347990968E-2</v>
      </c>
      <c r="Q46" s="1525">
        <f t="shared" si="56"/>
        <v>4.6757569250590603E-2</v>
      </c>
      <c r="R46" s="1474"/>
      <c r="S46" s="1475"/>
      <c r="T46" s="1476"/>
      <c r="U46" s="1476"/>
      <c r="V46" s="1476"/>
      <c r="X46" s="1476"/>
      <c r="Y46" s="1476"/>
      <c r="Z46" s="1476"/>
    </row>
    <row r="47" spans="1:26">
      <c r="A47" s="1461" t="s">
        <v>1188</v>
      </c>
      <c r="B47" s="1477">
        <f t="shared" ref="B47:C49" si="57">B48+(B$46-B$50)*I47/SUM(I$46:I$49)</f>
        <v>180.5366651097618</v>
      </c>
      <c r="C47" s="1477">
        <f t="shared" si="57"/>
        <v>158.60435967302453</v>
      </c>
      <c r="D47" s="1477">
        <f t="shared" si="35"/>
        <v>158.60435967302453</v>
      </c>
      <c r="E47" s="1477">
        <f t="shared" ref="E47:F49" si="58">E48+(E$46-E$50)*K47/SUM(K$46:K$49)</f>
        <v>239.25573260785075</v>
      </c>
      <c r="F47" s="1477">
        <f t="shared" si="58"/>
        <v>141.38899430740037</v>
      </c>
      <c r="G47" s="3241">
        <v>2007</v>
      </c>
      <c r="H47" s="1487">
        <v>3</v>
      </c>
      <c r="I47" s="1487">
        <v>8.65</v>
      </c>
      <c r="J47" s="1487">
        <v>8.06</v>
      </c>
      <c r="K47" s="1487">
        <v>9.94</v>
      </c>
      <c r="L47" s="1488">
        <v>5.8</v>
      </c>
      <c r="N47" s="1524">
        <f t="shared" si="55"/>
        <v>6.940217571740015E-2</v>
      </c>
      <c r="O47" s="1525">
        <f t="shared" si="55"/>
        <v>7.1197482471153428E-2</v>
      </c>
      <c r="P47" s="1525">
        <f t="shared" si="56"/>
        <v>0.10529679922579582</v>
      </c>
      <c r="Q47" s="1525">
        <f t="shared" si="56"/>
        <v>5.3292245059512133E-2</v>
      </c>
      <c r="R47" s="1474"/>
      <c r="S47" s="1472"/>
      <c r="T47" s="1473"/>
      <c r="U47" s="1473"/>
      <c r="V47" s="1473"/>
      <c r="X47" s="1526"/>
      <c r="Y47" s="1526"/>
      <c r="Z47" s="1526"/>
    </row>
    <row r="48" spans="1:26">
      <c r="A48" s="1461" t="s">
        <v>1189</v>
      </c>
      <c r="B48" s="1477">
        <f t="shared" si="57"/>
        <v>168.82017748715555</v>
      </c>
      <c r="C48" s="1477">
        <f t="shared" si="57"/>
        <v>148.06267029972753</v>
      </c>
      <c r="D48" s="1477">
        <f t="shared" si="35"/>
        <v>148.06267029972753</v>
      </c>
      <c r="E48" s="1477">
        <f t="shared" si="58"/>
        <v>216.46288379323747</v>
      </c>
      <c r="F48" s="1477">
        <f t="shared" si="58"/>
        <v>134.23529411764704</v>
      </c>
      <c r="G48" s="3241">
        <v>2007</v>
      </c>
      <c r="H48" s="1465">
        <v>2</v>
      </c>
      <c r="I48" s="1465">
        <v>3.67</v>
      </c>
      <c r="J48" s="1465">
        <v>2.3199999999999998</v>
      </c>
      <c r="K48" s="1465">
        <v>5.0199999999999996</v>
      </c>
      <c r="L48" s="1479">
        <v>6.71</v>
      </c>
      <c r="N48" s="1524">
        <f t="shared" si="55"/>
        <v>3.0339138143848032E-2</v>
      </c>
      <c r="O48" s="1525">
        <f t="shared" si="55"/>
        <v>2.0922341588790472E-2</v>
      </c>
      <c r="P48" s="1525">
        <f t="shared" si="56"/>
        <v>5.6164796592717003E-2</v>
      </c>
      <c r="Q48" s="1525">
        <f t="shared" si="56"/>
        <v>6.5704536723887319E-2</v>
      </c>
      <c r="R48" s="1474"/>
      <c r="S48" s="1472"/>
      <c r="T48" s="1473"/>
      <c r="U48" s="1473"/>
      <c r="V48" s="1473"/>
      <c r="X48" s="1526"/>
      <c r="Y48" s="1526"/>
      <c r="Z48" s="1526"/>
    </row>
    <row r="49" spans="1:26">
      <c r="A49" s="1461" t="s">
        <v>1190</v>
      </c>
      <c r="B49" s="1477">
        <f t="shared" si="57"/>
        <v>163.84913591779542</v>
      </c>
      <c r="C49" s="1477">
        <f t="shared" si="57"/>
        <v>145.0283378746594</v>
      </c>
      <c r="D49" s="1477">
        <f t="shared" si="35"/>
        <v>145.0283378746594</v>
      </c>
      <c r="E49" s="1477">
        <f t="shared" si="58"/>
        <v>204.95180722891567</v>
      </c>
      <c r="F49" s="1477">
        <f t="shared" si="58"/>
        <v>125.95920303605313</v>
      </c>
      <c r="G49" s="3242">
        <v>2007</v>
      </c>
      <c r="H49" s="1464">
        <v>1</v>
      </c>
      <c r="I49" s="1464">
        <v>3.58</v>
      </c>
      <c r="J49" s="1464">
        <v>3.08</v>
      </c>
      <c r="K49" s="1464">
        <v>4.34</v>
      </c>
      <c r="L49" s="1478">
        <v>3.21</v>
      </c>
      <c r="N49" s="1527">
        <f t="shared" si="55"/>
        <v>3.0497710174814063E-2</v>
      </c>
      <c r="O49" s="1528">
        <f t="shared" si="55"/>
        <v>2.8569772160704998E-2</v>
      </c>
      <c r="P49" s="1528">
        <f t="shared" si="56"/>
        <v>5.1034908866234296E-2</v>
      </c>
      <c r="Q49" s="1528">
        <f t="shared" si="56"/>
        <v>3.245248390207478E-2</v>
      </c>
      <c r="R49" s="1474"/>
      <c r="S49" s="1480">
        <f>B49/B50-1</f>
        <v>3.0497710174814063E-2</v>
      </c>
      <c r="T49" s="1481">
        <f>C49/C50-1</f>
        <v>2.8569772160704998E-2</v>
      </c>
      <c r="U49" s="1481">
        <f>E49/E50-1</f>
        <v>5.1034908866234296E-2</v>
      </c>
      <c r="V49" s="1481">
        <f>F49/F50-1</f>
        <v>3.245248390207478E-2</v>
      </c>
      <c r="X49" s="1526"/>
      <c r="Y49" s="1526"/>
      <c r="Z49" s="1526"/>
    </row>
    <row r="50" spans="1:26" ht="13.5" thickBot="1">
      <c r="A50" s="1461" t="s">
        <v>1191</v>
      </c>
      <c r="B50" s="1490">
        <v>159</v>
      </c>
      <c r="C50" s="1490">
        <v>141</v>
      </c>
      <c r="D50" s="1490">
        <f t="shared" si="35"/>
        <v>141</v>
      </c>
      <c r="E50" s="1490">
        <v>195</v>
      </c>
      <c r="F50" s="1491">
        <v>122</v>
      </c>
      <c r="G50" s="3240">
        <v>2006</v>
      </c>
      <c r="H50" s="1482">
        <v>4</v>
      </c>
      <c r="I50" s="1482">
        <v>3.79</v>
      </c>
      <c r="J50" s="1482">
        <v>2.21</v>
      </c>
      <c r="K50" s="1482">
        <v>5.65</v>
      </c>
      <c r="L50" s="1483">
        <v>5.41</v>
      </c>
      <c r="N50" s="1524">
        <f t="shared" ref="N50:O53" si="59">I50/SUM(I$50:I$53)*(B$50/B$54-1)</f>
        <v>7.245466462748526E-2</v>
      </c>
      <c r="O50" s="1525">
        <f t="shared" si="59"/>
        <v>2.3237230038062766E-2</v>
      </c>
      <c r="P50" s="1525">
        <f t="shared" ref="P50:Q53" si="60">K50/SUM(K$50:K$53)*(E$50/E$54-1)</f>
        <v>0.16146893866323722</v>
      </c>
      <c r="Q50" s="1525">
        <f t="shared" si="60"/>
        <v>5.0755230321793784E-2</v>
      </c>
      <c r="R50" s="1474"/>
      <c r="S50" s="1475"/>
      <c r="T50" s="1476"/>
      <c r="U50" s="1476"/>
      <c r="V50" s="1476"/>
      <c r="X50" s="1526"/>
      <c r="Y50" s="1526"/>
      <c r="Z50" s="1526"/>
    </row>
    <row r="51" spans="1:26">
      <c r="A51" s="1461" t="s">
        <v>1192</v>
      </c>
      <c r="B51" s="1477">
        <f t="shared" ref="B51:C53" si="61">B52+(B$50-B$54)*I51/SUM(I$50:I$53)</f>
        <v>149.00125628140702</v>
      </c>
      <c r="C51" s="1477">
        <f t="shared" si="61"/>
        <v>137.95592286501378</v>
      </c>
      <c r="D51" s="1477">
        <f t="shared" si="35"/>
        <v>137.95592286501378</v>
      </c>
      <c r="E51" s="1477">
        <f t="shared" ref="E51:F53" si="62">E52+(E$50-E$54)*K51/SUM(K$50:K$53)</f>
        <v>169.97231450719823</v>
      </c>
      <c r="F51" s="1477">
        <f t="shared" si="62"/>
        <v>116.21390374331551</v>
      </c>
      <c r="G51" s="3241">
        <v>2006</v>
      </c>
      <c r="H51" s="1487">
        <v>3</v>
      </c>
      <c r="I51" s="1487">
        <v>0.92</v>
      </c>
      <c r="J51" s="1487">
        <v>1.08</v>
      </c>
      <c r="K51" s="1487">
        <v>0.73</v>
      </c>
      <c r="L51" s="1488">
        <v>1.08</v>
      </c>
      <c r="N51" s="1524">
        <f t="shared" si="59"/>
        <v>1.7587939698492462E-2</v>
      </c>
      <c r="O51" s="1525">
        <f t="shared" si="59"/>
        <v>1.1355750425840628E-2</v>
      </c>
      <c r="P51" s="1525">
        <f t="shared" si="60"/>
        <v>2.0862358446754544E-2</v>
      </c>
      <c r="Q51" s="1525">
        <f t="shared" si="60"/>
        <v>1.0132282578103011E-2</v>
      </c>
      <c r="R51" s="1474"/>
      <c r="S51" s="1472"/>
      <c r="T51" s="1473"/>
      <c r="U51" s="1473"/>
      <c r="V51" s="1473"/>
      <c r="X51" s="1526"/>
      <c r="Y51" s="1526"/>
      <c r="Z51" s="1526"/>
    </row>
    <row r="52" spans="1:26">
      <c r="A52" s="1461" t="s">
        <v>1193</v>
      </c>
      <c r="B52" s="1477">
        <f t="shared" si="61"/>
        <v>146.57412060301507</v>
      </c>
      <c r="C52" s="1477">
        <f t="shared" si="61"/>
        <v>136.46831955922866</v>
      </c>
      <c r="D52" s="1477">
        <f t="shared" si="35"/>
        <v>136.46831955922866</v>
      </c>
      <c r="E52" s="1477">
        <f t="shared" si="62"/>
        <v>166.73864894795128</v>
      </c>
      <c r="F52" s="1477">
        <f t="shared" si="62"/>
        <v>115.05882352941177</v>
      </c>
      <c r="G52" s="3241">
        <v>2006</v>
      </c>
      <c r="H52" s="1465">
        <v>2</v>
      </c>
      <c r="I52" s="1465">
        <v>0.96</v>
      </c>
      <c r="J52" s="1465">
        <v>0.25</v>
      </c>
      <c r="K52" s="1465">
        <v>1.9</v>
      </c>
      <c r="L52" s="1479">
        <v>0.95</v>
      </c>
      <c r="N52" s="1524">
        <f t="shared" si="59"/>
        <v>1.8352632728861701E-2</v>
      </c>
      <c r="O52" s="1525">
        <f t="shared" si="59"/>
        <v>2.6286459319075526E-3</v>
      </c>
      <c r="P52" s="1525">
        <f t="shared" si="60"/>
        <v>5.4299289107991269E-2</v>
      </c>
      <c r="Q52" s="1525">
        <f t="shared" si="60"/>
        <v>8.9126559714794995E-3</v>
      </c>
      <c r="R52" s="1474"/>
      <c r="S52" s="1472"/>
      <c r="T52" s="1473"/>
      <c r="U52" s="1473"/>
      <c r="V52" s="1473"/>
      <c r="X52" s="1526"/>
      <c r="Y52" s="1526"/>
      <c r="Z52" s="1526"/>
    </row>
    <row r="53" spans="1:26">
      <c r="A53" s="1461" t="s">
        <v>1194</v>
      </c>
      <c r="B53" s="1477">
        <f t="shared" si="61"/>
        <v>144.04145728643215</v>
      </c>
      <c r="C53" s="1477">
        <f t="shared" si="61"/>
        <v>136.12396694214877</v>
      </c>
      <c r="D53" s="1477">
        <f t="shared" si="35"/>
        <v>136.12396694214877</v>
      </c>
      <c r="E53" s="1477">
        <f t="shared" si="62"/>
        <v>158.32225913621264</v>
      </c>
      <c r="F53" s="1477">
        <f t="shared" si="62"/>
        <v>114.04278074866311</v>
      </c>
      <c r="G53" s="3242">
        <v>2006</v>
      </c>
      <c r="H53" s="1464">
        <v>1</v>
      </c>
      <c r="I53" s="1464">
        <v>2.29</v>
      </c>
      <c r="J53" s="1464">
        <v>3.72</v>
      </c>
      <c r="K53" s="1464">
        <v>0.75</v>
      </c>
      <c r="L53" s="1478">
        <v>0.04</v>
      </c>
      <c r="N53" s="1527">
        <f t="shared" si="59"/>
        <v>4.3778675988638847E-2</v>
      </c>
      <c r="O53" s="1528">
        <f t="shared" si="59"/>
        <v>3.9114251466784385E-2</v>
      </c>
      <c r="P53" s="1528">
        <f t="shared" si="60"/>
        <v>2.1433929911049188E-2</v>
      </c>
      <c r="Q53" s="1528">
        <f t="shared" si="60"/>
        <v>3.7526972511492629E-4</v>
      </c>
      <c r="R53" s="1474"/>
      <c r="S53" s="1480">
        <f>B53/B54-1</f>
        <v>4.3778675988638716E-2</v>
      </c>
      <c r="T53" s="1481">
        <f>C53/C54-1</f>
        <v>3.91142514667846E-2</v>
      </c>
      <c r="U53" s="1481">
        <f>E53/E54-1</f>
        <v>2.143392991104931E-2</v>
      </c>
      <c r="V53" s="1481">
        <f>F53/F54-1</f>
        <v>3.7526972511492396E-4</v>
      </c>
      <c r="X53" s="1526"/>
      <c r="Y53" s="1526"/>
      <c r="Z53" s="1526"/>
    </row>
    <row r="54" spans="1:26" ht="13.5" thickBot="1">
      <c r="A54" s="1461" t="s">
        <v>1195</v>
      </c>
      <c r="B54" s="1490">
        <v>138</v>
      </c>
      <c r="C54" s="1490">
        <v>131</v>
      </c>
      <c r="D54" s="1490">
        <f t="shared" si="35"/>
        <v>131</v>
      </c>
      <c r="E54" s="1490">
        <v>155</v>
      </c>
      <c r="F54" s="1491">
        <v>114</v>
      </c>
      <c r="G54" s="3240">
        <v>2005</v>
      </c>
      <c r="H54" s="1482">
        <v>4</v>
      </c>
      <c r="I54" s="1482">
        <v>3.29</v>
      </c>
      <c r="J54" s="1482">
        <v>1.44</v>
      </c>
      <c r="K54" s="1482">
        <v>0.66</v>
      </c>
      <c r="L54" s="1483">
        <v>7.78</v>
      </c>
      <c r="N54" s="1524">
        <f t="shared" ref="N54:O57" si="63">I54/SUM(I$54:I$57)*(B$54/B$58-1)</f>
        <v>9.9404603216919935E-2</v>
      </c>
      <c r="O54" s="1525">
        <f t="shared" si="63"/>
        <v>4.7636550760861554E-2</v>
      </c>
      <c r="P54" s="1525">
        <f t="shared" ref="P54:Q57" si="64">K54/SUM(K$54:K$57)*(E$54/E$58-1)</f>
        <v>8.3756345177664976E-2</v>
      </c>
      <c r="Q54" s="1525">
        <f t="shared" si="64"/>
        <v>5.2148766661559584E-2</v>
      </c>
      <c r="R54" s="1474"/>
      <c r="S54" s="1475"/>
      <c r="T54" s="1476"/>
      <c r="U54" s="1476"/>
      <c r="V54" s="1476"/>
      <c r="X54" s="1526"/>
      <c r="Y54" s="1526"/>
      <c r="Z54" s="1526"/>
    </row>
    <row r="55" spans="1:26">
      <c r="A55" s="1461" t="s">
        <v>1196</v>
      </c>
      <c r="B55" s="1477">
        <f t="shared" ref="B55:C57" si="65">B56+(B$54-B$58)*I55/SUM(I$54:I$57)</f>
        <v>125.9720430107527</v>
      </c>
      <c r="C55" s="1477">
        <f t="shared" si="65"/>
        <v>125.1883408071749</v>
      </c>
      <c r="D55" s="1477">
        <f t="shared" si="35"/>
        <v>125.1883408071749</v>
      </c>
      <c r="E55" s="1477">
        <f t="shared" ref="E55:F57" si="66">E56+(E$54-E$58)*K55/SUM(K$54:K$57)</f>
        <v>144.61421319796952</v>
      </c>
      <c r="F55" s="1477">
        <f t="shared" si="66"/>
        <v>108.42008196721311</v>
      </c>
      <c r="G55" s="3241">
        <v>2005</v>
      </c>
      <c r="H55" s="1487">
        <v>3</v>
      </c>
      <c r="I55" s="1487">
        <v>0.46</v>
      </c>
      <c r="J55" s="1487">
        <v>0.32</v>
      </c>
      <c r="K55" s="1487">
        <v>0.42</v>
      </c>
      <c r="L55" s="1488">
        <v>0.64</v>
      </c>
      <c r="N55" s="1524">
        <f t="shared" si="63"/>
        <v>1.3898515951301874E-2</v>
      </c>
      <c r="O55" s="1525">
        <f t="shared" si="63"/>
        <v>1.0585900169080346E-2</v>
      </c>
      <c r="P55" s="1525">
        <f t="shared" si="64"/>
        <v>5.3299492385786795E-2</v>
      </c>
      <c r="Q55" s="1525">
        <f t="shared" si="64"/>
        <v>4.2898728359123568E-3</v>
      </c>
      <c r="R55" s="1474"/>
      <c r="S55" s="1472"/>
      <c r="T55" s="1473"/>
      <c r="U55" s="1473"/>
      <c r="V55" s="1473"/>
      <c r="X55" s="1526"/>
      <c r="Y55" s="1526"/>
      <c r="Z55" s="1526"/>
    </row>
    <row r="56" spans="1:26">
      <c r="A56" s="1461" t="s">
        <v>1197</v>
      </c>
      <c r="B56" s="1477">
        <f t="shared" si="65"/>
        <v>124.29032258064517</v>
      </c>
      <c r="C56" s="1477">
        <f t="shared" si="65"/>
        <v>123.8968609865471</v>
      </c>
      <c r="D56" s="1477">
        <f t="shared" si="35"/>
        <v>123.8968609865471</v>
      </c>
      <c r="E56" s="1477">
        <f t="shared" si="66"/>
        <v>138.00507614213197</v>
      </c>
      <c r="F56" s="1477">
        <f t="shared" si="66"/>
        <v>107.96106557377048</v>
      </c>
      <c r="G56" s="3241">
        <v>2005</v>
      </c>
      <c r="H56" s="1465">
        <v>2</v>
      </c>
      <c r="I56" s="1465">
        <v>0.47</v>
      </c>
      <c r="J56" s="1465">
        <v>0.1</v>
      </c>
      <c r="K56" s="1465">
        <v>0.52</v>
      </c>
      <c r="L56" s="1479">
        <v>0.79</v>
      </c>
      <c r="N56" s="1524">
        <f t="shared" si="63"/>
        <v>1.420065760241713E-2</v>
      </c>
      <c r="O56" s="1525">
        <f t="shared" si="63"/>
        <v>3.3080938028376083E-3</v>
      </c>
      <c r="P56" s="1525">
        <f t="shared" si="64"/>
        <v>6.598984771573603E-2</v>
      </c>
      <c r="Q56" s="1525">
        <f t="shared" si="64"/>
        <v>5.2953117818293153E-3</v>
      </c>
      <c r="R56" s="1474"/>
      <c r="S56" s="1472"/>
      <c r="T56" s="1473"/>
      <c r="U56" s="1473"/>
      <c r="V56" s="1473"/>
      <c r="X56" s="1526"/>
      <c r="Y56" s="1526"/>
      <c r="Z56" s="1526"/>
    </row>
    <row r="57" spans="1:26">
      <c r="A57" s="1461" t="s">
        <v>1198</v>
      </c>
      <c r="B57" s="1477">
        <f t="shared" si="65"/>
        <v>122.57204301075269</v>
      </c>
      <c r="C57" s="1477">
        <f t="shared" si="65"/>
        <v>123.4932735426009</v>
      </c>
      <c r="D57" s="1477">
        <f t="shared" si="35"/>
        <v>123.4932735426009</v>
      </c>
      <c r="E57" s="1477">
        <f t="shared" si="66"/>
        <v>129.82233502538071</v>
      </c>
      <c r="F57" s="1477">
        <f t="shared" si="66"/>
        <v>107.39446721311475</v>
      </c>
      <c r="G57" s="3242">
        <v>2005</v>
      </c>
      <c r="H57" s="1464">
        <v>1</v>
      </c>
      <c r="I57" s="1464">
        <v>0.43</v>
      </c>
      <c r="J57" s="1464">
        <v>0.37</v>
      </c>
      <c r="K57" s="1464">
        <v>0.37</v>
      </c>
      <c r="L57" s="1478">
        <v>0.55000000000000004</v>
      </c>
      <c r="N57" s="1527">
        <f t="shared" si="63"/>
        <v>1.2992090997956099E-2</v>
      </c>
      <c r="O57" s="1528">
        <f t="shared" si="63"/>
        <v>1.2239947070499151E-2</v>
      </c>
      <c r="P57" s="1528">
        <f t="shared" si="64"/>
        <v>4.6954314720812178E-2</v>
      </c>
      <c r="Q57" s="1528">
        <f t="shared" si="64"/>
        <v>3.6866094683621815E-3</v>
      </c>
      <c r="R57" s="1474"/>
      <c r="S57" s="1480">
        <f>B57/B58-1</f>
        <v>1.2992090997956174E-2</v>
      </c>
      <c r="T57" s="1481">
        <f>C57/C58-1</f>
        <v>1.2239947070499246E-2</v>
      </c>
      <c r="U57" s="1481">
        <f>E57/E58-1</f>
        <v>4.695431472081224E-2</v>
      </c>
      <c r="V57" s="1481">
        <f>F57/F58-1</f>
        <v>3.6866094683620787E-3</v>
      </c>
      <c r="X57" s="1526"/>
      <c r="Y57" s="1526"/>
      <c r="Z57" s="1526"/>
    </row>
    <row r="58" spans="1:26" ht="13.5" thickBot="1">
      <c r="A58" s="1461" t="s">
        <v>1199</v>
      </c>
      <c r="B58" s="1511">
        <v>121</v>
      </c>
      <c r="C58" s="1511">
        <v>122</v>
      </c>
      <c r="D58" s="1511">
        <f t="shared" si="35"/>
        <v>122</v>
      </c>
      <c r="E58" s="1511">
        <v>124</v>
      </c>
      <c r="F58" s="1512">
        <v>107</v>
      </c>
      <c r="G58" s="3240">
        <v>2004</v>
      </c>
      <c r="H58" s="1482">
        <v>4</v>
      </c>
      <c r="I58" s="1482">
        <v>0.33</v>
      </c>
      <c r="J58" s="1482">
        <v>0.5</v>
      </c>
      <c r="K58" s="1482">
        <v>0.5</v>
      </c>
      <c r="L58" s="1483">
        <v>0</v>
      </c>
      <c r="N58" s="1524">
        <f t="shared" ref="N58:O61" si="67">I58/SUM(I$58:I$61)*(B$58/B$62-1)</f>
        <v>1.3391770148526898E-2</v>
      </c>
      <c r="O58" s="1525">
        <f t="shared" si="67"/>
        <v>1.063264221158958E-2</v>
      </c>
      <c r="P58" s="1525">
        <f t="shared" ref="P58:Q61" si="68">K58/SUM(K$58:K$61)*(E$58/E$62-1)</f>
        <v>2.2244466688911134E-2</v>
      </c>
      <c r="Q58" s="1525">
        <f t="shared" si="68"/>
        <v>0</v>
      </c>
      <c r="R58" s="1474"/>
      <c r="S58" s="1475"/>
      <c r="T58" s="1476"/>
      <c r="U58" s="1476"/>
      <c r="V58" s="1476"/>
      <c r="X58" s="1526"/>
      <c r="Y58" s="1526"/>
      <c r="Z58" s="1526"/>
    </row>
    <row r="59" spans="1:26">
      <c r="A59" s="1461" t="s">
        <v>1200</v>
      </c>
      <c r="B59" s="1477">
        <f t="shared" ref="B59:C61" si="69">B60+(B$58-B$62)*I59/SUM(I$58:I$61)</f>
        <v>119.51351351351352</v>
      </c>
      <c r="C59" s="1477">
        <f t="shared" si="69"/>
        <v>120.7878787878788</v>
      </c>
      <c r="D59" s="1477">
        <f t="shared" si="35"/>
        <v>120.7878787878788</v>
      </c>
      <c r="E59" s="1477">
        <f t="shared" ref="E59:F61" si="70">E60+(E$58-E$62)*K59/SUM(K$58:K$61)</f>
        <v>121.5975975975976</v>
      </c>
      <c r="F59" s="1477">
        <f t="shared" si="70"/>
        <v>107</v>
      </c>
      <c r="G59" s="3241">
        <v>2004</v>
      </c>
      <c r="H59" s="1487">
        <v>3</v>
      </c>
      <c r="I59" s="1487">
        <v>0.56000000000000005</v>
      </c>
      <c r="J59" s="1487">
        <v>0.8</v>
      </c>
      <c r="K59" s="1487">
        <v>0.83</v>
      </c>
      <c r="L59" s="1488">
        <v>0.06</v>
      </c>
      <c r="N59" s="1524">
        <f t="shared" si="67"/>
        <v>2.2725428130833527E-2</v>
      </c>
      <c r="O59" s="1525">
        <f t="shared" si="67"/>
        <v>1.7012227538543329E-2</v>
      </c>
      <c r="P59" s="1525">
        <f t="shared" si="68"/>
        <v>3.6925814703592477E-2</v>
      </c>
      <c r="Q59" s="1525">
        <f t="shared" si="68"/>
        <v>2.8846153846153744E-2</v>
      </c>
      <c r="R59" s="1474"/>
      <c r="S59" s="1472"/>
      <c r="T59" s="1473"/>
      <c r="U59" s="1473"/>
      <c r="V59" s="1473"/>
      <c r="X59" s="1526"/>
      <c r="Y59" s="1526"/>
      <c r="Z59" s="1526"/>
    </row>
    <row r="60" spans="1:26">
      <c r="A60" s="1461" t="s">
        <v>1201</v>
      </c>
      <c r="B60" s="1477">
        <f t="shared" si="69"/>
        <v>116.99099099099099</v>
      </c>
      <c r="C60" s="1477">
        <f t="shared" si="69"/>
        <v>118.84848484848486</v>
      </c>
      <c r="D60" s="1477">
        <f t="shared" si="35"/>
        <v>118.84848484848486</v>
      </c>
      <c r="E60" s="1477">
        <f t="shared" si="70"/>
        <v>117.60960960960961</v>
      </c>
      <c r="F60" s="1477">
        <f t="shared" si="70"/>
        <v>104</v>
      </c>
      <c r="G60" s="3241">
        <v>2004</v>
      </c>
      <c r="H60" s="1465">
        <v>2</v>
      </c>
      <c r="I60" s="1465">
        <v>1</v>
      </c>
      <c r="J60" s="1465">
        <v>1.5</v>
      </c>
      <c r="K60" s="1465">
        <v>1.5</v>
      </c>
      <c r="L60" s="1479">
        <v>0</v>
      </c>
      <c r="N60" s="1524">
        <f t="shared" si="67"/>
        <v>4.0581121662202721E-2</v>
      </c>
      <c r="O60" s="1525">
        <f t="shared" si="67"/>
        <v>3.1897926634768738E-2</v>
      </c>
      <c r="P60" s="1525">
        <f t="shared" si="68"/>
        <v>6.6733400066733395E-2</v>
      </c>
      <c r="Q60" s="1525">
        <f t="shared" si="68"/>
        <v>0</v>
      </c>
      <c r="R60" s="1474"/>
      <c r="S60" s="1472"/>
      <c r="T60" s="1473"/>
      <c r="U60" s="1473"/>
      <c r="V60" s="1473"/>
      <c r="X60" s="1526"/>
      <c r="Y60" s="1526"/>
      <c r="Z60" s="1526"/>
    </row>
    <row r="61" spans="1:26" s="1517" customFormat="1" ht="13.5" thickBot="1">
      <c r="A61" s="1461" t="s">
        <v>1202</v>
      </c>
      <c r="B61" s="1514">
        <f t="shared" si="69"/>
        <v>112.48648648648648</v>
      </c>
      <c r="C61" s="1514">
        <f t="shared" si="69"/>
        <v>115.21212121212122</v>
      </c>
      <c r="D61" s="1514">
        <f t="shared" si="35"/>
        <v>115.21212121212122</v>
      </c>
      <c r="E61" s="1514">
        <f t="shared" si="70"/>
        <v>110.4024024024024</v>
      </c>
      <c r="F61" s="1514">
        <f t="shared" si="70"/>
        <v>104</v>
      </c>
      <c r="G61" s="3242">
        <v>2004</v>
      </c>
      <c r="H61" s="1515">
        <v>1</v>
      </c>
      <c r="I61" s="1515">
        <v>0.33</v>
      </c>
      <c r="J61" s="1515">
        <v>0.5</v>
      </c>
      <c r="K61" s="1515">
        <v>0.5</v>
      </c>
      <c r="L61" s="1516">
        <v>0</v>
      </c>
      <c r="N61" s="1529">
        <f t="shared" si="67"/>
        <v>1.3391770148526898E-2</v>
      </c>
      <c r="O61" s="1530">
        <f t="shared" si="67"/>
        <v>1.063264221158958E-2</v>
      </c>
      <c r="P61" s="1530">
        <f t="shared" si="68"/>
        <v>2.2244466688911134E-2</v>
      </c>
      <c r="Q61" s="1530">
        <f t="shared" si="68"/>
        <v>0</v>
      </c>
      <c r="R61" s="1520"/>
      <c r="S61" s="1518">
        <f>B61/B62-1</f>
        <v>1.3391770148526883E-2</v>
      </c>
      <c r="T61" s="1519">
        <f>C61/C62-1</f>
        <v>1.063264221158966E-2</v>
      </c>
      <c r="U61" s="1519">
        <f>E61/E62-1</f>
        <v>2.2244466688911224E-2</v>
      </c>
      <c r="V61" s="1519">
        <f>F61/F62-1</f>
        <v>0</v>
      </c>
      <c r="X61" s="1531"/>
      <c r="Y61" s="1531"/>
      <c r="Z61" s="1531"/>
    </row>
    <row r="62" spans="1:26" ht="13.5" thickBot="1">
      <c r="A62" s="1461" t="s">
        <v>1203</v>
      </c>
      <c r="B62" s="1532">
        <v>111</v>
      </c>
      <c r="C62" s="1532">
        <v>114</v>
      </c>
      <c r="D62" s="1532">
        <f t="shared" si="35"/>
        <v>114</v>
      </c>
      <c r="E62" s="1532">
        <v>108</v>
      </c>
      <c r="F62" s="1533">
        <v>104</v>
      </c>
      <c r="G62" s="3240">
        <v>2003</v>
      </c>
      <c r="H62" s="1522">
        <v>4</v>
      </c>
      <c r="I62" s="1534"/>
      <c r="J62" s="1534"/>
      <c r="K62" s="1534"/>
      <c r="L62" s="1534"/>
      <c r="N62" s="1535"/>
      <c r="O62" s="1534"/>
      <c r="P62" s="1534"/>
      <c r="Q62" s="1534"/>
      <c r="S62" s="1535"/>
      <c r="T62" s="1534"/>
      <c r="U62" s="1534"/>
      <c r="V62" s="1534"/>
      <c r="X62" s="1526"/>
      <c r="Y62" s="1526"/>
      <c r="Z62" s="1526"/>
    </row>
    <row r="63" spans="1:26">
      <c r="A63" s="1461" t="s">
        <v>1204</v>
      </c>
      <c r="B63" s="1536">
        <f t="shared" ref="B63:C65" si="71">B64+(B$62-B$66)/4</f>
        <v>109.75</v>
      </c>
      <c r="C63" s="1536">
        <f t="shared" si="71"/>
        <v>112.25</v>
      </c>
      <c r="D63" s="1536">
        <f t="shared" si="35"/>
        <v>112.25</v>
      </c>
      <c r="E63" s="1536">
        <f t="shared" ref="E63:F65" si="72">E64+(E$62-E$66)/4</f>
        <v>107.25</v>
      </c>
      <c r="F63" s="1536">
        <f t="shared" si="72"/>
        <v>103.5</v>
      </c>
      <c r="G63" s="3241">
        <v>2003</v>
      </c>
      <c r="H63" s="1487">
        <v>3</v>
      </c>
      <c r="I63" s="1534"/>
      <c r="J63" s="1534"/>
      <c r="K63" s="1534"/>
      <c r="L63" s="1534"/>
      <c r="X63" s="1526"/>
      <c r="Y63" s="1526"/>
      <c r="Z63" s="1526"/>
    </row>
    <row r="64" spans="1:26">
      <c r="A64" s="1461" t="s">
        <v>1205</v>
      </c>
      <c r="B64" s="1536">
        <f t="shared" si="71"/>
        <v>108.5</v>
      </c>
      <c r="C64" s="1536">
        <f t="shared" si="71"/>
        <v>110.5</v>
      </c>
      <c r="D64" s="1536">
        <f t="shared" si="35"/>
        <v>110.5</v>
      </c>
      <c r="E64" s="1536">
        <f t="shared" si="72"/>
        <v>106.5</v>
      </c>
      <c r="F64" s="1536">
        <f t="shared" si="72"/>
        <v>103</v>
      </c>
      <c r="G64" s="3241">
        <v>2003</v>
      </c>
      <c r="H64" s="1465">
        <v>2</v>
      </c>
      <c r="I64" s="1534"/>
      <c r="J64" s="1534"/>
      <c r="K64" s="1534"/>
      <c r="L64" s="1534"/>
      <c r="X64" s="1526"/>
      <c r="Y64" s="1526"/>
      <c r="Z64" s="1526"/>
    </row>
    <row r="65" spans="1:26" ht="13.5" thickBot="1">
      <c r="A65" s="1461" t="s">
        <v>1206</v>
      </c>
      <c r="B65" s="1536">
        <f t="shared" si="71"/>
        <v>107.25</v>
      </c>
      <c r="C65" s="1536">
        <f t="shared" si="71"/>
        <v>108.75</v>
      </c>
      <c r="D65" s="1536">
        <f t="shared" si="35"/>
        <v>108.75</v>
      </c>
      <c r="E65" s="1536">
        <f t="shared" si="72"/>
        <v>105.75</v>
      </c>
      <c r="F65" s="1536">
        <f t="shared" si="72"/>
        <v>102.5</v>
      </c>
      <c r="G65" s="3242">
        <v>2003</v>
      </c>
      <c r="H65" s="1537">
        <v>1</v>
      </c>
      <c r="I65" s="1534"/>
      <c r="J65" s="1534"/>
      <c r="K65" s="1534"/>
      <c r="L65" s="1534"/>
      <c r="S65" s="1472"/>
      <c r="T65" s="1473"/>
      <c r="U65" s="1473"/>
      <c r="X65" s="1526"/>
      <c r="Y65" s="1526"/>
      <c r="Z65" s="1526"/>
    </row>
    <row r="66" spans="1:26" ht="13.5" thickBot="1">
      <c r="A66" s="1461" t="s">
        <v>1207</v>
      </c>
      <c r="B66" s="1538">
        <v>106</v>
      </c>
      <c r="C66" s="1538">
        <v>107</v>
      </c>
      <c r="D66" s="1538">
        <f t="shared" si="35"/>
        <v>107</v>
      </c>
      <c r="E66" s="1538">
        <v>105</v>
      </c>
      <c r="F66" s="1539">
        <v>102</v>
      </c>
      <c r="G66" s="3240">
        <v>2002</v>
      </c>
      <c r="H66" s="1482">
        <v>4</v>
      </c>
      <c r="I66" s="1534"/>
      <c r="J66" s="1534"/>
      <c r="K66" s="1534"/>
      <c r="L66" s="1534"/>
      <c r="N66" s="1535"/>
      <c r="O66" s="1534"/>
      <c r="P66" s="1534"/>
      <c r="Q66" s="1534"/>
      <c r="S66" s="1535"/>
      <c r="T66" s="1534"/>
      <c r="U66" s="1534"/>
      <c r="V66" s="1534"/>
      <c r="X66" s="1526"/>
      <c r="Y66" s="1526"/>
      <c r="Z66" s="1526"/>
    </row>
    <row r="67" spans="1:26">
      <c r="A67" s="1461" t="s">
        <v>1208</v>
      </c>
      <c r="B67" s="1536">
        <f t="shared" ref="B67:C69" si="73">B68+(B$66-B$70)/4</f>
        <v>105</v>
      </c>
      <c r="C67" s="1536">
        <f t="shared" si="73"/>
        <v>106</v>
      </c>
      <c r="D67" s="1536">
        <f t="shared" si="35"/>
        <v>106</v>
      </c>
      <c r="E67" s="1536">
        <f t="shared" ref="E67:F69" si="74">E68+(E$66-E$70)/4</f>
        <v>104.5</v>
      </c>
      <c r="F67" s="1536">
        <f t="shared" si="74"/>
        <v>101.5</v>
      </c>
      <c r="G67" s="3241">
        <v>2002</v>
      </c>
      <c r="H67" s="1487">
        <v>3</v>
      </c>
      <c r="I67" s="1534"/>
      <c r="J67" s="1534"/>
      <c r="K67" s="1534"/>
      <c r="L67" s="1534"/>
      <c r="X67" s="1526"/>
      <c r="Y67" s="1526"/>
      <c r="Z67" s="1526"/>
    </row>
    <row r="68" spans="1:26">
      <c r="A68" s="1461" t="s">
        <v>1209</v>
      </c>
      <c r="B68" s="1536">
        <f t="shared" si="73"/>
        <v>104</v>
      </c>
      <c r="C68" s="1536">
        <f t="shared" si="73"/>
        <v>105</v>
      </c>
      <c r="D68" s="1536">
        <f t="shared" si="35"/>
        <v>105</v>
      </c>
      <c r="E68" s="1536">
        <f t="shared" si="74"/>
        <v>104</v>
      </c>
      <c r="F68" s="1536">
        <f t="shared" si="74"/>
        <v>101</v>
      </c>
      <c r="G68" s="3241">
        <v>2002</v>
      </c>
      <c r="H68" s="1465">
        <v>2</v>
      </c>
      <c r="I68" s="1534"/>
      <c r="J68" s="1534"/>
      <c r="K68" s="1534"/>
      <c r="L68" s="1534"/>
      <c r="X68" s="1526"/>
      <c r="Y68" s="1526"/>
      <c r="Z68" s="1526"/>
    </row>
    <row r="69" spans="1:26" s="1498" customFormat="1" ht="13.5" thickBot="1">
      <c r="A69" s="1494" t="s">
        <v>1210</v>
      </c>
      <c r="B69" s="1540">
        <f t="shared" si="73"/>
        <v>103</v>
      </c>
      <c r="C69" s="1540">
        <f t="shared" si="73"/>
        <v>104</v>
      </c>
      <c r="D69" s="1540">
        <f t="shared" si="35"/>
        <v>104</v>
      </c>
      <c r="E69" s="1540">
        <f t="shared" si="74"/>
        <v>103.5</v>
      </c>
      <c r="F69" s="1540">
        <f t="shared" si="74"/>
        <v>100.5</v>
      </c>
      <c r="G69" s="3242">
        <v>2002</v>
      </c>
      <c r="H69" s="1541">
        <v>1</v>
      </c>
      <c r="I69" s="1542"/>
      <c r="J69" s="1542"/>
      <c r="K69" s="1542"/>
      <c r="L69" s="1542"/>
      <c r="N69" s="1543"/>
      <c r="S69" s="1543"/>
      <c r="X69" s="1544"/>
      <c r="Y69" s="1544"/>
      <c r="Z69" s="1544"/>
    </row>
    <row r="70" spans="1:26" ht="13.5" thickBot="1">
      <c r="B70" s="1545">
        <v>102</v>
      </c>
      <c r="C70" s="1546">
        <v>103</v>
      </c>
      <c r="D70" s="1546">
        <f t="shared" si="35"/>
        <v>103</v>
      </c>
      <c r="E70" s="1546">
        <v>103</v>
      </c>
      <c r="F70" s="1547">
        <v>100</v>
      </c>
      <c r="I70" s="1534"/>
      <c r="J70" s="1534"/>
      <c r="K70" s="1534"/>
      <c r="L70" s="1534"/>
      <c r="N70" s="1535"/>
      <c r="O70" s="1534"/>
      <c r="P70" s="1534"/>
      <c r="Q70" s="1534"/>
      <c r="S70" s="1535"/>
      <c r="T70" s="1534"/>
      <c r="U70" s="1534"/>
      <c r="V70" s="1534"/>
      <c r="X70" s="1476"/>
      <c r="Y70" s="1476"/>
      <c r="Z70" s="1476"/>
    </row>
    <row r="72" spans="1:26" s="1549" customFormat="1">
      <c r="A72" s="1548" t="s">
        <v>1211</v>
      </c>
      <c r="G72" s="1550"/>
      <c r="N72" s="1550"/>
      <c r="S72" s="1550"/>
    </row>
    <row r="73" spans="1:26" s="1549" customFormat="1">
      <c r="A73" s="1549" t="s">
        <v>1212</v>
      </c>
      <c r="G73" s="1550"/>
      <c r="N73" s="1550"/>
      <c r="S73" s="1550"/>
    </row>
    <row r="74" spans="1:26" s="1549" customFormat="1">
      <c r="A74" s="1549" t="s">
        <v>1213</v>
      </c>
      <c r="G74" s="1550"/>
      <c r="I74" s="1551"/>
      <c r="J74" s="1551"/>
      <c r="K74" s="1551"/>
      <c r="L74" s="1551"/>
      <c r="N74" s="1552"/>
      <c r="O74" s="1551"/>
      <c r="P74" s="1551"/>
      <c r="Q74" s="1551"/>
      <c r="S74" s="1552"/>
      <c r="T74" s="1551"/>
      <c r="U74" s="1551"/>
      <c r="V74" s="1551"/>
    </row>
    <row r="75" spans="1:26" s="1549" customFormat="1">
      <c r="A75" s="1549" t="s">
        <v>1214</v>
      </c>
      <c r="G75" s="1550"/>
      <c r="N75" s="1550"/>
      <c r="S75" s="1550"/>
    </row>
    <row r="82" spans="7:22" ht="13.5" thickBot="1"/>
    <row r="83" spans="7:22">
      <c r="G83" s="1471"/>
      <c r="S83" s="1553" t="s">
        <v>1215</v>
      </c>
      <c r="T83" s="1554" t="s">
        <v>1216</v>
      </c>
      <c r="U83" s="1554" t="s">
        <v>1217</v>
      </c>
      <c r="V83" s="1554" t="s">
        <v>1218</v>
      </c>
    </row>
    <row r="84" spans="7:22">
      <c r="G84" s="1471"/>
      <c r="N84" s="1475"/>
      <c r="O84" s="1476"/>
      <c r="P84" s="1476"/>
      <c r="Q84" s="1476"/>
      <c r="S84" s="1555">
        <v>2006</v>
      </c>
      <c r="T84" s="1556">
        <v>15.1</v>
      </c>
      <c r="U84" s="1556">
        <v>7.43</v>
      </c>
      <c r="V84" s="1556">
        <v>26.26</v>
      </c>
    </row>
    <row r="85" spans="7:22">
      <c r="G85" s="1471"/>
      <c r="N85" s="1475"/>
      <c r="O85" s="1476"/>
      <c r="P85" s="1476"/>
      <c r="Q85" s="1476"/>
      <c r="S85" s="1557">
        <v>2005</v>
      </c>
      <c r="T85" s="1558">
        <v>13.9</v>
      </c>
      <c r="U85" s="1558">
        <v>7.49</v>
      </c>
      <c r="V85" s="1558">
        <v>24.92</v>
      </c>
    </row>
    <row r="86" spans="7:22">
      <c r="G86" s="1471"/>
      <c r="N86" s="1475"/>
      <c r="O86" s="1476"/>
      <c r="P86" s="1476"/>
      <c r="Q86" s="1476"/>
      <c r="S86" s="1555">
        <v>2004</v>
      </c>
      <c r="T86" s="1556">
        <v>9.48</v>
      </c>
      <c r="U86" s="1556">
        <v>7.2</v>
      </c>
      <c r="V86" s="1556">
        <v>14.68</v>
      </c>
    </row>
    <row r="87" spans="7:22">
      <c r="G87" s="1471"/>
      <c r="N87" s="1475"/>
      <c r="O87" s="1476"/>
      <c r="P87" s="1476"/>
      <c r="Q87" s="1476"/>
      <c r="S87" s="1557">
        <v>2003</v>
      </c>
      <c r="T87" s="1558">
        <v>4.5</v>
      </c>
      <c r="U87" s="1558">
        <v>6.12</v>
      </c>
      <c r="V87" s="1558">
        <v>2.34</v>
      </c>
    </row>
    <row r="88" spans="7:22" ht="13.5" thickBot="1">
      <c r="G88" s="1471"/>
      <c r="N88" s="1475"/>
      <c r="O88" s="1476"/>
      <c r="P88" s="1476"/>
      <c r="Q88" s="1476"/>
      <c r="S88" s="1559">
        <v>2002</v>
      </c>
      <c r="T88" s="1560">
        <v>3.59</v>
      </c>
      <c r="U88" s="1560">
        <v>4.54</v>
      </c>
      <c r="V88" s="1560">
        <v>2.5499999999999998</v>
      </c>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26" sqref="L2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6</v>
      </c>
    </row>
    <row r="2" spans="1:33" ht="18" customHeight="1">
      <c r="A2" s="245" t="s">
        <v>2326</v>
      </c>
      <c r="B2" s="248">
        <f ca="1">C32</f>
        <v>66492</v>
      </c>
      <c r="C2" s="320" t="s">
        <v>2459</v>
      </c>
      <c r="D2" s="320"/>
      <c r="E2" s="320"/>
      <c r="F2" s="320"/>
      <c r="G2" s="320"/>
      <c r="H2" s="320"/>
      <c r="I2" s="320"/>
      <c r="J2" s="320"/>
      <c r="K2" s="320"/>
    </row>
    <row r="3" spans="1:33" ht="18" customHeight="1" thickBot="1">
      <c r="A3" s="247" t="s">
        <v>2328</v>
      </c>
      <c r="B3" s="248">
        <f ca="1">ROUND(B2*10000/IF(C1="",'数据-汇总表'!E3,INDIRECT("'数据-取费表'!K"&amp;$K$1)),0)</f>
        <v>7803</v>
      </c>
      <c r="C3" s="320" t="s">
        <v>2460</v>
      </c>
      <c r="D3" s="320"/>
      <c r="E3" s="320"/>
      <c r="F3" s="320"/>
      <c r="G3" s="320"/>
      <c r="H3" s="320"/>
      <c r="I3" s="320"/>
      <c r="J3" s="320"/>
      <c r="K3" s="320"/>
    </row>
    <row r="4" spans="1:33" s="956" customFormat="1" ht="16.5" customHeight="1">
      <c r="A4" s="953" t="s">
        <v>2461</v>
      </c>
      <c r="B4" s="954"/>
      <c r="C4" s="996">
        <f ca="1">SUM(C8:K8)</f>
        <v>83219.575999999957</v>
      </c>
      <c r="D4" s="954"/>
      <c r="E4" s="954"/>
      <c r="F4" s="954"/>
      <c r="G4" s="954"/>
      <c r="H4" s="954"/>
      <c r="I4" s="954"/>
      <c r="J4" s="954"/>
      <c r="K4" s="955"/>
    </row>
    <row r="5" spans="1:33" s="960" customFormat="1" ht="15">
      <c r="A5" s="957" t="s">
        <v>2462</v>
      </c>
      <c r="B5" s="958" t="s">
        <v>2463</v>
      </c>
      <c r="C5" s="2550" t="s">
        <v>3129</v>
      </c>
      <c r="D5" s="2550" t="s">
        <v>3131</v>
      </c>
      <c r="E5" s="2550" t="s">
        <v>3136</v>
      </c>
      <c r="F5" s="2550" t="s">
        <v>3133</v>
      </c>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v>12000</v>
      </c>
      <c r="D6" s="962">
        <v>12000</v>
      </c>
      <c r="E6" s="962">
        <f ca="1">'收益法（仓储）'!B3</f>
        <v>8705</v>
      </c>
      <c r="F6" s="962">
        <f ca="1">'收益法（车库）'!B3</f>
        <v>9526</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29549.379999999997</v>
      </c>
      <c r="D7" s="321">
        <f>SUMIF('数据-汇总表'!$C19:$C33,假设开发法!D5,'数据-汇总表'!$E19:$E33)</f>
        <v>8358.5999999999676</v>
      </c>
      <c r="E7" s="321">
        <f>SUMIF('数据-汇总表'!$C19:$C33,假设开发法!E5,'数据-汇总表'!$E19:$E33)</f>
        <v>14071.829999999998</v>
      </c>
      <c r="F7" s="321">
        <f>SUMIF('数据-汇总表'!$C19:$C33,假设开发法!F5,'数据-汇总表'!$E19:$E33)</f>
        <v>26747.949999999997</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2467</v>
      </c>
      <c r="B8" s="177" t="s">
        <v>2468</v>
      </c>
      <c r="C8" s="997">
        <f>C6*C7/10000</f>
        <v>35459.255999999994</v>
      </c>
      <c r="D8" s="997">
        <f>D6*D7/10000</f>
        <v>10030.319999999962</v>
      </c>
      <c r="E8" s="997">
        <f ca="1">'收益法（仓储）'!B2</f>
        <v>12249</v>
      </c>
      <c r="F8" s="998">
        <f ca="1">'收益法（车库）'!B2</f>
        <v>25481</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1334</v>
      </c>
      <c r="B11" s="972" t="s">
        <v>2476</v>
      </c>
      <c r="C11" s="323">
        <f ca="1">IF(C1="",'数据-取费表'!P16,INDIRECT("'数据-取费表'!p"&amp;$K$1)+INDIRECT("'数据-取费表'!ar"&amp;$K$1))</f>
        <v>4088</v>
      </c>
      <c r="D11" s="973"/>
      <c r="E11" s="375"/>
      <c r="F11" s="974">
        <f ca="1">1-IF('数据-取费表'!B24=0,1,IF(C1="",'数据-取费表'!N16,INDIRECT("'数据-取费表'!n"&amp;$K$1)))</f>
        <v>0.21899999999999997</v>
      </c>
      <c r="G11" s="8"/>
      <c r="H11" s="968"/>
      <c r="I11" s="968"/>
      <c r="J11" s="968"/>
      <c r="K11" s="969"/>
    </row>
    <row r="12" spans="1:33" s="975" customFormat="1" ht="13.5" customHeight="1">
      <c r="A12" s="971" t="s">
        <v>1335</v>
      </c>
      <c r="B12" s="972" t="s">
        <v>2477</v>
      </c>
      <c r="C12" s="24">
        <f ca="1">ROUND(C11*F12,0)</f>
        <v>123</v>
      </c>
      <c r="D12" s="973"/>
      <c r="E12" s="375"/>
      <c r="F12" s="976">
        <f>'数据-取费表'!B33</f>
        <v>0.03</v>
      </c>
      <c r="G12" s="8" t="s">
        <v>2478</v>
      </c>
      <c r="H12" s="968"/>
      <c r="I12" s="968"/>
      <c r="J12" s="968"/>
      <c r="K12" s="969"/>
    </row>
    <row r="13" spans="1:33" s="975" customFormat="1" ht="13.5" customHeight="1">
      <c r="A13" s="971" t="s">
        <v>1336</v>
      </c>
      <c r="B13" s="972" t="s">
        <v>2479</v>
      </c>
      <c r="C13" s="24">
        <f ca="1">ROUND(IF(C1="",SUMIF('数据-取费表'!C:C,"住宅",'数据-取费表'!P:P)*F13,IF(INDIRECT("'数据-取费表'!c"&amp;$K$1)="住宅",INDIRECT("'数据-取费表'!P"&amp;$K$1)*F13,0)),0)</f>
        <v>96</v>
      </c>
      <c r="D13" s="1033"/>
      <c r="E13" s="375"/>
      <c r="F13" s="976">
        <f>'数据-取费表'!B34</f>
        <v>0.03</v>
      </c>
      <c r="G13" s="8" t="s">
        <v>2480</v>
      </c>
      <c r="H13" s="968"/>
      <c r="I13" s="968"/>
      <c r="J13" s="968"/>
      <c r="K13" s="969"/>
    </row>
    <row r="14" spans="1:33" s="977" customFormat="1" ht="13.5" customHeight="1">
      <c r="A14" s="971" t="s">
        <v>1337</v>
      </c>
      <c r="B14" s="972" t="s">
        <v>2481</v>
      </c>
      <c r="C14" s="24">
        <f ca="1">ROUND(D14*E14*F11/10000,0)</f>
        <v>373</v>
      </c>
      <c r="D14" s="1033">
        <f ca="1">IF(C1="",'数据-汇总表'!E3,INDIRECT("'数据-取费表'!K"&amp;$K$1)+INDIRECT("'数据-取费表'!S"&amp;$K$1))</f>
        <v>85215.679999999964</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2483</v>
      </c>
      <c r="C15" s="983">
        <f ca="1">ROUND(C11*F15,0)</f>
        <v>61</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4741</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937</v>
      </c>
      <c r="D17" s="1033">
        <f ca="1">D14</f>
        <v>85215.679999999964</v>
      </c>
      <c r="E17" s="24">
        <f>'数据-取费表'!B32</f>
        <v>110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2488</v>
      </c>
      <c r="C18" s="24">
        <f ca="1">C19+C20-IF(C1="",'数据-取费表'!B29,IF(G18="已全部缴纳",C19+C20,H18))</f>
        <v>1411</v>
      </c>
      <c r="D18" s="1033"/>
      <c r="E18" s="24"/>
      <c r="F18" s="976"/>
      <c r="G18" s="2552"/>
      <c r="H18" s="1577"/>
      <c r="I18" s="2553" t="s">
        <v>2489</v>
      </c>
      <c r="J18" s="979"/>
      <c r="K18" s="980"/>
    </row>
    <row r="19" spans="1:33" s="975" customFormat="1" ht="13.5" customHeight="1">
      <c r="A19" s="971" t="s">
        <v>805</v>
      </c>
      <c r="B19" s="972" t="s">
        <v>2490</v>
      </c>
      <c r="C19" s="24">
        <f ca="1">ROUND(D19*E19/10000,0)</f>
        <v>780</v>
      </c>
      <c r="D19" s="1033">
        <f ca="1">IF(C1="",'数据-汇总表'!E5,IF(INDIRECT("'数据-取费表'!c"&amp;$K$1)="住宅",INDIRECT("'数据-取费表'!k"&amp;$K$1),0))</f>
        <v>51979.809999999961</v>
      </c>
      <c r="E19" s="24">
        <f>'数据-取费表'!B27</f>
        <v>150</v>
      </c>
      <c r="F19" s="976"/>
      <c r="G19" s="15"/>
      <c r="H19" s="1579"/>
      <c r="I19" s="981"/>
      <c r="J19" s="981"/>
      <c r="K19" s="982"/>
    </row>
    <row r="20" spans="1:33" s="975" customFormat="1" ht="13.5" customHeight="1">
      <c r="A20" s="971" t="s">
        <v>806</v>
      </c>
      <c r="B20" s="972" t="s">
        <v>2491</v>
      </c>
      <c r="C20" s="24">
        <f ca="1">ROUND(D20*E20/10000,0)</f>
        <v>631</v>
      </c>
      <c r="D20" s="1033">
        <f ca="1">IF(C1="",'数据-汇总表'!E6,IF(INDIRECT("'数据-取费表'!c"&amp;$K$1)="住宅",INDIRECT("'数据-取费表'!s"&amp;$K$1),INDIRECT("'数据-取费表'!k"&amp;$K$1)+INDIRECT("'数据-取费表'!s"&amp;$K$1)))</f>
        <v>33235.870000000003</v>
      </c>
      <c r="E20" s="24">
        <f>'数据-取费表'!B28</f>
        <v>190</v>
      </c>
      <c r="F20" s="976"/>
      <c r="G20" s="15"/>
      <c r="H20" s="981"/>
      <c r="I20" s="981"/>
      <c r="J20" s="981"/>
      <c r="K20" s="982"/>
    </row>
    <row r="21" spans="1:33" s="975" customFormat="1" ht="13.5" customHeight="1">
      <c r="A21" s="961" t="s">
        <v>802</v>
      </c>
      <c r="B21" s="985" t="s">
        <v>2492</v>
      </c>
      <c r="C21" s="986">
        <f ca="1">C16+C17+C18</f>
        <v>7089</v>
      </c>
      <c r="D21" s="987"/>
      <c r="E21" s="325"/>
      <c r="F21" s="325"/>
      <c r="G21" s="140" t="s">
        <v>2493</v>
      </c>
      <c r="H21" s="979"/>
      <c r="I21" s="979"/>
      <c r="J21" s="979"/>
      <c r="K21" s="980"/>
    </row>
    <row r="22" spans="1:33" s="975" customFormat="1" ht="13.5" customHeight="1">
      <c r="A22" s="961" t="s">
        <v>2465</v>
      </c>
      <c r="B22" s="985" t="s">
        <v>2494</v>
      </c>
      <c r="C22" s="986">
        <f ca="1">ROUND(C21*F22,0)</f>
        <v>142</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365</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'数据-取费表'!B48+'数据-取费表'!B49</f>
        <v>3.0499999999999999E-2</v>
      </c>
      <c r="G24" s="8" t="s">
        <v>2500</v>
      </c>
      <c r="H24" s="990"/>
      <c r="I24" s="990"/>
      <c r="J24" s="990"/>
      <c r="K24" s="991"/>
    </row>
    <row r="25" spans="1:33" s="975" customFormat="1" ht="13.5" customHeight="1">
      <c r="A25" s="961" t="s">
        <v>2501</v>
      </c>
      <c r="B25" s="987" t="s">
        <v>2502</v>
      </c>
      <c r="C25" s="1356">
        <f ca="1">C27</f>
        <v>71</v>
      </c>
      <c r="D25" s="324">
        <f ca="1">C26</f>
        <v>1.9300000000000001E-2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1.9300000000000001E-2</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71</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2505</v>
      </c>
      <c r="B28" s="2555" t="s">
        <v>2506</v>
      </c>
      <c r="C28" s="331">
        <f ca="1">C30</f>
        <v>532</v>
      </c>
      <c r="D28" s="324">
        <f ca="1">C29</f>
        <v>1.44E-2</v>
      </c>
      <c r="E28" s="326" t="s">
        <v>15</v>
      </c>
      <c r="F28" s="332">
        <f ca="1">IF(C1="",'数据-取费表'!Q16,INDIRECT("'数据-取费表'!q"&amp;$K$1))</f>
        <v>7.0000000000000007E-2</v>
      </c>
      <c r="G28" s="989"/>
      <c r="H28" s="990"/>
      <c r="I28" s="990"/>
      <c r="J28" s="990"/>
      <c r="K28" s="991"/>
    </row>
    <row r="29" spans="1:33" s="335" customFormat="1" ht="13.5" customHeight="1">
      <c r="A29" s="971" t="s">
        <v>803</v>
      </c>
      <c r="B29" s="994" t="s">
        <v>2507</v>
      </c>
      <c r="C29" s="328">
        <f ca="1">ROUND((1+C24)*F28*'数据-取费表'!B24/'数据-取费表'!B20,4)</f>
        <v>1.44E-2</v>
      </c>
      <c r="D29" s="328"/>
      <c r="E29" s="329"/>
      <c r="F29" s="334"/>
      <c r="G29" s="140" t="s">
        <v>2508</v>
      </c>
      <c r="H29" s="979"/>
      <c r="I29" s="979"/>
      <c r="J29" s="979"/>
      <c r="K29" s="980"/>
    </row>
    <row r="30" spans="1:33" s="335" customFormat="1" ht="13.5" customHeight="1">
      <c r="A30" s="971" t="s">
        <v>804</v>
      </c>
      <c r="B30" s="994" t="s">
        <v>2509</v>
      </c>
      <c r="C30" s="336">
        <f ca="1">ROUND((C21+C22+C23)*F28,0)</f>
        <v>532</v>
      </c>
      <c r="D30" s="328"/>
      <c r="E30" s="329"/>
      <c r="F30" s="334"/>
      <c r="G30" s="140"/>
      <c r="H30" s="979"/>
      <c r="I30" s="979"/>
      <c r="J30" s="979"/>
      <c r="K30" s="980"/>
    </row>
    <row r="31" spans="1:33" s="975" customFormat="1" ht="13.5" customHeight="1" thickBot="1">
      <c r="A31" s="2556" t="s">
        <v>2510</v>
      </c>
      <c r="B31" s="1005" t="s">
        <v>2511</v>
      </c>
      <c r="C31" s="1006">
        <f ca="1">ROUND(C4*F31/(1+'数据-取费表'!C42),0)</f>
        <v>4359</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66492</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t="s">
        <v>3136</v>
      </c>
      <c r="D1" s="1820" t="s">
        <v>3149</v>
      </c>
      <c r="E1" s="1821" t="s">
        <v>1387</v>
      </c>
      <c r="F1" s="1283">
        <f ca="1">J53</f>
        <v>47.550000000000004</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1516</v>
      </c>
      <c r="B2" s="1844">
        <f ca="1">C40+J29+L46</f>
        <v>12249</v>
      </c>
      <c r="C2" s="1845" t="s">
        <v>1517</v>
      </c>
      <c r="D2" s="1845"/>
      <c r="E2" s="1846"/>
      <c r="F2" s="1847"/>
      <c r="G2" s="1848"/>
      <c r="H2" s="1840"/>
      <c r="I2" s="1840"/>
      <c r="J2" s="1840"/>
      <c r="K2" s="1841"/>
      <c r="L2" s="1840"/>
      <c r="M2" s="1840"/>
    </row>
    <row r="3" spans="1:37" ht="18" customHeight="1" thickBot="1">
      <c r="A3" s="1849" t="s">
        <v>1518</v>
      </c>
      <c r="B3" s="1850">
        <f ca="1">IF(ISERROR(B2*10000/F43),0,ROUND(B2*10000/F43,0))</f>
        <v>8705</v>
      </c>
      <c r="C3" s="1845" t="s">
        <v>1519</v>
      </c>
      <c r="D3" s="1845"/>
      <c r="E3" s="1846"/>
      <c r="F3" s="1847"/>
      <c r="G3" s="1848"/>
      <c r="H3" s="744" t="s">
        <v>1589</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601</v>
      </c>
      <c r="D5" s="1822" t="s">
        <v>1402</v>
      </c>
      <c r="E5" s="1293"/>
      <c r="F5" s="1294"/>
      <c r="G5" s="1851"/>
      <c r="H5" s="344">
        <v>1</v>
      </c>
      <c r="I5" s="345" t="s">
        <v>1401</v>
      </c>
      <c r="J5" s="1292">
        <f ca="1">J6+J10+J12</f>
        <v>0</v>
      </c>
      <c r="K5" s="1822" t="s">
        <v>1402</v>
      </c>
      <c r="L5" s="1293"/>
      <c r="M5" s="1294"/>
    </row>
    <row r="6" spans="1:37" ht="18" customHeight="1">
      <c r="A6" s="1291" t="s">
        <v>1035</v>
      </c>
      <c r="B6" s="3250" t="s">
        <v>1403</v>
      </c>
      <c r="C6" s="1296">
        <f ca="1">ROUND(F6*F8*F7*(1-F9)/10000,0)</f>
        <v>601</v>
      </c>
      <c r="D6" s="164" t="s">
        <v>3029</v>
      </c>
      <c r="E6" s="347" t="s">
        <v>1405</v>
      </c>
      <c r="F6" s="348">
        <f ca="1">INDIRECT("'数据-取费表'!u"&amp;$G$1)</f>
        <v>1.3</v>
      </c>
      <c r="G6" s="1851"/>
      <c r="H6" s="1291" t="s">
        <v>1035</v>
      </c>
      <c r="I6" s="3250" t="s">
        <v>1403</v>
      </c>
      <c r="J6" s="346">
        <f ca="1">ROUND(M6*M8*M7*(1-M9)/10000,0)</f>
        <v>0</v>
      </c>
      <c r="K6" s="164" t="s">
        <v>3028</v>
      </c>
      <c r="L6" s="347" t="s">
        <v>1405</v>
      </c>
      <c r="M6" s="348">
        <f ca="1">INDIRECT("'数据-取费表'!z"&amp;$G$1)</f>
        <v>0</v>
      </c>
    </row>
    <row r="7" spans="1:37" ht="18" customHeight="1">
      <c r="A7" s="1295"/>
      <c r="B7" s="3251"/>
      <c r="C7" s="1297"/>
      <c r="D7" s="352"/>
      <c r="E7" s="1298" t="s">
        <v>1406</v>
      </c>
      <c r="F7" s="348">
        <f ca="1">IF(INDIRECT("'数据-取费表'!ah"&amp;$G$1)="",INDIRECT("'数据-取费表'!k"&amp;$G$1),INDIRECT("'数据-取费表'!ah"&amp;$G$1))</f>
        <v>14071.829999999998</v>
      </c>
      <c r="G7" s="1851"/>
      <c r="H7" s="349"/>
      <c r="I7" s="3251"/>
      <c r="J7" s="351"/>
      <c r="K7" s="352"/>
      <c r="L7" s="347" t="s">
        <v>1406</v>
      </c>
      <c r="M7" s="348">
        <f ca="1">F7</f>
        <v>14071.829999999998</v>
      </c>
    </row>
    <row r="8" spans="1:37" ht="18" customHeight="1">
      <c r="A8" s="349"/>
      <c r="B8" s="3251"/>
      <c r="C8" s="351"/>
      <c r="D8" s="352"/>
      <c r="E8" s="347" t="s">
        <v>1407</v>
      </c>
      <c r="F8" s="348">
        <f ca="1">INDIRECT("'数据-取费表'!ai"&amp;$G$1)</f>
        <v>365</v>
      </c>
      <c r="G8" s="1851"/>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51"/>
      <c r="H9" s="349"/>
      <c r="I9" s="3252"/>
      <c r="J9" s="351"/>
      <c r="K9" s="352"/>
      <c r="L9" s="358" t="s">
        <v>1408</v>
      </c>
      <c r="M9" s="359">
        <f ca="1">INDIRECT("'数据-取费表'!ab"&amp;$G$1)</f>
        <v>0</v>
      </c>
    </row>
    <row r="10" spans="1:37" ht="18" customHeight="1">
      <c r="A10" s="1291" t="s">
        <v>1039</v>
      </c>
      <c r="B10" s="1823" t="s">
        <v>1409</v>
      </c>
      <c r="C10" s="361">
        <f ca="1">ROUND(IF(F10="押一",F6*F8*F7/12*F11,IF(F10="押二",F6*F8*F7/12*2*F11,IF(F10="押三",F6*F8*F7/12*3*F11,C11*F11)))/10000,0)</f>
        <v>0</v>
      </c>
      <c r="D10" s="1824" t="s">
        <v>3030</v>
      </c>
      <c r="E10" s="358" t="s">
        <v>1411</v>
      </c>
      <c r="F10" s="1366"/>
      <c r="G10" s="1851"/>
      <c r="H10" s="1291" t="s">
        <v>1039</v>
      </c>
      <c r="I10" s="1823" t="s">
        <v>1409</v>
      </c>
      <c r="J10" s="346">
        <f ca="1">ROUND(IF(M10="押一",M6*M8*M7/12*M11,IF(M10="押二",M6*M8*M7/12*2*M11,IF(M10="押三",M6*M8*M7/12*3*M11,J11*M11)))/10000,0)</f>
        <v>0</v>
      </c>
      <c r="K10" s="1824" t="s">
        <v>3031</v>
      </c>
      <c r="L10" s="358" t="s">
        <v>1411</v>
      </c>
      <c r="M10" s="1366" t="s">
        <v>1412</v>
      </c>
    </row>
    <row r="11" spans="1:37" ht="18" customHeight="1">
      <c r="A11" s="353"/>
      <c r="B11" s="1825" t="s">
        <v>1388</v>
      </c>
      <c r="C11" s="1178"/>
      <c r="D11" s="1826"/>
      <c r="E11" s="358" t="s">
        <v>1413</v>
      </c>
      <c r="F11" s="359">
        <f ca="1">'数据-取费表'!B39</f>
        <v>1.4999999999999999E-2</v>
      </c>
      <c r="G11" s="1851"/>
      <c r="H11" s="1299"/>
      <c r="I11" s="1825" t="s">
        <v>1388</v>
      </c>
      <c r="J11" s="1178"/>
      <c r="K11" s="748"/>
      <c r="L11" s="358" t="s">
        <v>1413</v>
      </c>
      <c r="M11" s="1056">
        <f ca="1">'数据-取费表'!B39</f>
        <v>1.4999999999999999E-2</v>
      </c>
    </row>
    <row r="12" spans="1:37" ht="18" customHeight="1" thickBot="1">
      <c r="A12" s="1333" t="s">
        <v>1075</v>
      </c>
      <c r="B12" s="1827" t="s">
        <v>1414</v>
      </c>
      <c r="C12" s="1334"/>
      <c r="D12" s="1335"/>
      <c r="E12" s="1340"/>
      <c r="F12" s="1336"/>
      <c r="G12" s="1851"/>
      <c r="H12" s="1333" t="s">
        <v>1075</v>
      </c>
      <c r="I12" s="1827" t="s">
        <v>1414</v>
      </c>
      <c r="J12" s="1334"/>
      <c r="K12" s="1348"/>
      <c r="L12" s="1340"/>
      <c r="M12" s="1349"/>
    </row>
    <row r="13" spans="1:37" ht="18" customHeight="1" thickTop="1">
      <c r="A13" s="1329">
        <v>2</v>
      </c>
      <c r="B13" s="1330" t="s">
        <v>1415</v>
      </c>
      <c r="C13" s="355">
        <f ca="1">ROUND(C29*F13,0)</f>
        <v>4471</v>
      </c>
      <c r="D13" s="1331" t="s">
        <v>1416</v>
      </c>
      <c r="E13" s="1331" t="s">
        <v>1417</v>
      </c>
      <c r="F13" s="1332">
        <f ca="1">INDIRECT("'数据-取费表'!y"&amp;$G$1)</f>
        <v>1</v>
      </c>
      <c r="G13" s="1851"/>
      <c r="H13" s="1329">
        <v>2</v>
      </c>
      <c r="I13" s="1330" t="s">
        <v>1415</v>
      </c>
      <c r="J13" s="1290">
        <f ca="1">ROUND(J14*J15,0)</f>
        <v>0</v>
      </c>
      <c r="K13" s="1337" t="s">
        <v>1416</v>
      </c>
      <c r="L13" s="1852"/>
      <c r="M13" s="1853"/>
    </row>
    <row r="14" spans="1:37" ht="18" customHeight="1">
      <c r="A14" s="1201" t="s">
        <v>1034</v>
      </c>
      <c r="B14" s="347" t="s">
        <v>1418</v>
      </c>
      <c r="C14" s="363">
        <f ca="1">INDIRECT("'数据-取费表'!m"&amp;$G$1)+INDIRECT("'数据-取费表'!t"&amp;$G$1)</f>
        <v>3096</v>
      </c>
      <c r="D14" s="1800" t="s">
        <v>1419</v>
      </c>
      <c r="E14" s="1794"/>
      <c r="F14" s="364"/>
      <c r="G14" s="1851"/>
      <c r="H14" s="1201" t="s">
        <v>1035</v>
      </c>
      <c r="I14" s="347" t="s">
        <v>1420</v>
      </c>
      <c r="J14" s="24">
        <f ca="1">C29</f>
        <v>4471</v>
      </c>
      <c r="K14" s="15"/>
      <c r="L14" s="979"/>
      <c r="M14" s="980"/>
    </row>
    <row r="15" spans="1:37" s="1858" customFormat="1" ht="18" customHeight="1" thickBot="1">
      <c r="A15" s="1201" t="s">
        <v>1036</v>
      </c>
      <c r="B15" s="347" t="s">
        <v>1421</v>
      </c>
      <c r="C15" s="24">
        <f ca="1">ROUND(C14*F15,0)</f>
        <v>93</v>
      </c>
      <c r="D15" s="365" t="s">
        <v>1422</v>
      </c>
      <c r="E15" s="365" t="s">
        <v>1423</v>
      </c>
      <c r="F15" s="366">
        <f>'数据-取费表'!B33</f>
        <v>0.03</v>
      </c>
      <c r="G15" s="1854"/>
      <c r="H15" s="1339" t="s">
        <v>1039</v>
      </c>
      <c r="I15" s="1340" t="s">
        <v>1417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51"/>
      <c r="H16" s="1329" t="s">
        <v>1030</v>
      </c>
      <c r="I16" s="1330" t="s">
        <v>1425</v>
      </c>
      <c r="J16" s="355">
        <f ca="1">ROUND(J17+J22+J23+J24,0)</f>
        <v>105</v>
      </c>
      <c r="K16" s="1337" t="s">
        <v>1426</v>
      </c>
      <c r="L16" s="1338"/>
      <c r="M16" s="1294"/>
    </row>
    <row r="17" spans="1:37" s="1858" customFormat="1" ht="18" customHeight="1">
      <c r="A17" s="1201" t="s">
        <v>1390</v>
      </c>
      <c r="B17" s="347" t="s">
        <v>1427</v>
      </c>
      <c r="C17" s="24">
        <f ca="1">ROUND(F17*(F43+INDIRECT("'数据-取费表'!S"&amp;$G$1))/10000,0)</f>
        <v>297</v>
      </c>
      <c r="D17" s="347" t="s">
        <v>1428</v>
      </c>
      <c r="E17" s="347" t="s">
        <v>1429</v>
      </c>
      <c r="F17" s="26">
        <f>'数据-取费表'!B35</f>
        <v>200</v>
      </c>
      <c r="G17" s="1854"/>
      <c r="H17" s="1201" t="s">
        <v>1035</v>
      </c>
      <c r="I17" s="347" t="s">
        <v>1430</v>
      </c>
      <c r="J17" s="24">
        <f ca="1">ROUND(IF(项目基本情况!B11="自然人",J5*M17,J18+J19+J20),1)</f>
        <v>38.200000000000003</v>
      </c>
      <c r="K17" s="1800" t="s">
        <v>1431</v>
      </c>
      <c r="L17" s="1798"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1433</v>
      </c>
      <c r="C18" s="24">
        <f ca="1">ROUND(C14*F18,0)</f>
        <v>46</v>
      </c>
      <c r="D18" s="347" t="s">
        <v>1422</v>
      </c>
      <c r="E18" s="347" t="s">
        <v>1423</v>
      </c>
      <c r="F18" s="367">
        <f>'数据-取费表'!B36</f>
        <v>1.4999999999999999E-2</v>
      </c>
      <c r="G18" s="1854"/>
      <c r="H18" s="1201" t="s">
        <v>1034</v>
      </c>
      <c r="I18" s="347" t="s">
        <v>1434</v>
      </c>
      <c r="J18" s="24">
        <f ca="1">ROUND(J5*M18/(1+'数据-取费表'!C42),2)</f>
        <v>0</v>
      </c>
      <c r="K18" s="1798" t="s">
        <v>1435</v>
      </c>
      <c r="L18" s="347" t="s">
        <v>1423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1436</v>
      </c>
      <c r="C19" s="24">
        <f ca="1">SUM(C14:C18)</f>
        <v>3532</v>
      </c>
      <c r="D19" s="140" t="s">
        <v>1437</v>
      </c>
      <c r="E19" s="1818"/>
      <c r="F19" s="26"/>
      <c r="G19" s="1851"/>
      <c r="H19" s="1201" t="s">
        <v>1036</v>
      </c>
      <c r="I19" s="347" t="s">
        <v>1438</v>
      </c>
      <c r="J19" s="24">
        <f ca="1">IF(K19="按租金收入计税",ROUND(J5*M19,2),ROUND(C29*M19*0.7,2))</f>
        <v>37.56</v>
      </c>
      <c r="K19" s="1828" t="s">
        <v>1439</v>
      </c>
      <c r="L19" s="347" t="s">
        <v>1423</v>
      </c>
      <c r="M19" s="367">
        <f>IF(K19="按租金收入计税",'数据-取费表'!B51,'数据-取费表'!B50)</f>
        <v>1.2E-2</v>
      </c>
    </row>
    <row r="20" spans="1:37" s="1858" customFormat="1" ht="18" customHeight="1">
      <c r="A20" s="1201" t="s">
        <v>1039</v>
      </c>
      <c r="B20" s="347" t="s">
        <v>1440</v>
      </c>
      <c r="C20" s="24">
        <f ca="1">ROUND(C19*F20,0)</f>
        <v>71</v>
      </c>
      <c r="D20" s="369" t="s">
        <v>1441</v>
      </c>
      <c r="E20" s="347" t="s">
        <v>1423</v>
      </c>
      <c r="F20" s="367">
        <f>'数据-取费表'!B37</f>
        <v>0.02</v>
      </c>
      <c r="G20" s="1854"/>
      <c r="H20" s="1201" t="s">
        <v>1389</v>
      </c>
      <c r="I20" s="164" t="s">
        <v>1442</v>
      </c>
      <c r="J20" s="25">
        <f ca="1">ROUND(M20*M21/10000,2)</f>
        <v>0.6</v>
      </c>
      <c r="K20" s="370" t="s">
        <v>1443</v>
      </c>
      <c r="L20" s="347" t="s">
        <v>1444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1445</v>
      </c>
      <c r="C21" s="24" t="s">
        <v>18</v>
      </c>
      <c r="D21" s="369" t="s">
        <v>1446</v>
      </c>
      <c r="E21" s="347" t="s">
        <v>1447</v>
      </c>
      <c r="F21" s="367">
        <f>'数据-取费表'!B38</f>
        <v>0.02</v>
      </c>
      <c r="G21" s="1854"/>
      <c r="H21" s="372"/>
      <c r="I21" s="356"/>
      <c r="J21" s="29"/>
      <c r="K21" s="373"/>
      <c r="L21" s="347" t="s">
        <v>1448</v>
      </c>
      <c r="M21" s="348">
        <f ca="1">INDIRECT("'数据-取费表'!r"&amp;$G$1)</f>
        <v>4007.06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8"/>
      <c r="F22" s="26"/>
      <c r="G22" s="1851"/>
      <c r="H22" s="1201" t="s">
        <v>1039</v>
      </c>
      <c r="I22" s="347" t="s">
        <v>1450</v>
      </c>
      <c r="J22" s="24">
        <f ca="1">ROUND(J14*M22,1)</f>
        <v>67.099999999999994</v>
      </c>
      <c r="K22" s="1798" t="s">
        <v>1451</v>
      </c>
      <c r="L22" s="347" t="s">
        <v>1423</v>
      </c>
      <c r="M22" s="374">
        <f ca="1">INDIRECT("'数据-取费表'!Ak"&amp;$G$1)</f>
        <v>1.4999999999999999E-2</v>
      </c>
    </row>
    <row r="23" spans="1:37" s="1858" customFormat="1" ht="18" customHeight="1">
      <c r="A23" s="1201" t="s">
        <v>1034</v>
      </c>
      <c r="B23" s="347" t="s">
        <v>1452</v>
      </c>
      <c r="C23" s="24">
        <f ca="1">IF('数据-取费表'!B22&lt;=1,ROUND(C19*F24*F23/2,0)+ROUND(C20*F24*F23/2,0),ROUND(C19*(POWER((1+F24),F23/2)-1),0)+ROUND(C20*(POWER((1+F24),F23/2)-1),0))</f>
        <v>171</v>
      </c>
      <c r="D23" s="375" t="str">
        <f>IF(F23&lt;=1,"(建造成本+管理费用)×利率×(建设周期÷2)","(建造成本+管理费用)×((1+利率)^(建设周期÷2)-1)")</f>
        <v>(建造成本+管理费用)×((1+利率)^(建设周期÷2)-1)</v>
      </c>
      <c r="E23" s="347" t="s">
        <v>1453</v>
      </c>
      <c r="F23" s="371">
        <f>'数据-取费表'!B20</f>
        <v>2</v>
      </c>
      <c r="G23" s="1854"/>
      <c r="H23" s="1201" t="s">
        <v>1075</v>
      </c>
      <c r="I23" s="347" t="s">
        <v>1454</v>
      </c>
      <c r="J23" s="24">
        <f ca="1">ROUND(J13*M23,1)</f>
        <v>0</v>
      </c>
      <c r="K23" s="1798" t="s">
        <v>1455</v>
      </c>
      <c r="L23" s="347" t="s">
        <v>1456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4"/>
      <c r="H24" s="1339" t="s">
        <v>1393</v>
      </c>
      <c r="I24" s="1340" t="s">
        <v>1440</v>
      </c>
      <c r="J24" s="1341">
        <f ca="1">ROUND(J5*M24,1)</f>
        <v>0</v>
      </c>
      <c r="K24" s="1342" t="s">
        <v>1460</v>
      </c>
      <c r="L24" s="1340" t="s">
        <v>1456</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1461</v>
      </c>
      <c r="B25" s="347" t="s">
        <v>1462</v>
      </c>
      <c r="C25" s="24"/>
      <c r="D25" s="140" t="s">
        <v>1463</v>
      </c>
      <c r="E25" s="1818"/>
      <c r="F25" s="26"/>
      <c r="G25" s="1851"/>
      <c r="H25" s="1329" t="s">
        <v>1031</v>
      </c>
      <c r="I25" s="1344" t="s">
        <v>1464</v>
      </c>
      <c r="J25" s="355">
        <f ca="1">J5-J16</f>
        <v>-105</v>
      </c>
      <c r="K25" s="1345" t="s">
        <v>1465</v>
      </c>
      <c r="L25" s="1346"/>
      <c r="M25" s="1347"/>
    </row>
    <row r="26" spans="1:37">
      <c r="A26" s="1201" t="s">
        <v>1034</v>
      </c>
      <c r="B26" s="347" t="s">
        <v>1466</v>
      </c>
      <c r="C26" s="24">
        <f ca="1">ROUND((C19+C20)*F26,0)</f>
        <v>360</v>
      </c>
      <c r="D26" s="369" t="s">
        <v>1467</v>
      </c>
      <c r="E26" s="358" t="s">
        <v>1468</v>
      </c>
      <c r="F26" s="357">
        <f ca="1">INDIRECT("'数据-取费表'!q"&amp;$G$1)</f>
        <v>0.1</v>
      </c>
      <c r="G26" s="1851"/>
      <c r="H26" s="344" t="s">
        <v>1032</v>
      </c>
      <c r="I26" s="345" t="s">
        <v>1469</v>
      </c>
      <c r="J26" s="346">
        <f ca="1">IF(J5&lt;&gt;0,ROUND(J25*(1-((1+M28)/(1+M26))^M27)/(M26-M28),0),0)</f>
        <v>0</v>
      </c>
      <c r="K26" s="370" t="s">
        <v>1470</v>
      </c>
      <c r="L26" s="347" t="s">
        <v>1471</v>
      </c>
      <c r="M26" s="357">
        <f ca="1">INDIRECT("'数据-取费表'!I"&amp;$G$1)</f>
        <v>0.05</v>
      </c>
    </row>
    <row r="27" spans="1:37" ht="18" customHeight="1">
      <c r="A27" s="1201" t="s">
        <v>1036</v>
      </c>
      <c r="B27" s="347" t="s">
        <v>1472</v>
      </c>
      <c r="C27" s="24">
        <f ca="1">ROUND(F21*F26,4)</f>
        <v>2E-3</v>
      </c>
      <c r="D27" s="369" t="s">
        <v>1473</v>
      </c>
      <c r="E27" s="365"/>
      <c r="F27" s="366"/>
      <c r="G27" s="1851"/>
      <c r="H27" s="349"/>
      <c r="I27" s="350"/>
      <c r="J27" s="351"/>
      <c r="K27" s="378" t="s">
        <v>1474</v>
      </c>
      <c r="L27" s="347" t="s">
        <v>1475</v>
      </c>
      <c r="M27" s="379">
        <f ca="1">INDIRECT("'数据-取费表'!ag"&amp;$G$1)</f>
        <v>0</v>
      </c>
    </row>
    <row r="28" spans="1:37" s="1858" customFormat="1" ht="18" customHeight="1">
      <c r="A28" s="1201" t="s">
        <v>1037</v>
      </c>
      <c r="B28" s="347" t="s">
        <v>1476</v>
      </c>
      <c r="C28" s="24">
        <f>ROUND(F28/(1+'数据-取费表'!C42),4)</f>
        <v>5.2400000000000002E-2</v>
      </c>
      <c r="D28" s="369" t="s">
        <v>1477</v>
      </c>
      <c r="E28" s="347" t="s">
        <v>1423</v>
      </c>
      <c r="F28" s="367">
        <f>'数据-取费表'!B41</f>
        <v>5.5000000000000007E-2</v>
      </c>
      <c r="G28" s="1854"/>
      <c r="H28" s="353"/>
      <c r="I28" s="354"/>
      <c r="J28" s="355"/>
      <c r="K28" s="373"/>
      <c r="L28" s="347" t="s">
        <v>1478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1479</v>
      </c>
      <c r="C29" s="1341">
        <f ca="1">ROUND((C19+C20+C23+C26)/(1-F21-C24-C27-C28),0)</f>
        <v>4471</v>
      </c>
      <c r="D29" s="1342"/>
      <c r="E29" s="1340"/>
      <c r="F29" s="1343"/>
      <c r="G29" s="1854"/>
      <c r="H29" s="380" t="s">
        <v>1033</v>
      </c>
      <c r="I29" s="381" t="s">
        <v>1480</v>
      </c>
      <c r="J29" s="382">
        <f ca="1">ROUND(J26/(1+F40)^F41,0)</f>
        <v>0</v>
      </c>
      <c r="K29" s="383" t="s">
        <v>1481</v>
      </c>
      <c r="L29" s="384"/>
      <c r="M29" s="385">
        <f ca="1">INDIRECT("'数据-取费表'!k"&amp;$G$1)</f>
        <v>14071.829999999998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1425</v>
      </c>
      <c r="C30" s="355">
        <f ca="1">ROUND(C31+C36+C37+C38,0)</f>
        <v>152</v>
      </c>
      <c r="D30" s="1337" t="s">
        <v>1426</v>
      </c>
      <c r="E30" s="1338"/>
      <c r="F30" s="1294"/>
      <c r="G30" s="1851"/>
      <c r="H30" s="745"/>
      <c r="I30" s="746"/>
      <c r="J30" s="747"/>
      <c r="K30" s="748"/>
      <c r="L30" s="749"/>
      <c r="M30" s="750"/>
    </row>
    <row r="31" spans="1:37" ht="18" customHeight="1">
      <c r="A31" s="1201" t="s">
        <v>1035</v>
      </c>
      <c r="B31" s="347" t="s">
        <v>1430</v>
      </c>
      <c r="C31" s="24">
        <f ca="1">ROUND(IF(项目基本情况!B11="自然人",C5*F31,C32+C33+C34),1)</f>
        <v>69.599999999999994</v>
      </c>
      <c r="D31" s="1800" t="s">
        <v>1431</v>
      </c>
      <c r="E31" s="1798"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1434</v>
      </c>
      <c r="C32" s="24">
        <f ca="1">IF(项目基本情况!B11="自然人","——",ROUND(C5*F32/(1+'数据-取费表'!C42),2))</f>
        <v>31.48</v>
      </c>
      <c r="D32" s="1798" t="s">
        <v>1435</v>
      </c>
      <c r="E32" s="347" t="s">
        <v>1423</v>
      </c>
      <c r="F32" s="377">
        <f>'数据-取费表'!B41</f>
        <v>5.5000000000000007E-2</v>
      </c>
      <c r="G32" s="1851"/>
      <c r="H32" s="745"/>
      <c r="I32" s="746"/>
      <c r="J32" s="747"/>
      <c r="K32" s="748"/>
      <c r="L32" s="749"/>
      <c r="M32" s="750"/>
    </row>
    <row r="33" spans="1:18" ht="18" customHeight="1">
      <c r="A33" s="1201" t="s">
        <v>1036</v>
      </c>
      <c r="B33" s="347" t="s">
        <v>1438</v>
      </c>
      <c r="C33" s="24">
        <f ca="1">IF(项目基本情况!B11="自然人","——",IF(D33="按租金收入计税",ROUND(C5*F33,2),IF(D33="按房产原值计税",ROUND(C29*F33*0.7,2),INDIRECT("'数据-取费表'!Aj"&amp;$G$1))))</f>
        <v>37.56</v>
      </c>
      <c r="D33" s="1828" t="s">
        <v>1439</v>
      </c>
      <c r="E33" s="347" t="s">
        <v>1423</v>
      </c>
      <c r="F33" s="367">
        <f>IF(D33="按票据","——",IF(D33="按租金收入计税",'数据-取费表'!B51,'数据-取费表'!B50))</f>
        <v>1.2E-2</v>
      </c>
      <c r="G33" s="1851"/>
      <c r="H33" s="1859"/>
      <c r="I33" s="1860"/>
      <c r="J33" s="1861"/>
      <c r="K33" s="1862"/>
      <c r="L33" s="1859"/>
      <c r="M33" s="1859"/>
    </row>
    <row r="34" spans="1:18" ht="18" customHeight="1">
      <c r="A34" s="1291" t="s">
        <v>1389</v>
      </c>
      <c r="B34" s="164" t="s">
        <v>1442</v>
      </c>
      <c r="C34" s="25">
        <f ca="1">IF(项目基本情况!B11="自然人","——",ROUND(F34*F35/10000,2))</f>
        <v>0.6</v>
      </c>
      <c r="D34" s="370" t="s">
        <v>1443</v>
      </c>
      <c r="E34" s="347" t="s">
        <v>1444</v>
      </c>
      <c r="F34" s="371">
        <f>'数据-取费表'!B52</f>
        <v>1.5</v>
      </c>
      <c r="G34" s="1851"/>
      <c r="H34" s="745"/>
      <c r="I34" s="1860"/>
      <c r="J34" s="1861"/>
      <c r="K34" s="1863"/>
      <c r="L34" s="1864"/>
      <c r="M34" s="1864"/>
    </row>
    <row r="35" spans="1:18" ht="18" customHeight="1">
      <c r="A35" s="1353"/>
      <c r="B35" s="1351"/>
      <c r="C35" s="29"/>
      <c r="D35" s="373"/>
      <c r="E35" s="347" t="s">
        <v>1448</v>
      </c>
      <c r="F35" s="348">
        <f ca="1">INDIRECT("'数据-取费表'!r"&amp;$G$1)</f>
        <v>4007.06</v>
      </c>
      <c r="G35" s="1851"/>
      <c r="H35" s="745"/>
      <c r="I35" s="1860"/>
      <c r="J35" s="1861"/>
      <c r="K35" s="1862"/>
      <c r="L35" s="1859"/>
      <c r="M35" s="1859"/>
    </row>
    <row r="36" spans="1:18" ht="18" customHeight="1">
      <c r="A36" s="1352" t="s">
        <v>1039</v>
      </c>
      <c r="B36" s="347" t="s">
        <v>1450</v>
      </c>
      <c r="C36" s="24">
        <f ca="1">ROUND(C29*F36,1)</f>
        <v>67.099999999999994</v>
      </c>
      <c r="D36" s="1798" t="s">
        <v>1483</v>
      </c>
      <c r="E36" s="347" t="s">
        <v>1423</v>
      </c>
      <c r="F36" s="374">
        <f ca="1">INDIRECT("'数据-取费表'!Ak"&amp;$G$1)</f>
        <v>1.4999999999999999E-2</v>
      </c>
      <c r="G36" s="1851"/>
      <c r="H36" s="1859"/>
      <c r="I36" s="1860"/>
      <c r="J36" s="1861"/>
      <c r="K36" s="751"/>
      <c r="L36" s="1859"/>
      <c r="M36" s="1859"/>
    </row>
    <row r="37" spans="1:18" ht="18" customHeight="1">
      <c r="A37" s="1201" t="s">
        <v>1075</v>
      </c>
      <c r="B37" s="347" t="s">
        <v>1454</v>
      </c>
      <c r="C37" s="24">
        <f ca="1">ROUND(C13*F37,1)</f>
        <v>6.7</v>
      </c>
      <c r="D37" s="1798" t="s">
        <v>1455</v>
      </c>
      <c r="E37" s="347" t="s">
        <v>1456</v>
      </c>
      <c r="F37" s="376">
        <f ca="1">INDIRECT("'数据-取费表'!Al"&amp;$G$1)</f>
        <v>1.5E-3</v>
      </c>
      <c r="G37" s="1851"/>
      <c r="H37" s="1859"/>
      <c r="I37" s="1860"/>
      <c r="J37" s="1861"/>
      <c r="K37" s="751"/>
      <c r="L37" s="1859"/>
      <c r="M37" s="1859"/>
    </row>
    <row r="38" spans="1:18" ht="18" customHeight="1" thickBot="1">
      <c r="A38" s="1339" t="s">
        <v>1393</v>
      </c>
      <c r="B38" s="1340" t="s">
        <v>1440</v>
      </c>
      <c r="C38" s="1341">
        <f ca="1">ROUND(C5*F38,1)</f>
        <v>9</v>
      </c>
      <c r="D38" s="1342" t="s">
        <v>1460</v>
      </c>
      <c r="E38" s="1340" t="s">
        <v>1456</v>
      </c>
      <c r="F38" s="1336">
        <f ca="1">INDIRECT("'数据-取费表'!Am"&amp;$G$1)</f>
        <v>1.4999999999999999E-2</v>
      </c>
      <c r="G38" s="1851"/>
      <c r="H38" s="1859"/>
      <c r="I38" s="1860"/>
      <c r="J38" s="1861"/>
      <c r="K38" s="1865"/>
      <c r="L38" s="1859"/>
      <c r="M38" s="1859"/>
    </row>
    <row r="39" spans="1:18" ht="24.6" customHeight="1" thickTop="1">
      <c r="A39" s="1329" t="s">
        <v>1031</v>
      </c>
      <c r="B39" s="1344" t="s">
        <v>1484</v>
      </c>
      <c r="C39" s="355">
        <f ca="1">C5-C30</f>
        <v>449</v>
      </c>
      <c r="D39" s="1345" t="s">
        <v>1485</v>
      </c>
      <c r="E39" s="1346"/>
      <c r="F39" s="1347"/>
      <c r="G39" s="1851"/>
      <c r="H39" s="1859"/>
      <c r="I39" s="1860"/>
      <c r="J39" s="1861"/>
      <c r="K39" s="1865"/>
      <c r="L39" s="1859"/>
      <c r="M39" s="1859"/>
    </row>
    <row r="40" spans="1:18" ht="18" customHeight="1">
      <c r="A40" s="344" t="s">
        <v>1032</v>
      </c>
      <c r="B40" s="345" t="s">
        <v>1486</v>
      </c>
      <c r="C40" s="346">
        <f ca="1">ROUND(C39*(1-((1+F42)/(1+F40))^F41)/(F40-F42),0)</f>
        <v>12249</v>
      </c>
      <c r="D40" s="370" t="s">
        <v>1470</v>
      </c>
      <c r="E40" s="347" t="s">
        <v>1471</v>
      </c>
      <c r="F40" s="357">
        <f ca="1">INDIRECT("'数据-取费表'!I"&amp;$G$1)</f>
        <v>0.05</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47.550000000000004</v>
      </c>
      <c r="G41" s="1851"/>
      <c r="H41" s="732"/>
      <c r="I41" s="1860"/>
      <c r="J41" s="1861"/>
      <c r="K41" s="751"/>
      <c r="L41" s="732"/>
      <c r="M41" s="732"/>
    </row>
    <row r="42" spans="1:18" ht="18" customHeight="1">
      <c r="A42" s="353"/>
      <c r="B42" s="354"/>
      <c r="C42" s="355"/>
      <c r="D42" s="373"/>
      <c r="E42" s="347" t="s">
        <v>1478</v>
      </c>
      <c r="F42" s="357">
        <f ca="1">INDIRECT("'数据-取费表'!v"&amp;$G$1)</f>
        <v>2.5000000000000001E-2</v>
      </c>
      <c r="G42" s="1851"/>
      <c r="H42" s="732"/>
      <c r="I42" s="1860"/>
      <c r="J42" s="1861"/>
      <c r="K42" s="751"/>
      <c r="L42" s="732"/>
      <c r="M42" s="732"/>
    </row>
    <row r="43" spans="1:18" ht="18" customHeight="1" thickBot="1">
      <c r="A43" s="380" t="s">
        <v>1033</v>
      </c>
      <c r="B43" s="381" t="s">
        <v>1488</v>
      </c>
      <c r="C43" s="382">
        <f ca="1">ROUND(C40*10000/F43,0)</f>
        <v>8705</v>
      </c>
      <c r="D43" s="383" t="s">
        <v>1489</v>
      </c>
      <c r="E43" s="384" t="s">
        <v>1490</v>
      </c>
      <c r="F43" s="385">
        <f ca="1">INDIRECT("'数据-取费表'!k"&amp;$G$1)</f>
        <v>14071.829999999998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1520</v>
      </c>
      <c r="P45" s="1839"/>
      <c r="Q45" s="1839"/>
      <c r="R45" s="1839"/>
    </row>
    <row r="46" spans="1:18" s="1842" customFormat="1" ht="13.5" thickBot="1">
      <c r="A46" s="1870" t="s">
        <v>1521</v>
      </c>
      <c r="C46" s="1871">
        <f ca="1">C68-C40</f>
        <v>-14269</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5" t="s">
        <v>1396</v>
      </c>
      <c r="B47" s="1197" t="s">
        <v>1397</v>
      </c>
      <c r="C47" s="1367" t="s">
        <v>1398</v>
      </c>
      <c r="D47" s="1197" t="s">
        <v>1399</v>
      </c>
      <c r="E47" s="1279" t="s">
        <v>1400</v>
      </c>
      <c r="F47" s="1280"/>
      <c r="G47" s="792"/>
      <c r="I47" s="1880" t="s">
        <v>1527</v>
      </c>
      <c r="J47" s="1881" t="s">
        <v>3145</v>
      </c>
      <c r="K47" s="1882" t="s">
        <v>1528</v>
      </c>
      <c r="L47" s="1883">
        <f ca="1">INDIRECT("'数据-取费表'!d"&amp;$G$1)</f>
        <v>50</v>
      </c>
      <c r="M47" s="1838" t="str">
        <f>IF(ISNUMBER(FIND("住宅",C1)),"住宅","非住宅")</f>
        <v>非住宅</v>
      </c>
      <c r="O47" s="1884" t="s">
        <v>1040</v>
      </c>
      <c r="P47" s="1885" t="s">
        <v>1529</v>
      </c>
      <c r="Q47" s="1886">
        <f ca="1">C40+J29</f>
        <v>12249</v>
      </c>
      <c r="R47" s="1886" t="s">
        <v>1530</v>
      </c>
    </row>
    <row r="48" spans="1:18" s="1842" customFormat="1" ht="28.5" thickBot="1">
      <c r="A48" s="1360" t="s">
        <v>1135</v>
      </c>
      <c r="B48" s="345" t="s">
        <v>1401</v>
      </c>
      <c r="C48" s="1817">
        <f ca="1">C49+C53+C55</f>
        <v>0</v>
      </c>
      <c r="D48" s="1362"/>
      <c r="E48" s="1363"/>
      <c r="F48" s="1181"/>
      <c r="G48" s="792"/>
      <c r="H48" s="793"/>
      <c r="I48" s="1887" t="s">
        <v>1531</v>
      </c>
      <c r="J48" s="1888" t="s">
        <v>3146</v>
      </c>
      <c r="K48" s="1889" t="s">
        <v>1532</v>
      </c>
      <c r="L48" s="1890">
        <f ca="1">INDIRECT("'数据-取费表'!f"&amp;$G$1)</f>
        <v>47.95</v>
      </c>
      <c r="O48" s="1884" t="s">
        <v>1041</v>
      </c>
      <c r="P48" s="1885" t="s">
        <v>1533</v>
      </c>
      <c r="Q48" s="1886" t="str">
        <f ca="1">J60</f>
        <v>0</v>
      </c>
      <c r="R48" s="1886" t="s">
        <v>1534</v>
      </c>
    </row>
    <row r="49" spans="1:18" s="1842" customFormat="1" ht="13.5" thickBot="1">
      <c r="A49" s="1194" t="s">
        <v>1136</v>
      </c>
      <c r="B49" s="1829" t="s">
        <v>1491</v>
      </c>
      <c r="C49" s="1364">
        <f ca="1">ROUND(F49*F51*F50*(1-F52)/10000,0)</f>
        <v>0</v>
      </c>
      <c r="D49" s="1276" t="s">
        <v>3032</v>
      </c>
      <c r="E49" s="1830" t="s">
        <v>1492</v>
      </c>
      <c r="F49" s="1281"/>
      <c r="G49" s="1891"/>
      <c r="H49" s="793"/>
      <c r="I49" s="1887" t="s">
        <v>1535</v>
      </c>
      <c r="J49" s="1892">
        <v>2018</v>
      </c>
      <c r="K49" s="1889" t="s">
        <v>1536</v>
      </c>
      <c r="L49" s="1893"/>
      <c r="O49" s="1894" t="s">
        <v>1042</v>
      </c>
      <c r="P49" s="1885" t="s">
        <v>1537</v>
      </c>
      <c r="Q49" s="1886">
        <f ca="1">C29</f>
        <v>4471</v>
      </c>
      <c r="R49" s="1886" t="s">
        <v>1530</v>
      </c>
    </row>
    <row r="50" spans="1:18" s="1842" customFormat="1" ht="13.5" thickBot="1">
      <c r="A50" s="1195"/>
      <c r="B50" s="1198"/>
      <c r="C50" s="1368"/>
      <c r="D50" s="1172"/>
      <c r="E50" s="1277" t="s">
        <v>1406</v>
      </c>
      <c r="F50" s="1278">
        <f ca="1">F7</f>
        <v>14071.829999999998</v>
      </c>
      <c r="H50" s="793"/>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6"/>
      <c r="B51" s="1198"/>
      <c r="C51" s="1199"/>
      <c r="D51" s="1172"/>
      <c r="E51" s="1200" t="s">
        <v>1407</v>
      </c>
      <c r="F51" s="348">
        <f ca="1">F8</f>
        <v>365</v>
      </c>
      <c r="I51" s="1898" t="s">
        <v>1541</v>
      </c>
      <c r="J51" s="1899">
        <f>IF(J49="",J50,J49+J50-YEAR('数据-取费表'!B2))</f>
        <v>60</v>
      </c>
      <c r="K51" s="1900" t="s">
        <v>1542</v>
      </c>
      <c r="L51" s="1901">
        <f ca="1">ROUND(-PV(INDIRECT("'数据-取费表'!h"&amp;$G$1),L48,(C39-C13*C76),0),0)</f>
        <v>1461</v>
      </c>
      <c r="M51" s="1902"/>
      <c r="O51" s="1894" t="s">
        <v>1044</v>
      </c>
      <c r="P51" s="1885" t="s">
        <v>1543</v>
      </c>
      <c r="Q51" s="1897">
        <f>J52</f>
        <v>0.09</v>
      </c>
      <c r="R51" s="1886"/>
    </row>
    <row r="52" spans="1:18" s="1842" customFormat="1" ht="13.5" thickBot="1">
      <c r="A52" s="1196"/>
      <c r="B52" s="1198"/>
      <c r="C52" s="1199"/>
      <c r="D52" s="1172"/>
      <c r="E52" s="1200" t="s">
        <v>1408</v>
      </c>
      <c r="F52" s="1275"/>
      <c r="I52" s="1903" t="s">
        <v>1544</v>
      </c>
      <c r="J52" s="1904">
        <v>0.09</v>
      </c>
      <c r="K52" s="1903" t="s">
        <v>1545</v>
      </c>
      <c r="L52" s="1904"/>
      <c r="O52" s="1894" t="s">
        <v>1045</v>
      </c>
      <c r="P52" s="1885" t="s">
        <v>1546</v>
      </c>
      <c r="Q52" s="1886">
        <f ca="1">J53</f>
        <v>47.550000000000004</v>
      </c>
      <c r="R52" s="1886" t="s">
        <v>1547</v>
      </c>
    </row>
    <row r="53" spans="1:18" s="1842" customFormat="1" ht="24.75" thickBot="1">
      <c r="A53" s="1405" t="s">
        <v>1137</v>
      </c>
      <c r="B53" s="1831" t="s">
        <v>1409</v>
      </c>
      <c r="C53" s="361">
        <f ca="1">ROUND(IF(F53="押一",F49*F51*F50/12*F11,IF(F53="押二",F49*F51*F50/12*2*F11,IF(F53="押三",F49*F51*F50/12*3*F11,C54*F11)))/10000,0)</f>
        <v>0</v>
      </c>
      <c r="D53" s="1824" t="s">
        <v>3030</v>
      </c>
      <c r="E53" s="358" t="s">
        <v>1411</v>
      </c>
      <c r="F53" s="1366"/>
      <c r="I53" s="1905" t="s">
        <v>1548</v>
      </c>
      <c r="J53" s="1906">
        <f ca="1">IF(M47="住宅",J51,IF(D1="——",MIN(J51,L48),IF(D1="在建（套用方法）",MIN(J51,L48-'数据-取费表'!B24),IF(D1="土地（套用方法）",MIN(J51,L48-'数据-取费表'!B20)))))</f>
        <v>47.550000000000004</v>
      </c>
      <c r="K53" s="3248" t="s">
        <v>1549</v>
      </c>
      <c r="L53" s="3249"/>
      <c r="O53" s="1884" t="s">
        <v>1046</v>
      </c>
      <c r="P53" s="1885" t="s">
        <v>1550</v>
      </c>
      <c r="Q53" s="1886">
        <f ca="1">Q47+Q48</f>
        <v>12249</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3" t="s">
        <v>1075</v>
      </c>
      <c r="B55" s="1827" t="s">
        <v>1414</v>
      </c>
      <c r="C55" s="1334"/>
      <c r="D55" s="1824"/>
      <c r="E55" s="1832"/>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6">
        <v>2</v>
      </c>
      <c r="B56" s="1177" t="s">
        <v>1415</v>
      </c>
      <c r="C56" s="276">
        <f ca="1">C13</f>
        <v>4471</v>
      </c>
      <c r="D56" s="1914"/>
      <c r="E56" s="1915"/>
      <c r="F56" s="1907"/>
      <c r="I56" s="1916" t="s">
        <v>1555</v>
      </c>
      <c r="J56" s="1917" t="s">
        <v>3115</v>
      </c>
      <c r="K56" s="1887" t="s">
        <v>1556</v>
      </c>
      <c r="L56" s="1890" t="str">
        <f ca="1">IF(L48&lt;J51,"——",L48-J53)</f>
        <v>——</v>
      </c>
      <c r="O56" s="1884" t="s">
        <v>1040</v>
      </c>
      <c r="P56" s="1885" t="s">
        <v>1529</v>
      </c>
      <c r="Q56" s="1886">
        <f ca="1">C40+J29</f>
        <v>12249</v>
      </c>
      <c r="R56" s="1886" t="s">
        <v>1530</v>
      </c>
    </row>
    <row r="57" spans="1:18" s="1842" customFormat="1" ht="24.75" thickBot="1">
      <c r="A57" s="1918"/>
      <c r="B57" s="1169" t="s">
        <v>1479</v>
      </c>
      <c r="C57" s="282">
        <f ca="1">C29</f>
        <v>4471</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60" t="s">
        <v>1030</v>
      </c>
      <c r="B58" s="1177" t="s">
        <v>1425</v>
      </c>
      <c r="C58" s="361">
        <f ca="1">ROUND(C59+C64+C65+C66,0)</f>
        <v>112</v>
      </c>
      <c r="D58" s="1179" t="s">
        <v>1426</v>
      </c>
      <c r="E58" s="1180"/>
      <c r="F58" s="1181"/>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1" t="s">
        <v>1035</v>
      </c>
      <c r="B59" s="1169" t="s">
        <v>1430</v>
      </c>
      <c r="C59" s="24">
        <f ca="1">ROUND(IF(项目基本情况!B11="自然人",C48*F59,C60+C61+C62),1)</f>
        <v>38.200000000000003</v>
      </c>
      <c r="D59" s="1182" t="s">
        <v>1431</v>
      </c>
      <c r="E59" s="1183" t="s">
        <v>1432</v>
      </c>
      <c r="F59" s="368"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1" t="s">
        <v>1034</v>
      </c>
      <c r="B60" s="1169" t="s">
        <v>1434</v>
      </c>
      <c r="C60" s="24">
        <f ca="1">IF(项目基本情况!B11="自然人","——",ROUND(C48*F60/(1+'数据-取费表'!C42),2))</f>
        <v>0</v>
      </c>
      <c r="D60" s="1183" t="s">
        <v>1435</v>
      </c>
      <c r="E60" s="1169" t="s">
        <v>1423</v>
      </c>
      <c r="F60" s="377">
        <f t="shared" ref="F60:F66" si="0">F32</f>
        <v>5.5000000000000007E-2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1" t="s">
        <v>1493</v>
      </c>
      <c r="B61" s="1169" t="s">
        <v>1494</v>
      </c>
      <c r="C61" s="24">
        <f ca="1">IF(项目基本情况!B11="自然人","——",IF(D61="按租金收入计税",ROUND(C48*F61,2),IF(D61="按房产原值计税",ROUND(C57*F61*0.7,2),INDIRECT("'数据-取费表'!Aj"&amp;$G$1))))</f>
        <v>37.56</v>
      </c>
      <c r="D61" s="1828" t="s">
        <v>1439</v>
      </c>
      <c r="E61" s="1169" t="s">
        <v>1495</v>
      </c>
      <c r="F61" s="367">
        <f t="shared" si="0"/>
        <v>1.2E-2</v>
      </c>
      <c r="I61" s="1928"/>
      <c r="J61" s="1928"/>
      <c r="K61" s="1928"/>
      <c r="L61" s="1928"/>
      <c r="O61" s="1894" t="s">
        <v>1045</v>
      </c>
      <c r="P61" s="1885" t="str">
        <f>K59</f>
        <v>续建工期及建筑物耐用年限下的土地年期修正系数Kn</v>
      </c>
      <c r="Q61" s="1886" t="e">
        <f ca="1">L59</f>
        <v>#DIV/0!</v>
      </c>
      <c r="R61" s="1886" t="s">
        <v>1570</v>
      </c>
    </row>
    <row r="62" spans="1:18" s="1842" customFormat="1" ht="13.5" thickBot="1">
      <c r="A62" s="1201" t="s">
        <v>1496</v>
      </c>
      <c r="B62" s="1168" t="s">
        <v>1497</v>
      </c>
      <c r="C62" s="25">
        <f ca="1">IF(项目基本情况!B11="自然人","——",ROUND(F62*F63/10000,2))</f>
        <v>0.6</v>
      </c>
      <c r="D62" s="1184" t="s">
        <v>1498</v>
      </c>
      <c r="E62" s="1169" t="s">
        <v>1499</v>
      </c>
      <c r="F62" s="371">
        <f t="shared" si="0"/>
        <v>1.5</v>
      </c>
      <c r="I62" s="1929" t="s">
        <v>1571</v>
      </c>
      <c r="J62" s="1930" t="s">
        <v>1572</v>
      </c>
      <c r="K62" s="1930" t="s">
        <v>1573</v>
      </c>
      <c r="L62" s="1930" t="s">
        <v>1574</v>
      </c>
      <c r="M62" s="1931" t="s">
        <v>1575</v>
      </c>
      <c r="O62" s="1884" t="s">
        <v>1046</v>
      </c>
      <c r="P62" s="1885" t="s">
        <v>1576</v>
      </c>
      <c r="Q62" s="1886">
        <f ca="1">Q56+Q57</f>
        <v>12249</v>
      </c>
      <c r="R62" s="1886" t="s">
        <v>1047</v>
      </c>
    </row>
    <row r="63" spans="1:18" s="1842" customFormat="1" ht="13.5" thickBot="1">
      <c r="A63" s="372"/>
      <c r="B63" s="1175"/>
      <c r="C63" s="29"/>
      <c r="D63" s="1185"/>
      <c r="E63" s="1169" t="s">
        <v>1500</v>
      </c>
      <c r="F63" s="348">
        <f t="shared" ca="1" si="0"/>
        <v>4007.06</v>
      </c>
      <c r="I63" s="1929" t="s">
        <v>1577</v>
      </c>
      <c r="J63" s="1930">
        <v>70</v>
      </c>
      <c r="K63" s="1930">
        <v>50</v>
      </c>
      <c r="L63" s="1930">
        <v>80</v>
      </c>
      <c r="M63" s="1932">
        <v>0.02</v>
      </c>
      <c r="O63" s="1869" t="s">
        <v>1578</v>
      </c>
      <c r="P63" s="1839"/>
      <c r="Q63" s="1839"/>
      <c r="R63" s="1839"/>
    </row>
    <row r="64" spans="1:18" s="1842" customFormat="1" ht="13.5" thickBot="1">
      <c r="A64" s="1201" t="s">
        <v>1501</v>
      </c>
      <c r="B64" s="1169" t="s">
        <v>1502</v>
      </c>
      <c r="C64" s="24">
        <f ca="1">ROUND(C57*F64,1)</f>
        <v>67.099999999999994</v>
      </c>
      <c r="D64" s="1183" t="s">
        <v>1503</v>
      </c>
      <c r="E64" s="1169" t="s">
        <v>1495</v>
      </c>
      <c r="F64" s="374">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1" t="s">
        <v>1504</v>
      </c>
      <c r="B65" s="1169" t="s">
        <v>1454</v>
      </c>
      <c r="C65" s="24">
        <f ca="1">ROUND(C56*F65,1)</f>
        <v>6.7</v>
      </c>
      <c r="D65" s="1183" t="s">
        <v>1455</v>
      </c>
      <c r="E65" s="1169" t="s">
        <v>1456</v>
      </c>
      <c r="F65" s="376">
        <f t="shared" ca="1" si="0"/>
        <v>1.5E-3</v>
      </c>
      <c r="I65" s="1929" t="s">
        <v>1580</v>
      </c>
      <c r="J65" s="1930">
        <v>40</v>
      </c>
      <c r="K65" s="1930">
        <v>30</v>
      </c>
      <c r="L65" s="1930">
        <v>50</v>
      </c>
      <c r="M65" s="1932">
        <v>0.02</v>
      </c>
      <c r="O65" s="1884" t="s">
        <v>1040</v>
      </c>
      <c r="P65" s="1885" t="s">
        <v>1581</v>
      </c>
      <c r="Q65" s="1886">
        <f ca="1">C40+J29</f>
        <v>12249</v>
      </c>
      <c r="R65" s="1886" t="s">
        <v>1530</v>
      </c>
    </row>
    <row r="66" spans="1:18" s="1842" customFormat="1" ht="16.5" thickBot="1">
      <c r="A66" s="1201" t="s">
        <v>1505</v>
      </c>
      <c r="B66" s="1169" t="s">
        <v>1440</v>
      </c>
      <c r="C66" s="24">
        <f ca="1">ROUND(C48*F66,1)</f>
        <v>0</v>
      </c>
      <c r="D66" s="1183" t="s">
        <v>1506</v>
      </c>
      <c r="E66" s="1169" t="s">
        <v>1423</v>
      </c>
      <c r="F66" s="357">
        <f t="shared" ca="1" si="0"/>
        <v>1.4999999999999999E-2</v>
      </c>
      <c r="O66" s="1884" t="s">
        <v>1041</v>
      </c>
      <c r="P66" s="1885" t="s">
        <v>1559</v>
      </c>
      <c r="Q66" s="1886">
        <f ca="1">L60</f>
        <v>0</v>
      </c>
      <c r="R66" s="1886" t="s">
        <v>1582</v>
      </c>
    </row>
    <row r="67" spans="1:18" s="1842" customFormat="1" ht="16.5" thickBot="1">
      <c r="A67" s="1176" t="s">
        <v>1031</v>
      </c>
      <c r="B67" s="1186" t="s">
        <v>1464</v>
      </c>
      <c r="C67" s="361">
        <f ca="1">C48-C58</f>
        <v>-112</v>
      </c>
      <c r="D67" s="1182" t="s">
        <v>1465</v>
      </c>
      <c r="E67" s="1187"/>
      <c r="F67" s="1188"/>
      <c r="O67" s="1894" t="s">
        <v>1042</v>
      </c>
      <c r="P67" s="1885" t="s">
        <v>1563</v>
      </c>
      <c r="Q67" s="1933">
        <f ca="1">L51</f>
        <v>1461</v>
      </c>
      <c r="R67" s="1886" t="s">
        <v>1583</v>
      </c>
    </row>
    <row r="68" spans="1:18" s="1842" customFormat="1" ht="16.5" thickBot="1">
      <c r="A68" s="1166" t="s">
        <v>1032</v>
      </c>
      <c r="B68" s="1167" t="s">
        <v>1486</v>
      </c>
      <c r="C68" s="346">
        <f ca="1">ROUND(C67*(1-((1+F70)/(1+F68))^F69)/(F68-F70),0)</f>
        <v>-2020</v>
      </c>
      <c r="D68" s="1184" t="s">
        <v>1470</v>
      </c>
      <c r="E68" s="1169" t="s">
        <v>1471</v>
      </c>
      <c r="F68" s="357">
        <f ca="1">F40</f>
        <v>0.05</v>
      </c>
      <c r="O68" s="1894" t="s">
        <v>1043</v>
      </c>
      <c r="P68" s="1934" t="s">
        <v>1584</v>
      </c>
      <c r="Q68" s="1886">
        <f ca="1">ROUND(Q69-Q70*Q71,0)</f>
        <v>69</v>
      </c>
      <c r="R68" s="1886" t="s">
        <v>1051</v>
      </c>
    </row>
    <row r="69" spans="1:18" s="1842" customFormat="1" ht="13.5" thickBot="1">
      <c r="A69" s="1170"/>
      <c r="B69" s="1171"/>
      <c r="C69" s="351"/>
      <c r="D69" s="1189" t="s">
        <v>1474</v>
      </c>
      <c r="E69" s="1169" t="s">
        <v>1475</v>
      </c>
      <c r="F69" s="379">
        <f ca="1">F41</f>
        <v>47.550000000000004</v>
      </c>
      <c r="O69" s="1894" t="s">
        <v>1048</v>
      </c>
      <c r="P69" s="1934" t="s">
        <v>1585</v>
      </c>
      <c r="Q69" s="1886">
        <f ca="1">C39</f>
        <v>449</v>
      </c>
      <c r="R69" s="1886" t="s">
        <v>1530</v>
      </c>
    </row>
    <row r="70" spans="1:18" s="1842" customFormat="1" ht="13.5" thickBot="1">
      <c r="A70" s="1173"/>
      <c r="B70" s="1174"/>
      <c r="C70" s="355"/>
      <c r="D70" s="1185"/>
      <c r="E70" s="1169" t="s">
        <v>1478</v>
      </c>
      <c r="F70" s="1275"/>
      <c r="O70" s="1894" t="s">
        <v>1049</v>
      </c>
      <c r="P70" s="1934" t="s">
        <v>1586</v>
      </c>
      <c r="Q70" s="1886">
        <f ca="1">C13</f>
        <v>4471</v>
      </c>
      <c r="R70" s="1886" t="s">
        <v>1530</v>
      </c>
    </row>
    <row r="71" spans="1:18" s="1842" customFormat="1" ht="13.5" thickBot="1">
      <c r="A71" s="1190" t="s">
        <v>1033</v>
      </c>
      <c r="B71" s="1191" t="s">
        <v>1488</v>
      </c>
      <c r="C71" s="382">
        <f ca="1">ROUND(C68*10000/F71,0)</f>
        <v>-1435</v>
      </c>
      <c r="D71" s="1192" t="s">
        <v>1489</v>
      </c>
      <c r="E71" s="1193" t="s">
        <v>1490</v>
      </c>
      <c r="F71" s="385">
        <f ca="1">F43</f>
        <v>14071.829999999998</v>
      </c>
      <c r="O71" s="1894" t="s">
        <v>1050</v>
      </c>
      <c r="P71" s="1934" t="s">
        <v>1587</v>
      </c>
      <c r="Q71" s="1897">
        <f ca="1">C76</f>
        <v>8.5000000000000006E-2</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续建工期及建筑物耐用年限下的土地年期修正系数Kn</v>
      </c>
      <c r="Q74" s="1886" t="e">
        <f ca="1">L59</f>
        <v>#DIV/0!</v>
      </c>
      <c r="R74" s="1886" t="s">
        <v>1570</v>
      </c>
    </row>
    <row r="75" spans="1:18" ht="13.5" thickBot="1">
      <c r="A75" s="1842"/>
      <c r="B75" s="386" t="s">
        <v>1507</v>
      </c>
      <c r="C75" s="387">
        <f ca="1">ROUND(C13*C76,0)</f>
        <v>380</v>
      </c>
      <c r="D75" s="1842"/>
      <c r="E75" s="1842"/>
      <c r="F75" s="1842"/>
      <c r="K75" s="1868"/>
      <c r="L75" s="1842"/>
      <c r="O75" s="1884" t="s">
        <v>1046</v>
      </c>
      <c r="P75" s="1885" t="s">
        <v>1550</v>
      </c>
      <c r="Q75" s="1886">
        <f ca="1">Q65+Q66</f>
        <v>12249</v>
      </c>
      <c r="R75" s="1886" t="s">
        <v>1047</v>
      </c>
    </row>
    <row r="76" spans="1:18">
      <c r="B76" s="388" t="s">
        <v>1508</v>
      </c>
      <c r="C76" s="389">
        <f ca="1">INDIRECT("'数据-取费表'!j"&amp;$G$1)</f>
        <v>8.5000000000000006E-2</v>
      </c>
      <c r="I76" s="1842"/>
      <c r="J76" s="1842"/>
      <c r="K76" s="1868"/>
      <c r="L76" s="1842"/>
    </row>
    <row r="77" spans="1:18">
      <c r="B77" s="390" t="s">
        <v>1509</v>
      </c>
      <c r="C77" s="391"/>
      <c r="I77" s="1842"/>
      <c r="J77" s="1842"/>
      <c r="K77" s="1868"/>
      <c r="L77" s="1842"/>
    </row>
    <row r="78" spans="1:18">
      <c r="B78" s="314" t="s">
        <v>1510</v>
      </c>
      <c r="C78" s="392"/>
    </row>
    <row r="79" spans="1:18">
      <c r="B79" s="386" t="s">
        <v>1511</v>
      </c>
      <c r="C79" s="318">
        <f ca="1">1-C80</f>
        <v>0.15400000000000003</v>
      </c>
    </row>
    <row r="80" spans="1:18">
      <c r="B80" s="386" t="s">
        <v>1512</v>
      </c>
      <c r="C80" s="318">
        <f ca="1">ROUND(C75/C39,3)</f>
        <v>0.84599999999999997</v>
      </c>
    </row>
    <row r="81" spans="2:3">
      <c r="B81" s="314" t="s">
        <v>1513</v>
      </c>
      <c r="C81" s="282"/>
    </row>
    <row r="82" spans="2:3">
      <c r="B82" s="317" t="s">
        <v>1514</v>
      </c>
      <c r="C82" s="319">
        <f ca="1">1-C83</f>
        <v>0.63500000000000001</v>
      </c>
    </row>
    <row r="83" spans="2:3">
      <c r="B83" s="317" t="s">
        <v>1515</v>
      </c>
      <c r="C83" s="318">
        <f ca="1">ROUND(C13/C40,3)</f>
        <v>0.36499999999999999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c r="D1" s="1820"/>
      <c r="E1" s="1821" t="s">
        <v>1387</v>
      </c>
      <c r="F1" s="1283" t="b">
        <f>J53</f>
        <v>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1591</v>
      </c>
      <c r="B2" s="1844" t="e">
        <f ca="1">ROUND(D2/10000,0)</f>
        <v>#DIV/0!</v>
      </c>
      <c r="C2" s="1845" t="s">
        <v>1592</v>
      </c>
      <c r="D2" s="1938" t="e">
        <f ca="1">C40+J29+L46</f>
        <v>#DIV/0!</v>
      </c>
      <c r="E2" s="1846" t="s">
        <v>1593</v>
      </c>
      <c r="F2" s="1847"/>
      <c r="G2" s="1848"/>
      <c r="H2" s="1840"/>
      <c r="I2" s="1840"/>
      <c r="J2" s="1840"/>
      <c r="K2" s="1841"/>
      <c r="L2" s="1840"/>
      <c r="M2" s="1840"/>
    </row>
    <row r="3" spans="1:37" ht="18" customHeight="1" thickBot="1">
      <c r="A3" s="1849" t="s">
        <v>1594</v>
      </c>
      <c r="B3" s="1850">
        <f ca="1">IF(ISERROR(D2/F43),0,ROUND(D2/F43,0))</f>
        <v>0</v>
      </c>
      <c r="C3" s="1845" t="s">
        <v>1595</v>
      </c>
      <c r="D3" s="1845"/>
      <c r="E3" s="1846"/>
      <c r="F3" s="1847"/>
      <c r="G3" s="1848"/>
      <c r="H3" s="744" t="s">
        <v>1589</v>
      </c>
      <c r="I3" s="1840"/>
      <c r="J3" s="1840"/>
      <c r="K3" s="1841"/>
      <c r="L3" s="1840"/>
      <c r="M3" s="1840"/>
    </row>
    <row r="4" spans="1:37" ht="18" customHeight="1">
      <c r="A4" s="340" t="s">
        <v>1596</v>
      </c>
      <c r="B4" s="341" t="s">
        <v>1597</v>
      </c>
      <c r="C4" s="341" t="s">
        <v>1598</v>
      </c>
      <c r="D4" s="341" t="s">
        <v>1599</v>
      </c>
      <c r="E4" s="342" t="s">
        <v>1600</v>
      </c>
      <c r="F4" s="343"/>
      <c r="G4" s="1851"/>
      <c r="H4" s="340" t="s">
        <v>1596</v>
      </c>
      <c r="I4" s="341" t="s">
        <v>1597</v>
      </c>
      <c r="J4" s="341" t="s">
        <v>1598</v>
      </c>
      <c r="K4" s="341" t="s">
        <v>1599</v>
      </c>
      <c r="L4" s="342" t="s">
        <v>1600</v>
      </c>
      <c r="M4" s="343"/>
    </row>
    <row r="5" spans="1:37" ht="18" customHeight="1">
      <c r="A5" s="344">
        <v>1</v>
      </c>
      <c r="B5" s="345" t="s">
        <v>1601</v>
      </c>
      <c r="C5" s="1292">
        <f ca="1">C6+C10+C12</f>
        <v>0</v>
      </c>
      <c r="D5" s="1822" t="s">
        <v>1602</v>
      </c>
      <c r="E5" s="1293"/>
      <c r="F5" s="1294"/>
      <c r="G5" s="1851"/>
      <c r="H5" s="344">
        <v>1</v>
      </c>
      <c r="I5" s="345" t="s">
        <v>1601</v>
      </c>
      <c r="J5" s="1292">
        <f ca="1">J6+J10+J12</f>
        <v>0</v>
      </c>
      <c r="K5" s="1822" t="s">
        <v>1602</v>
      </c>
      <c r="L5" s="1293"/>
      <c r="M5" s="1294"/>
    </row>
    <row r="6" spans="1:37" ht="18" customHeight="1">
      <c r="A6" s="1291" t="s">
        <v>1035</v>
      </c>
      <c r="B6" s="3250" t="s">
        <v>1403</v>
      </c>
      <c r="C6" s="1296">
        <f ca="1">ROUND(F6*F8*F7*(1-F9),0)</f>
        <v>0</v>
      </c>
      <c r="D6" s="164" t="s">
        <v>3024</v>
      </c>
      <c r="E6" s="347" t="s">
        <v>1405</v>
      </c>
      <c r="F6" s="348">
        <f ca="1">INDIRECT("'数据-取费表'!u"&amp;$G$1)</f>
        <v>0</v>
      </c>
      <c r="G6" s="1851"/>
      <c r="H6" s="1291" t="s">
        <v>1035</v>
      </c>
      <c r="I6" s="3250" t="s">
        <v>1403</v>
      </c>
      <c r="J6" s="346">
        <f ca="1">ROUND(M6*M8*M7*(1-M9),0)</f>
        <v>0</v>
      </c>
      <c r="K6" s="1834" t="s">
        <v>3027</v>
      </c>
      <c r="L6" s="347" t="s">
        <v>1405</v>
      </c>
      <c r="M6" s="348">
        <f ca="1">INDIRECT("'数据-取费表'!z"&amp;$G$1)</f>
        <v>0</v>
      </c>
    </row>
    <row r="7" spans="1:37" ht="18" customHeight="1">
      <c r="A7" s="1295"/>
      <c r="B7" s="3251"/>
      <c r="C7" s="1297"/>
      <c r="D7" s="352"/>
      <c r="E7" s="1298" t="s">
        <v>1406</v>
      </c>
      <c r="F7" s="348">
        <f ca="1">IF(INDIRECT("'数据-取费表'!ah"&amp;$G$1)="",INDIRECT("'数据-取费表'!k"&amp;$G$1),INDIRECT("'数据-取费表'!ah"&amp;$G$1))</f>
        <v>0</v>
      </c>
      <c r="G7" s="1851"/>
      <c r="H7" s="349"/>
      <c r="I7" s="3251"/>
      <c r="J7" s="351"/>
      <c r="K7" s="352"/>
      <c r="L7" s="347" t="s">
        <v>1406</v>
      </c>
      <c r="M7" s="348">
        <f ca="1">F7</f>
        <v>0</v>
      </c>
    </row>
    <row r="8" spans="1:37" ht="18" customHeight="1">
      <c r="A8" s="349"/>
      <c r="B8" s="3251"/>
      <c r="C8" s="351"/>
      <c r="D8" s="352"/>
      <c r="E8" s="347" t="s">
        <v>1407</v>
      </c>
      <c r="F8" s="348">
        <f ca="1">INDIRECT("'数据-取费表'!ai"&amp;$G$1)</f>
        <v>0</v>
      </c>
      <c r="G8" s="1851"/>
      <c r="H8" s="349"/>
      <c r="I8" s="3251"/>
      <c r="J8" s="351"/>
      <c r="K8" s="352"/>
      <c r="L8" s="347" t="s">
        <v>1407</v>
      </c>
      <c r="M8" s="348">
        <f ca="1">INDIRECT("'数据-取费表'!ai"&amp;$G$1)</f>
        <v>0</v>
      </c>
    </row>
    <row r="9" spans="1:37" ht="18" customHeight="1">
      <c r="A9" s="349"/>
      <c r="B9" s="3252"/>
      <c r="C9" s="351"/>
      <c r="D9" s="352"/>
      <c r="E9" s="347" t="s">
        <v>1408</v>
      </c>
      <c r="F9" s="357">
        <f ca="1">INDIRECT("'数据-取费表'!w"&amp;$G$1)</f>
        <v>0</v>
      </c>
      <c r="G9" s="1851"/>
      <c r="H9" s="349"/>
      <c r="I9" s="3252"/>
      <c r="J9" s="351"/>
      <c r="K9" s="352"/>
      <c r="L9" s="358" t="s">
        <v>1408</v>
      </c>
      <c r="M9" s="359">
        <f ca="1">INDIRECT("'数据-取费表'!ab"&amp;$G$1)</f>
        <v>0</v>
      </c>
    </row>
    <row r="10" spans="1:37" ht="18" customHeight="1">
      <c r="A10" s="1291" t="s">
        <v>1039</v>
      </c>
      <c r="B10" s="1823" t="s">
        <v>1409</v>
      </c>
      <c r="C10" s="361">
        <f ca="1">ROUND(IF(F10="押一",F6*F8*F7/12*F11,IF(F10="押二",F6*F8*F7/12*2*F11,IF(F10="押三",F6*F8*F7/12*3*F11,C11*F11))),0)</f>
        <v>0</v>
      </c>
      <c r="D10" s="1824" t="s">
        <v>3025</v>
      </c>
      <c r="E10" s="358" t="s">
        <v>1411</v>
      </c>
      <c r="F10" s="1366"/>
      <c r="G10" s="1851"/>
      <c r="H10" s="1291" t="s">
        <v>1039</v>
      </c>
      <c r="I10" s="1823" t="s">
        <v>1409</v>
      </c>
      <c r="J10" s="346">
        <f ca="1">ROUND(IF(M10="押一",M6*M8*M7/12*M11,IF(M10="押二",M6*M8*M7/12*2*M11,IF(M10="押三",M6*M8*M7/12*3*M11,J11*M11))),0)</f>
        <v>0</v>
      </c>
      <c r="K10" s="1835" t="s">
        <v>3026</v>
      </c>
      <c r="L10" s="358" t="s">
        <v>1411</v>
      </c>
      <c r="M10" s="1366"/>
    </row>
    <row r="11" spans="1:37" ht="18" customHeight="1">
      <c r="A11" s="353"/>
      <c r="B11" s="1825" t="s">
        <v>1603</v>
      </c>
      <c r="C11" s="1178"/>
      <c r="D11" s="352"/>
      <c r="E11" s="358" t="s">
        <v>1413</v>
      </c>
      <c r="F11" s="359">
        <f ca="1">'数据-取费表'!B39</f>
        <v>1.4999999999999999E-2</v>
      </c>
      <c r="G11" s="1851"/>
      <c r="H11" s="1299"/>
      <c r="I11" s="1825" t="s">
        <v>1604</v>
      </c>
      <c r="J11" s="1178"/>
      <c r="K11" s="748"/>
      <c r="L11" s="358" t="s">
        <v>1413</v>
      </c>
      <c r="M11" s="1056">
        <f ca="1">'数据-取费表'!B39</f>
        <v>1.4999999999999999E-2</v>
      </c>
    </row>
    <row r="12" spans="1:37" ht="18" customHeight="1" thickBot="1">
      <c r="A12" s="1333" t="s">
        <v>1075</v>
      </c>
      <c r="B12" s="1827" t="s">
        <v>1414</v>
      </c>
      <c r="C12" s="1334"/>
      <c r="D12" s="1335"/>
      <c r="E12" s="1340"/>
      <c r="F12" s="1336"/>
      <c r="G12" s="1851"/>
      <c r="H12" s="1333" t="s">
        <v>1075</v>
      </c>
      <c r="I12" s="1827" t="s">
        <v>1414</v>
      </c>
      <c r="J12" s="1334"/>
      <c r="K12" s="1348"/>
      <c r="L12" s="1340"/>
      <c r="M12" s="1349"/>
    </row>
    <row r="13" spans="1:37" ht="18" customHeight="1" thickTop="1">
      <c r="A13" s="1329">
        <v>2</v>
      </c>
      <c r="B13" s="1330" t="s">
        <v>1415</v>
      </c>
      <c r="C13" s="355">
        <f ca="1">ROUND(C29*F13,0)</f>
        <v>0</v>
      </c>
      <c r="D13" s="1331" t="s">
        <v>1416</v>
      </c>
      <c r="E13" s="1331" t="s">
        <v>1417</v>
      </c>
      <c r="F13" s="1332">
        <f ca="1">INDIRECT("'数据-取费表'!y"&amp;$G$1)</f>
        <v>0</v>
      </c>
      <c r="G13" s="1851"/>
      <c r="H13" s="1329">
        <v>2</v>
      </c>
      <c r="I13" s="1330" t="s">
        <v>1415</v>
      </c>
      <c r="J13" s="1290">
        <f ca="1">ROUND(J14*J15,0)</f>
        <v>0</v>
      </c>
      <c r="K13" s="1337" t="s">
        <v>1416</v>
      </c>
      <c r="L13" s="1852"/>
      <c r="M13" s="1853"/>
    </row>
    <row r="14" spans="1:37" ht="18" customHeight="1">
      <c r="A14" s="1201" t="s">
        <v>1034</v>
      </c>
      <c r="B14" s="347" t="s">
        <v>1418</v>
      </c>
      <c r="C14" s="363">
        <f ca="1">ROUND(INDIRECT("'数据-取费表'!l"&amp;$G$1)*F43+'数据-取费表'!L14*INDIRECT("'数据-取费表'!S"&amp;$G$1),0)</f>
        <v>0</v>
      </c>
      <c r="D14" s="1800" t="s">
        <v>1419</v>
      </c>
      <c r="E14" s="1794"/>
      <c r="F14" s="364"/>
      <c r="G14" s="1851"/>
      <c r="H14" s="1201" t="s">
        <v>1035</v>
      </c>
      <c r="I14" s="347" t="s">
        <v>1420</v>
      </c>
      <c r="J14" s="24">
        <f ca="1">C29</f>
        <v>0</v>
      </c>
      <c r="K14" s="15"/>
      <c r="L14" s="979"/>
      <c r="M14" s="980"/>
    </row>
    <row r="15" spans="1:37" s="1858" customFormat="1" ht="18" customHeight="1" thickBot="1">
      <c r="A15" s="1201" t="s">
        <v>1036</v>
      </c>
      <c r="B15" s="347" t="s">
        <v>1421</v>
      </c>
      <c r="C15" s="24">
        <f ca="1">ROUND(C14*F15,0)</f>
        <v>0</v>
      </c>
      <c r="D15" s="365" t="s">
        <v>1422</v>
      </c>
      <c r="E15" s="365" t="s">
        <v>1423</v>
      </c>
      <c r="F15" s="366">
        <f>'数据-取费表'!B33</f>
        <v>0.03</v>
      </c>
      <c r="G15" s="1854"/>
      <c r="H15" s="1339" t="s">
        <v>1039</v>
      </c>
      <c r="I15" s="1340" t="s">
        <v>1417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1424</v>
      </c>
      <c r="C16" s="24">
        <f ca="1">ROUND(INDIRECT("'数据-取费表'!l"&amp;$G$1)*F43*F16,0)</f>
        <v>0</v>
      </c>
      <c r="D16" s="347" t="s">
        <v>1422</v>
      </c>
      <c r="E16" s="347" t="s">
        <v>1423</v>
      </c>
      <c r="F16" s="367">
        <f ca="1">IF(INDIRECT("'数据-取费表'!c"&amp;$G$1)="住宅",'数据-取费表'!B34,0)</f>
        <v>0</v>
      </c>
      <c r="G16" s="1851"/>
      <c r="H16" s="1329" t="s">
        <v>1030</v>
      </c>
      <c r="I16" s="1330" t="s">
        <v>1425</v>
      </c>
      <c r="J16" s="355">
        <f ca="1">ROUND(J17+J22+J23+J24,0)</f>
        <v>0</v>
      </c>
      <c r="K16" s="1337" t="s">
        <v>1426</v>
      </c>
      <c r="L16" s="1338"/>
      <c r="M16" s="1294"/>
    </row>
    <row r="17" spans="1:37" s="1858" customFormat="1" ht="18" customHeight="1">
      <c r="A17" s="1201" t="s">
        <v>1390</v>
      </c>
      <c r="B17" s="347" t="s">
        <v>1427</v>
      </c>
      <c r="C17" s="24">
        <f ca="1">ROUND(F17*(F43+INDIRECT("'数据-取费表'!S"&amp;$G$1)),0)</f>
        <v>0</v>
      </c>
      <c r="D17" s="347" t="s">
        <v>1428</v>
      </c>
      <c r="E17" s="347" t="s">
        <v>1429</v>
      </c>
      <c r="F17" s="26">
        <f>'数据-取费表'!B35</f>
        <v>200</v>
      </c>
      <c r="G17" s="1854"/>
      <c r="H17" s="1201" t="s">
        <v>1035</v>
      </c>
      <c r="I17" s="347" t="s">
        <v>1430</v>
      </c>
      <c r="J17" s="24">
        <f ca="1">ROUND(IF(项目基本情况!B11="自然人",J5*M17,J18+J19+J20),0)</f>
        <v>0</v>
      </c>
      <c r="K17" s="1800" t="s">
        <v>1431</v>
      </c>
      <c r="L17" s="1798"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1433</v>
      </c>
      <c r="C18" s="24">
        <f ca="1">ROUND(C14*F18,0)</f>
        <v>0</v>
      </c>
      <c r="D18" s="347" t="s">
        <v>1422</v>
      </c>
      <c r="E18" s="347" t="s">
        <v>1423</v>
      </c>
      <c r="F18" s="367">
        <f>'数据-取费表'!B36</f>
        <v>1.4999999999999999E-2</v>
      </c>
      <c r="G18" s="1854"/>
      <c r="H18" s="1201" t="s">
        <v>1034</v>
      </c>
      <c r="I18" s="347" t="s">
        <v>1434</v>
      </c>
      <c r="J18" s="24">
        <f ca="1">ROUND(J5*M18/(1+'数据-取费表'!C42),0)</f>
        <v>0</v>
      </c>
      <c r="K18" s="1798" t="s">
        <v>1435</v>
      </c>
      <c r="L18" s="347" t="s">
        <v>1423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1436</v>
      </c>
      <c r="C19" s="24">
        <f ca="1">SUM(C14:C18)</f>
        <v>0</v>
      </c>
      <c r="D19" s="140" t="s">
        <v>1437</v>
      </c>
      <c r="E19" s="1818"/>
      <c r="F19" s="26"/>
      <c r="G19" s="1851"/>
      <c r="H19" s="1201" t="s">
        <v>1036</v>
      </c>
      <c r="I19" s="347" t="s">
        <v>1438</v>
      </c>
      <c r="J19" s="24">
        <f ca="1">IF(K19="按租金收入计税",ROUND(J5*M19,0),ROUND(C29*M19*0.7,0))</f>
        <v>0</v>
      </c>
      <c r="K19" s="1828" t="s">
        <v>1439</v>
      </c>
      <c r="L19" s="347" t="s">
        <v>1423</v>
      </c>
      <c r="M19" s="367">
        <f>IF(K19="按租金收入计税",'数据-取费表'!B51,'数据-取费表'!B50)</f>
        <v>1.2E-2</v>
      </c>
    </row>
    <row r="20" spans="1:37" s="1858" customFormat="1" ht="18" customHeight="1">
      <c r="A20" s="1201" t="s">
        <v>1039</v>
      </c>
      <c r="B20" s="347" t="s">
        <v>1440</v>
      </c>
      <c r="C20" s="24">
        <f ca="1">ROUND(C19*F20,0)</f>
        <v>0</v>
      </c>
      <c r="D20" s="369" t="s">
        <v>1441</v>
      </c>
      <c r="E20" s="347" t="s">
        <v>1423</v>
      </c>
      <c r="F20" s="367">
        <f>'数据-取费表'!B37</f>
        <v>0.02</v>
      </c>
      <c r="G20" s="1854"/>
      <c r="H20" s="1201" t="s">
        <v>1389</v>
      </c>
      <c r="I20" s="164" t="s">
        <v>1442</v>
      </c>
      <c r="J20" s="25">
        <f ca="1">ROUND(M20*M21,0)</f>
        <v>0</v>
      </c>
      <c r="K20" s="370" t="s">
        <v>1443</v>
      </c>
      <c r="L20" s="347" t="s">
        <v>1444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1445</v>
      </c>
      <c r="C21" s="24" t="s">
        <v>1</v>
      </c>
      <c r="D21" s="369" t="s">
        <v>1446</v>
      </c>
      <c r="E21" s="347" t="s">
        <v>1447</v>
      </c>
      <c r="F21" s="367">
        <f>'数据-取费表'!B38</f>
        <v>0.02</v>
      </c>
      <c r="G21" s="1854"/>
      <c r="H21" s="372"/>
      <c r="I21" s="356"/>
      <c r="J21" s="29"/>
      <c r="K21" s="373"/>
      <c r="L21" s="347" t="s">
        <v>1448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8"/>
      <c r="F22" s="26"/>
      <c r="G22" s="1851"/>
      <c r="H22" s="1201" t="s">
        <v>1039</v>
      </c>
      <c r="I22" s="347" t="s">
        <v>1450</v>
      </c>
      <c r="J22" s="24">
        <f ca="1">ROUND(J14*M22,0)</f>
        <v>0</v>
      </c>
      <c r="K22" s="1798" t="s">
        <v>1451</v>
      </c>
      <c r="L22" s="347" t="s">
        <v>1423</v>
      </c>
      <c r="M22" s="374">
        <f ca="1">INDIRECT("'数据-取费表'!Ak"&amp;$G$1)</f>
        <v>0</v>
      </c>
    </row>
    <row r="23" spans="1:37" s="1858" customFormat="1" ht="18" customHeight="1">
      <c r="A23" s="1201"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4"/>
      <c r="H23" s="1201" t="s">
        <v>1075</v>
      </c>
      <c r="I23" s="347" t="s">
        <v>1454</v>
      </c>
      <c r="J23" s="24">
        <f ca="1">ROUND(J13*M23,0)</f>
        <v>0</v>
      </c>
      <c r="K23" s="1798" t="s">
        <v>1455</v>
      </c>
      <c r="L23" s="347" t="s">
        <v>1456</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4"/>
      <c r="H24" s="1339" t="s">
        <v>1393</v>
      </c>
      <c r="I24" s="1340" t="s">
        <v>1440</v>
      </c>
      <c r="J24" s="1341">
        <f ca="1">ROUND(J5*M24,0)</f>
        <v>0</v>
      </c>
      <c r="K24" s="1342" t="s">
        <v>1460</v>
      </c>
      <c r="L24" s="1340" t="s">
        <v>1456</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1461</v>
      </c>
      <c r="B25" s="347" t="s">
        <v>1462</v>
      </c>
      <c r="C25" s="24"/>
      <c r="D25" s="140" t="s">
        <v>1463</v>
      </c>
      <c r="E25" s="1818"/>
      <c r="F25" s="26"/>
      <c r="G25" s="1851"/>
      <c r="H25" s="1329" t="s">
        <v>1031</v>
      </c>
      <c r="I25" s="1344" t="s">
        <v>1464</v>
      </c>
      <c r="J25" s="355">
        <f ca="1">J5-J16</f>
        <v>0</v>
      </c>
      <c r="K25" s="1345" t="s">
        <v>1465</v>
      </c>
      <c r="L25" s="1346"/>
      <c r="M25" s="1347"/>
    </row>
    <row r="26" spans="1:37" ht="18" customHeight="1">
      <c r="A26" s="1201" t="s">
        <v>1034</v>
      </c>
      <c r="B26" s="347" t="s">
        <v>1466</v>
      </c>
      <c r="C26" s="24">
        <f ca="1">ROUND((C19+C20)*F26,0)</f>
        <v>0</v>
      </c>
      <c r="D26" s="369" t="s">
        <v>1467</v>
      </c>
      <c r="E26" s="358" t="s">
        <v>1468</v>
      </c>
      <c r="F26" s="357">
        <f ca="1">INDIRECT("'数据-取费表'!q"&amp;$G$1)</f>
        <v>0</v>
      </c>
      <c r="G26" s="1851"/>
      <c r="H26" s="344" t="s">
        <v>1032</v>
      </c>
      <c r="I26" s="345" t="s">
        <v>1469</v>
      </c>
      <c r="J26" s="346">
        <f ca="1">IF(J5&lt;&gt;0,ROUND(J25*(1-((1+M28)/(1+M26))^M27)/(M26-M28),0),0)</f>
        <v>0</v>
      </c>
      <c r="K26" s="370" t="s">
        <v>1470</v>
      </c>
      <c r="L26" s="347" t="s">
        <v>1471</v>
      </c>
      <c r="M26" s="357">
        <f ca="1">INDIRECT("'数据-取费表'!I"&amp;$G$1)</f>
        <v>0</v>
      </c>
    </row>
    <row r="27" spans="1:37" ht="18" customHeight="1">
      <c r="A27" s="1201" t="s">
        <v>1036</v>
      </c>
      <c r="B27" s="347" t="s">
        <v>1472</v>
      </c>
      <c r="C27" s="24">
        <f ca="1">ROUND(F21*F26,4)</f>
        <v>0</v>
      </c>
      <c r="D27" s="369" t="s">
        <v>1473</v>
      </c>
      <c r="E27" s="365"/>
      <c r="F27" s="366"/>
      <c r="G27" s="1851"/>
      <c r="H27" s="349"/>
      <c r="I27" s="350"/>
      <c r="J27" s="351"/>
      <c r="K27" s="378" t="s">
        <v>1474</v>
      </c>
      <c r="L27" s="347" t="s">
        <v>1475</v>
      </c>
      <c r="M27" s="379">
        <f ca="1">INDIRECT("'数据-取费表'!ag"&amp;$G$1)</f>
        <v>0</v>
      </c>
    </row>
    <row r="28" spans="1:37" s="1858" customFormat="1" ht="18" customHeight="1">
      <c r="A28" s="1201" t="s">
        <v>1037</v>
      </c>
      <c r="B28" s="347" t="s">
        <v>1476</v>
      </c>
      <c r="C28" s="24">
        <f>ROUND(F28/(1+'数据-取费表'!C42),4)</f>
        <v>5.2400000000000002E-2</v>
      </c>
      <c r="D28" s="369" t="s">
        <v>1477</v>
      </c>
      <c r="E28" s="347" t="s">
        <v>1423</v>
      </c>
      <c r="F28" s="367">
        <f>'数据-取费表'!B41</f>
        <v>5.5000000000000007E-2</v>
      </c>
      <c r="G28" s="1854"/>
      <c r="H28" s="353"/>
      <c r="I28" s="354"/>
      <c r="J28" s="355"/>
      <c r="K28" s="373"/>
      <c r="L28" s="347" t="s">
        <v>1478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1479</v>
      </c>
      <c r="C29" s="1341">
        <f ca="1">ROUND((C19+C20+C23+C26)/(1-F21-C24-C27-C28),0)</f>
        <v>0</v>
      </c>
      <c r="D29" s="1342"/>
      <c r="E29" s="1340"/>
      <c r="F29" s="1343"/>
      <c r="G29" s="1854"/>
      <c r="H29" s="380" t="s">
        <v>1033</v>
      </c>
      <c r="I29" s="381" t="s">
        <v>1480</v>
      </c>
      <c r="J29" s="382">
        <f ca="1">ROUND(J26/(1+F40)^F41,0)</f>
        <v>0</v>
      </c>
      <c r="K29" s="383" t="s">
        <v>1481</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1425</v>
      </c>
      <c r="C30" s="355">
        <f ca="1">ROUND(C31+C36+C37+C38,0)</f>
        <v>0</v>
      </c>
      <c r="D30" s="1337" t="s">
        <v>1426</v>
      </c>
      <c r="E30" s="1338"/>
      <c r="F30" s="1294"/>
      <c r="G30" s="1851"/>
      <c r="H30" s="745"/>
      <c r="I30" s="746"/>
      <c r="J30" s="747"/>
      <c r="K30" s="748"/>
      <c r="L30" s="749"/>
      <c r="M30" s="750"/>
    </row>
    <row r="31" spans="1:37" ht="18" customHeight="1">
      <c r="A31" s="1201" t="s">
        <v>1035</v>
      </c>
      <c r="B31" s="347" t="s">
        <v>1430</v>
      </c>
      <c r="C31" s="24">
        <f ca="1">ROUND(IF(项目基本情况!B11="自然人",C5*F31,C32+C33+C34),0)</f>
        <v>0</v>
      </c>
      <c r="D31" s="1800" t="s">
        <v>1431</v>
      </c>
      <c r="E31" s="1798"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1434</v>
      </c>
      <c r="C32" s="24">
        <f ca="1">IF(项目基本情况!B11="自然人","——",ROUND(C5*F32/(1+'数据-取费表'!C42),0))</f>
        <v>0</v>
      </c>
      <c r="D32" s="1798" t="s">
        <v>1435</v>
      </c>
      <c r="E32" s="347" t="s">
        <v>1423</v>
      </c>
      <c r="F32" s="377">
        <f>'数据-取费表'!B41</f>
        <v>5.5000000000000007E-2</v>
      </c>
      <c r="G32" s="1851"/>
      <c r="H32" s="745"/>
      <c r="I32" s="746"/>
      <c r="J32" s="747"/>
      <c r="K32" s="748"/>
      <c r="L32" s="749"/>
      <c r="M32" s="750"/>
    </row>
    <row r="33" spans="1:18" ht="18" customHeight="1">
      <c r="A33" s="1201" t="s">
        <v>1036</v>
      </c>
      <c r="B33" s="347" t="s">
        <v>1438</v>
      </c>
      <c r="C33" s="24">
        <f ca="1">IF(项目基本情况!B11="自然人","——",IF(D33="按租金收入计税",ROUND(C5*F33,0),IF(D33="按房产原值计税",ROUND(C29*F33*0.7,0),INDIRECT("'数据-取费表'!Aj"&amp;$G$1))))</f>
        <v>0</v>
      </c>
      <c r="D33" s="1828" t="s">
        <v>1439</v>
      </c>
      <c r="E33" s="347" t="s">
        <v>1423</v>
      </c>
      <c r="F33" s="367">
        <f>IF(D33="按票据","——",IF(D33="按租金收入计税",'数据-取费表'!B51,'数据-取费表'!B50))</f>
        <v>1.2E-2</v>
      </c>
      <c r="G33" s="1851"/>
      <c r="H33" s="1859"/>
      <c r="I33" s="1860"/>
      <c r="J33" s="1861"/>
      <c r="K33" s="1862"/>
      <c r="L33" s="1859"/>
      <c r="M33" s="1859"/>
    </row>
    <row r="34" spans="1:18" ht="18" customHeight="1">
      <c r="A34" s="1291" t="s">
        <v>1389</v>
      </c>
      <c r="B34" s="164" t="s">
        <v>1442</v>
      </c>
      <c r="C34" s="25">
        <f ca="1">IF(项目基本情况!B11="自然人","——",ROUND(F34*F35,))</f>
        <v>0</v>
      </c>
      <c r="D34" s="370" t="s">
        <v>1443</v>
      </c>
      <c r="E34" s="347" t="s">
        <v>1444</v>
      </c>
      <c r="F34" s="371">
        <f>'数据-取费表'!B52</f>
        <v>1.5</v>
      </c>
      <c r="G34" s="1851"/>
      <c r="H34" s="745"/>
      <c r="I34" s="1860"/>
      <c r="J34" s="1861"/>
      <c r="K34" s="1863"/>
      <c r="L34" s="1864"/>
      <c r="M34" s="1864"/>
    </row>
    <row r="35" spans="1:18" ht="18" customHeight="1">
      <c r="A35" s="1353"/>
      <c r="B35" s="1351"/>
      <c r="C35" s="29"/>
      <c r="D35" s="373"/>
      <c r="E35" s="347" t="s">
        <v>1448</v>
      </c>
      <c r="F35" s="348">
        <f ca="1">INDIRECT("'数据-取费表'!r"&amp;$G$1)</f>
        <v>0</v>
      </c>
      <c r="G35" s="1851"/>
      <c r="H35" s="745"/>
      <c r="I35" s="1860"/>
      <c r="J35" s="1861"/>
      <c r="K35" s="1862"/>
      <c r="L35" s="1859"/>
      <c r="M35" s="1859"/>
    </row>
    <row r="36" spans="1:18" ht="18" customHeight="1">
      <c r="A36" s="1352" t="s">
        <v>1039</v>
      </c>
      <c r="B36" s="347" t="s">
        <v>1450</v>
      </c>
      <c r="C36" s="24">
        <f ca="1">ROUND(C29*F36,0)</f>
        <v>0</v>
      </c>
      <c r="D36" s="1798" t="s">
        <v>1483</v>
      </c>
      <c r="E36" s="347" t="s">
        <v>1423</v>
      </c>
      <c r="F36" s="374">
        <f ca="1">INDIRECT("'数据-取费表'!Ak"&amp;$G$1)</f>
        <v>0</v>
      </c>
      <c r="G36" s="1851"/>
      <c r="H36" s="1859"/>
      <c r="I36" s="1860"/>
      <c r="J36" s="1861"/>
      <c r="K36" s="751"/>
      <c r="L36" s="1859"/>
      <c r="M36" s="1859"/>
    </row>
    <row r="37" spans="1:18" ht="18" customHeight="1">
      <c r="A37" s="1201" t="s">
        <v>1075</v>
      </c>
      <c r="B37" s="347" t="s">
        <v>1454</v>
      </c>
      <c r="C37" s="24">
        <f ca="1">ROUND(C13*F37,0)</f>
        <v>0</v>
      </c>
      <c r="D37" s="1798" t="s">
        <v>1455</v>
      </c>
      <c r="E37" s="347" t="s">
        <v>1456</v>
      </c>
      <c r="F37" s="376">
        <f ca="1">INDIRECT("'数据-取费表'!Al"&amp;$G$1)</f>
        <v>0</v>
      </c>
      <c r="G37" s="1851"/>
      <c r="H37" s="1859"/>
      <c r="I37" s="1860"/>
      <c r="J37" s="1861"/>
      <c r="K37" s="751"/>
      <c r="L37" s="1859"/>
      <c r="M37" s="1859"/>
    </row>
    <row r="38" spans="1:18" ht="18" customHeight="1" thickBot="1">
      <c r="A38" s="1339" t="s">
        <v>1393</v>
      </c>
      <c r="B38" s="1340" t="s">
        <v>1440</v>
      </c>
      <c r="C38" s="1341">
        <f ca="1">ROUND(C5*F38,1)</f>
        <v>0</v>
      </c>
      <c r="D38" s="1342" t="s">
        <v>1460</v>
      </c>
      <c r="E38" s="1340" t="s">
        <v>1456</v>
      </c>
      <c r="F38" s="1336">
        <f ca="1">INDIRECT("'数据-取费表'!Am"&amp;$G$1)</f>
        <v>0</v>
      </c>
      <c r="G38" s="1851"/>
      <c r="H38" s="1859"/>
      <c r="I38" s="1860"/>
      <c r="J38" s="1861"/>
      <c r="K38" s="1865"/>
      <c r="L38" s="1859"/>
      <c r="M38" s="1859"/>
    </row>
    <row r="39" spans="1:18" ht="24.6" customHeight="1" thickTop="1">
      <c r="A39" s="1329" t="s">
        <v>1031</v>
      </c>
      <c r="B39" s="1344" t="s">
        <v>1484</v>
      </c>
      <c r="C39" s="355">
        <f ca="1">C5-C30</f>
        <v>0</v>
      </c>
      <c r="D39" s="1345" t="s">
        <v>1485</v>
      </c>
      <c r="E39" s="1346"/>
      <c r="F39" s="1347"/>
      <c r="G39" s="1851"/>
      <c r="H39" s="1859"/>
      <c r="I39" s="1860"/>
      <c r="J39" s="1861"/>
      <c r="K39" s="1865"/>
      <c r="L39" s="1859"/>
      <c r="M39" s="1859"/>
    </row>
    <row r="40" spans="1:18" ht="18" customHeight="1">
      <c r="A40" s="344" t="s">
        <v>1032</v>
      </c>
      <c r="B40" s="345" t="s">
        <v>1486</v>
      </c>
      <c r="C40" s="346" t="e">
        <f ca="1">ROUND(C39*(1-((1+F42)/(1+F40))^F41)/(F40-F42),0)</f>
        <v>#DIV/0!</v>
      </c>
      <c r="D40" s="370" t="s">
        <v>1470</v>
      </c>
      <c r="E40" s="347" t="s">
        <v>1471</v>
      </c>
      <c r="F40" s="357">
        <f ca="1">INDIRECT("'数据-取费表'!I"&amp;$G$1)</f>
        <v>0</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1478</v>
      </c>
      <c r="F42" s="357">
        <f ca="1">INDIRECT("'数据-取费表'!v"&amp;$G$1)</f>
        <v>0</v>
      </c>
      <c r="G42" s="1851"/>
      <c r="H42" s="732"/>
      <c r="I42" s="1860"/>
      <c r="J42" s="1861"/>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1605</v>
      </c>
      <c r="E45" s="1866"/>
      <c r="F45" s="1866"/>
      <c r="O45" s="1869" t="s">
        <v>1520</v>
      </c>
      <c r="P45" s="1839"/>
      <c r="Q45" s="1839"/>
      <c r="R45" s="1839"/>
    </row>
    <row r="46" spans="1:18" s="1842" customFormat="1" ht="13.5" thickBot="1">
      <c r="A46" s="1870" t="s">
        <v>1521</v>
      </c>
      <c r="C46" s="1871" t="e">
        <f ca="1">ROUND(C45/10000,0)</f>
        <v>#DIV/0!</v>
      </c>
      <c r="D46" s="1872" t="str">
        <f>C2</f>
        <v>万元</v>
      </c>
      <c r="I46" s="1873" t="s">
        <v>1522</v>
      </c>
      <c r="J46" s="1874"/>
      <c r="K46" s="1875"/>
      <c r="L46" s="1876" t="e">
        <f ca="1">IF(M47="住宅",0,IF(L48&gt;J51,L60,J60))</f>
        <v>#DIV/0!</v>
      </c>
      <c r="O46" s="1877" t="s">
        <v>1523</v>
      </c>
      <c r="P46" s="1878" t="s">
        <v>1524</v>
      </c>
      <c r="Q46" s="1879" t="s">
        <v>1525</v>
      </c>
      <c r="R46" s="1879" t="s">
        <v>1526</v>
      </c>
    </row>
    <row r="47" spans="1:18" s="1842" customFormat="1" ht="13.5" thickBot="1">
      <c r="A47" s="1165" t="s">
        <v>1396</v>
      </c>
      <c r="B47" s="1197" t="s">
        <v>1397</v>
      </c>
      <c r="C47" s="1197" t="s">
        <v>1398</v>
      </c>
      <c r="D47" s="1197" t="s">
        <v>1399</v>
      </c>
      <c r="E47" s="1279" t="s">
        <v>1400</v>
      </c>
      <c r="F47" s="1280"/>
      <c r="G47" s="792"/>
      <c r="I47" s="1880" t="s">
        <v>1527</v>
      </c>
      <c r="J47" s="1881"/>
      <c r="K47" s="1882" t="s">
        <v>1528</v>
      </c>
      <c r="L47" s="1883">
        <f ca="1">INDIRECT("'数据-取费表'!d"&amp;$G$1)</f>
        <v>0</v>
      </c>
      <c r="M47" s="1838" t="str">
        <f>IF(ISNUMBER(FIND("住宅",C1)),"住宅","非住宅")</f>
        <v>非住宅</v>
      </c>
      <c r="O47" s="1884" t="s">
        <v>1040</v>
      </c>
      <c r="P47" s="1885" t="s">
        <v>1529</v>
      </c>
      <c r="Q47" s="1886" t="e">
        <f ca="1">C40+J29</f>
        <v>#DIV/0!</v>
      </c>
      <c r="R47" s="1886" t="s">
        <v>1530</v>
      </c>
    </row>
    <row r="48" spans="1:18" s="1842" customFormat="1" ht="28.5" thickBot="1">
      <c r="A48" s="1360" t="s">
        <v>1135</v>
      </c>
      <c r="B48" s="345" t="s">
        <v>1401</v>
      </c>
      <c r="C48" s="1817">
        <f ca="1">C49+C53+C55</f>
        <v>0</v>
      </c>
      <c r="D48" s="1362"/>
      <c r="E48" s="1363"/>
      <c r="F48" s="1181"/>
      <c r="G48" s="792"/>
      <c r="H48" s="793"/>
      <c r="I48" s="1887" t="s">
        <v>1531</v>
      </c>
      <c r="J48" s="1888"/>
      <c r="K48" s="1889" t="s">
        <v>1532</v>
      </c>
      <c r="L48" s="1890">
        <f ca="1">INDIRECT("'数据-取费表'!f"&amp;$G$1)</f>
        <v>0</v>
      </c>
      <c r="O48" s="1884" t="s">
        <v>1041</v>
      </c>
      <c r="P48" s="1885" t="s">
        <v>1533</v>
      </c>
      <c r="Q48" s="1886" t="e">
        <f ca="1">J60</f>
        <v>#DIV/0!</v>
      </c>
      <c r="R48" s="1886" t="s">
        <v>1534</v>
      </c>
    </row>
    <row r="49" spans="1:18" s="1842" customFormat="1" ht="13.5" thickBot="1">
      <c r="A49" s="1194" t="s">
        <v>1136</v>
      </c>
      <c r="B49" s="1829" t="s">
        <v>1491</v>
      </c>
      <c r="C49" s="1364">
        <f ca="1">ROUND(F49*F51*F50*(1-F52),0)</f>
        <v>0</v>
      </c>
      <c r="D49" s="1276" t="s">
        <v>1404</v>
      </c>
      <c r="E49" s="1830" t="s">
        <v>1492</v>
      </c>
      <c r="F49" s="1281"/>
      <c r="G49" s="1891"/>
      <c r="H49" s="793"/>
      <c r="I49" s="1887" t="s">
        <v>1535</v>
      </c>
      <c r="J49" s="1892"/>
      <c r="K49" s="1889" t="s">
        <v>1536</v>
      </c>
      <c r="L49" s="1893"/>
      <c r="O49" s="1894" t="s">
        <v>1042</v>
      </c>
      <c r="P49" s="1885" t="s">
        <v>1537</v>
      </c>
      <c r="Q49" s="1886">
        <f ca="1">C29</f>
        <v>0</v>
      </c>
      <c r="R49" s="1886" t="s">
        <v>1530</v>
      </c>
    </row>
    <row r="50" spans="1:18" s="1842" customFormat="1" ht="13.5" thickBot="1">
      <c r="A50" s="1195"/>
      <c r="B50" s="1198"/>
      <c r="C50" s="1199"/>
      <c r="D50" s="1172"/>
      <c r="E50" s="1277" t="s">
        <v>1406</v>
      </c>
      <c r="F50" s="1278">
        <f ca="1">F7</f>
        <v>0</v>
      </c>
      <c r="H50" s="793"/>
      <c r="I50" s="1887" t="s">
        <v>1538</v>
      </c>
      <c r="J50" s="1895">
        <f>SUMPRODUCT((I63:I65=J47)*(J62:L62=J48)*(J63:L65))</f>
        <v>0</v>
      </c>
      <c r="K50" s="1889" t="s">
        <v>1539</v>
      </c>
      <c r="L50" s="1893"/>
      <c r="M50" s="1896"/>
      <c r="O50" s="1894" t="s">
        <v>1043</v>
      </c>
      <c r="P50" s="1885" t="s">
        <v>1540</v>
      </c>
      <c r="Q50" s="1897" t="e">
        <f ca="1">J58</f>
        <v>#DIV/0!</v>
      </c>
      <c r="R50" s="1886"/>
    </row>
    <row r="51" spans="1:18" s="1842" customFormat="1" ht="13.5" thickBot="1">
      <c r="A51" s="1196"/>
      <c r="B51" s="1198"/>
      <c r="C51" s="1199"/>
      <c r="D51" s="1172"/>
      <c r="E51" s="1200" t="s">
        <v>1407</v>
      </c>
      <c r="F51" s="348">
        <f ca="1">F8</f>
        <v>0</v>
      </c>
      <c r="I51" s="1898" t="s">
        <v>1541</v>
      </c>
      <c r="J51" s="1899">
        <f>IF(J49="",J50,J49+J50-YEAR('数据-取费表'!B2))</f>
        <v>0</v>
      </c>
      <c r="K51" s="1900" t="s">
        <v>1542</v>
      </c>
      <c r="L51" s="1901">
        <f ca="1">ROUND(-PV(INDIRECT("'数据-取费表'!h"&amp;$G$1),L48,(C39-C13*C76),0),0)</f>
        <v>0</v>
      </c>
      <c r="M51" s="1902"/>
      <c r="O51" s="1894" t="s">
        <v>1044</v>
      </c>
      <c r="P51" s="1885" t="s">
        <v>1543</v>
      </c>
      <c r="Q51" s="1897">
        <f>J52</f>
        <v>0</v>
      </c>
      <c r="R51" s="1886"/>
    </row>
    <row r="52" spans="1:18" s="1842" customFormat="1" ht="13.5" thickBot="1">
      <c r="A52" s="1196"/>
      <c r="B52" s="1198"/>
      <c r="C52" s="1199"/>
      <c r="D52" s="1172"/>
      <c r="E52" s="1200" t="s">
        <v>1408</v>
      </c>
      <c r="F52" s="1275"/>
      <c r="I52" s="1903" t="s">
        <v>1544</v>
      </c>
      <c r="J52" s="1904"/>
      <c r="K52" s="1903" t="s">
        <v>1545</v>
      </c>
      <c r="L52" s="1904"/>
      <c r="O52" s="1894" t="s">
        <v>1045</v>
      </c>
      <c r="P52" s="1885" t="s">
        <v>1546</v>
      </c>
      <c r="Q52" s="1886" t="b">
        <f>J53</f>
        <v>0</v>
      </c>
      <c r="R52" s="1886" t="s">
        <v>1547</v>
      </c>
    </row>
    <row r="53" spans="1:18" s="1842" customFormat="1" ht="30.75" customHeight="1" thickBot="1">
      <c r="A53" s="1361" t="s">
        <v>1137</v>
      </c>
      <c r="B53" s="369" t="s">
        <v>1409</v>
      </c>
      <c r="C53" s="361">
        <f ca="1">ROUND(IF(F53="押一",F49*F51*F50/12*F11,IF(F53="押二",F49*F51*F50/12*2*F11,IF(F53="押三",F49*F51*F50/12*3*F11,C54*F11))),0)</f>
        <v>0</v>
      </c>
      <c r="D53" s="1824" t="s">
        <v>1410</v>
      </c>
      <c r="E53" s="358" t="s">
        <v>1411</v>
      </c>
      <c r="F53" s="1366"/>
      <c r="I53" s="1905" t="s">
        <v>1548</v>
      </c>
      <c r="J53" s="1906" t="b">
        <f>IF(M47="住宅",J51,IF(D1="——",MIN(J51,L48),IF(D1="在建（套用方法）",MIN(J51,L48-'数据-取费表'!B24),IF(D1="土地（套用方法）",MIN(J51,L48-'数据-取费表'!B20)))))</f>
        <v>0</v>
      </c>
      <c r="K53" s="3248" t="s">
        <v>1549</v>
      </c>
      <c r="L53" s="3249"/>
      <c r="O53" s="1884" t="s">
        <v>1046</v>
      </c>
      <c r="P53" s="1885" t="s">
        <v>1550</v>
      </c>
      <c r="Q53" s="1886" t="e">
        <f ca="1">Q47+Q48</f>
        <v>#DIV/0!</v>
      </c>
      <c r="R53" s="1886" t="s">
        <v>1047</v>
      </c>
    </row>
    <row r="54" spans="1:18" s="1842" customFormat="1" ht="13.5" thickBot="1">
      <c r="A54" s="1194"/>
      <c r="B54" s="1941" t="s">
        <v>1604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1551</v>
      </c>
      <c r="P54" s="1839"/>
      <c r="Q54" s="1839"/>
      <c r="R54" s="1839"/>
    </row>
    <row r="55" spans="1:18" s="1842" customFormat="1" ht="13.5" thickBot="1">
      <c r="A55" s="1333" t="s">
        <v>1075</v>
      </c>
      <c r="B55" s="1827" t="s">
        <v>1414</v>
      </c>
      <c r="C55" s="1334"/>
      <c r="D55" s="1824"/>
      <c r="E55" s="1832"/>
      <c r="F55" s="1907"/>
      <c r="I55" s="1910" t="s">
        <v>1552</v>
      </c>
      <c r="J55" s="1911" t="e">
        <f ca="1">ROUND(IF(J47="钢混",J57/J50,1-(1-2%)*(J50-J57)/J50),3)</f>
        <v>#DIV/0!</v>
      </c>
      <c r="K55" s="1912" t="s">
        <v>1553</v>
      </c>
      <c r="L55" s="1913"/>
      <c r="O55" s="1877" t="s">
        <v>1523</v>
      </c>
      <c r="P55" s="1878" t="s">
        <v>1524</v>
      </c>
      <c r="Q55" s="1879" t="s">
        <v>1525</v>
      </c>
      <c r="R55" s="1879" t="s">
        <v>1526</v>
      </c>
    </row>
    <row r="56" spans="1:18" s="1842" customFormat="1" ht="36" customHeight="1" thickTop="1" thickBot="1">
      <c r="A56" s="1176">
        <v>2</v>
      </c>
      <c r="B56" s="1177" t="s">
        <v>1415</v>
      </c>
      <c r="C56" s="276">
        <f ca="1">C13</f>
        <v>0</v>
      </c>
      <c r="D56" s="1914"/>
      <c r="E56" s="1915"/>
      <c r="F56" s="1907"/>
      <c r="I56" s="1916" t="s">
        <v>1555</v>
      </c>
      <c r="J56" s="1917"/>
      <c r="K56" s="1887" t="s">
        <v>1556</v>
      </c>
      <c r="L56" s="1890">
        <f ca="1">IF(L48&lt;J51,"——",L48-J51)</f>
        <v>0</v>
      </c>
      <c r="O56" s="1884" t="s">
        <v>1040</v>
      </c>
      <c r="P56" s="1885" t="s">
        <v>1529</v>
      </c>
      <c r="Q56" s="1886" t="e">
        <f ca="1">C40+J29</f>
        <v>#DIV/0!</v>
      </c>
      <c r="R56" s="1886" t="s">
        <v>1530</v>
      </c>
    </row>
    <row r="57" spans="1:18" s="1842" customFormat="1" ht="24.75" thickBot="1">
      <c r="A57" s="1918"/>
      <c r="B57" s="1169" t="s">
        <v>1479</v>
      </c>
      <c r="C57" s="282">
        <f ca="1">C29</f>
        <v>0</v>
      </c>
      <c r="D57" s="1919"/>
      <c r="E57" s="1920"/>
      <c r="F57" s="1921"/>
      <c r="I57" s="1922" t="s">
        <v>1557</v>
      </c>
      <c r="J57" s="1923">
        <f ca="1">IF(OR(M47="住宅",J51&lt;L48,J56="是"),"——",J51-L48)</f>
        <v>0</v>
      </c>
      <c r="K57" s="1887" t="s">
        <v>1606</v>
      </c>
      <c r="L57" s="1890">
        <f ca="1">IF(L48&lt;J51,"——",IF(L55="比较法",L49,IF(L55="基准地价",L50,L51)))</f>
        <v>0</v>
      </c>
      <c r="O57" s="1884" t="s">
        <v>1041</v>
      </c>
      <c r="P57" s="1885" t="s">
        <v>1607</v>
      </c>
      <c r="Q57" s="1886" t="e">
        <f ca="1">L60</f>
        <v>#DIV/0!</v>
      </c>
      <c r="R57" s="1886" t="s">
        <v>1608</v>
      </c>
    </row>
    <row r="58" spans="1:18" s="1842" customFormat="1" ht="24.75" thickBot="1">
      <c r="A58" s="360" t="s">
        <v>1030</v>
      </c>
      <c r="B58" s="1177" t="s">
        <v>1425</v>
      </c>
      <c r="C58" s="361">
        <f ca="1">ROUND(C59+C64+C65+C66,0)</f>
        <v>0</v>
      </c>
      <c r="D58" s="1179" t="s">
        <v>1426</v>
      </c>
      <c r="E58" s="1180"/>
      <c r="F58" s="1181"/>
      <c r="I58" s="1922" t="s">
        <v>1561</v>
      </c>
      <c r="J58" s="1924" t="e">
        <f ca="1">IF(J55&lt;0.4,0.4,J55)</f>
        <v>#DIV/0!</v>
      </c>
      <c r="K58" s="1900" t="s">
        <v>1609</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1" t="s">
        <v>1035</v>
      </c>
      <c r="B59" s="1169" t="s">
        <v>1430</v>
      </c>
      <c r="C59" s="24">
        <f ca="1">ROUND(IF(项目基本情况!B11="自然人",C48*F59,C60+C61+C62),0)</f>
        <v>0</v>
      </c>
      <c r="D59" s="1182" t="s">
        <v>1431</v>
      </c>
      <c r="E59" s="1183" t="s">
        <v>1432</v>
      </c>
      <c r="F59" s="368" t="str">
        <f ca="1">IF(项目基本情况!B11="企业","",IF(INDIRECT("'数据-取费表'!c"&amp;$G$1)="住宅",5%,IF(F49*F50*F51/12/(1+'数据-取费表'!C42)&gt;20000,12%,7%)))</f>
        <v/>
      </c>
      <c r="I59" s="1922" t="s">
        <v>1564</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1565</v>
      </c>
      <c r="Q59" s="1897">
        <f>L52</f>
        <v>0</v>
      </c>
      <c r="R59" s="1886"/>
    </row>
    <row r="60" spans="1:18" s="1842" customFormat="1" ht="16.5" thickBot="1">
      <c r="A60" s="1201" t="s">
        <v>1034</v>
      </c>
      <c r="B60" s="1169" t="s">
        <v>1434</v>
      </c>
      <c r="C60" s="24">
        <f ca="1">IF(项目基本情况!B11="自然人","——",ROUND(C48*F60/(1+'数据-取费表'!C42),0))</f>
        <v>0</v>
      </c>
      <c r="D60" s="1183" t="s">
        <v>1435</v>
      </c>
      <c r="E60" s="1169" t="s">
        <v>1423</v>
      </c>
      <c r="F60" s="377">
        <f t="shared" ref="F60:F66" si="0">F32</f>
        <v>5.5000000000000007E-2</v>
      </c>
      <c r="I60" s="1925" t="s">
        <v>1566</v>
      </c>
      <c r="J60" s="1926" t="e">
        <f ca="1">IF(OR(M47="住宅",J51&lt;L48,J56="是"),"0",ROUND(J59/(1+J52)^J53,0))</f>
        <v>#DIV/0!</v>
      </c>
      <c r="K60" s="1927" t="s">
        <v>1567</v>
      </c>
      <c r="L60" s="1926" t="e">
        <f ca="1">IF(OR(M47="住宅",L48&lt;J51),0,ROUND(L57*(L58/L59-1),0))</f>
        <v>#DIV/0!</v>
      </c>
      <c r="O60" s="1894" t="s">
        <v>1044</v>
      </c>
      <c r="P60" s="1885" t="s">
        <v>1568</v>
      </c>
      <c r="Q60" s="1886" t="e">
        <f ca="1">L58</f>
        <v>#DIV/0!</v>
      </c>
      <c r="R60" s="1886" t="s">
        <v>1569</v>
      </c>
    </row>
    <row r="61" spans="1:18" s="1842" customFormat="1" ht="13.5" thickBot="1">
      <c r="A61" s="1201" t="s">
        <v>1493</v>
      </c>
      <c r="B61" s="1169" t="s">
        <v>1494</v>
      </c>
      <c r="C61" s="24">
        <f ca="1">IF(项目基本情况!B11="自然人","——",IF(D61="按租金收入计税",ROUND(C48*F61,0),IF(D61="按房产原值计税",ROUND(C57*F61*0.7,0),INDIRECT("'数据-取费表'!Aj"&amp;$G$1))))</f>
        <v>0</v>
      </c>
      <c r="D61" s="1828" t="s">
        <v>1439</v>
      </c>
      <c r="E61" s="1169" t="s">
        <v>1495</v>
      </c>
      <c r="F61" s="367">
        <f t="shared" si="0"/>
        <v>1.2E-2</v>
      </c>
      <c r="I61" s="1928"/>
      <c r="J61" s="1928"/>
      <c r="K61" s="1928"/>
      <c r="L61" s="1928"/>
      <c r="O61" s="1894" t="s">
        <v>1045</v>
      </c>
      <c r="P61" s="1885" t="str">
        <f>K59</f>
        <v>建设期及建筑物耐用年限下的土地年期修正系数Kn</v>
      </c>
      <c r="Q61" s="1886" t="e">
        <f ca="1">L59</f>
        <v>#DIV/0!</v>
      </c>
      <c r="R61" s="1886" t="s">
        <v>1570</v>
      </c>
    </row>
    <row r="62" spans="1:18" s="1842" customFormat="1" ht="13.5" thickBot="1">
      <c r="A62" s="1201" t="s">
        <v>1496</v>
      </c>
      <c r="B62" s="1168" t="s">
        <v>1497</v>
      </c>
      <c r="C62" s="25">
        <f ca="1">IF(项目基本情况!B11="自然人","——",ROUND(F62*F63,0))</f>
        <v>0</v>
      </c>
      <c r="D62" s="1184" t="s">
        <v>1498</v>
      </c>
      <c r="E62" s="1169" t="s">
        <v>1499</v>
      </c>
      <c r="F62" s="371">
        <f t="shared" si="0"/>
        <v>1.5</v>
      </c>
      <c r="I62" s="1929" t="s">
        <v>1571</v>
      </c>
      <c r="J62" s="1930" t="s">
        <v>1572</v>
      </c>
      <c r="K62" s="1930" t="s">
        <v>1573</v>
      </c>
      <c r="L62" s="1930" t="s">
        <v>1574</v>
      </c>
      <c r="M62" s="1931" t="s">
        <v>1575</v>
      </c>
      <c r="O62" s="1884" t="s">
        <v>1046</v>
      </c>
      <c r="P62" s="1885" t="s">
        <v>1576</v>
      </c>
      <c r="Q62" s="1886" t="e">
        <f ca="1">Q56+Q57</f>
        <v>#DIV/0!</v>
      </c>
      <c r="R62" s="1886" t="s">
        <v>1047</v>
      </c>
    </row>
    <row r="63" spans="1:18" s="1842" customFormat="1" ht="13.5" thickBot="1">
      <c r="A63" s="372"/>
      <c r="B63" s="1175"/>
      <c r="C63" s="29"/>
      <c r="D63" s="1185"/>
      <c r="E63" s="1169" t="s">
        <v>1500</v>
      </c>
      <c r="F63" s="348">
        <f t="shared" ca="1" si="0"/>
        <v>0</v>
      </c>
      <c r="I63" s="1929" t="s">
        <v>1577</v>
      </c>
      <c r="J63" s="1930">
        <v>70</v>
      </c>
      <c r="K63" s="1930">
        <v>50</v>
      </c>
      <c r="L63" s="1930">
        <v>80</v>
      </c>
      <c r="M63" s="1932">
        <v>0.02</v>
      </c>
      <c r="O63" s="1869" t="s">
        <v>1578</v>
      </c>
      <c r="P63" s="1839"/>
      <c r="Q63" s="1839"/>
      <c r="R63" s="1839"/>
    </row>
    <row r="64" spans="1:18" s="1842" customFormat="1" ht="13.5" thickBot="1">
      <c r="A64" s="1201" t="s">
        <v>1501</v>
      </c>
      <c r="B64" s="1169" t="s">
        <v>1502</v>
      </c>
      <c r="C64" s="24">
        <f ca="1">ROUND(C57*F64,0)</f>
        <v>0</v>
      </c>
      <c r="D64" s="1183" t="s">
        <v>1503</v>
      </c>
      <c r="E64" s="1169" t="s">
        <v>1495</v>
      </c>
      <c r="F64" s="374">
        <f t="shared" ca="1" si="0"/>
        <v>0</v>
      </c>
      <c r="I64" s="1929" t="s">
        <v>1579</v>
      </c>
      <c r="J64" s="1930">
        <v>50</v>
      </c>
      <c r="K64" s="1930">
        <v>35</v>
      </c>
      <c r="L64" s="1930">
        <v>60</v>
      </c>
      <c r="M64" s="1931">
        <v>0</v>
      </c>
      <c r="O64" s="1877" t="s">
        <v>1523</v>
      </c>
      <c r="P64" s="1878" t="s">
        <v>1524</v>
      </c>
      <c r="Q64" s="1879" t="s">
        <v>1525</v>
      </c>
      <c r="R64" s="1879" t="s">
        <v>1526</v>
      </c>
    </row>
    <row r="65" spans="1:18" s="1842" customFormat="1" ht="13.5" thickBot="1">
      <c r="A65" s="1201" t="s">
        <v>1504</v>
      </c>
      <c r="B65" s="1169" t="s">
        <v>1454</v>
      </c>
      <c r="C65" s="24">
        <f ca="1">ROUND(C56*F65,0)</f>
        <v>0</v>
      </c>
      <c r="D65" s="1183" t="s">
        <v>1455</v>
      </c>
      <c r="E65" s="1169" t="s">
        <v>1456</v>
      </c>
      <c r="F65" s="376">
        <f t="shared" ca="1" si="0"/>
        <v>0</v>
      </c>
      <c r="I65" s="1929" t="s">
        <v>1580</v>
      </c>
      <c r="J65" s="1930">
        <v>40</v>
      </c>
      <c r="K65" s="1930">
        <v>30</v>
      </c>
      <c r="L65" s="1930">
        <v>50</v>
      </c>
      <c r="M65" s="1932">
        <v>0.02</v>
      </c>
      <c r="O65" s="1884" t="s">
        <v>1040</v>
      </c>
      <c r="P65" s="1885" t="s">
        <v>1581</v>
      </c>
      <c r="Q65" s="1886" t="e">
        <f ca="1">C40+J29</f>
        <v>#DIV/0!</v>
      </c>
      <c r="R65" s="1886" t="s">
        <v>1530</v>
      </c>
    </row>
    <row r="66" spans="1:18" s="1842" customFormat="1" ht="16.5" thickBot="1">
      <c r="A66" s="1201" t="s">
        <v>1505</v>
      </c>
      <c r="B66" s="1169" t="s">
        <v>1440</v>
      </c>
      <c r="C66" s="24">
        <f ca="1">ROUND(C48*F66,0)</f>
        <v>0</v>
      </c>
      <c r="D66" s="1183" t="s">
        <v>1506</v>
      </c>
      <c r="E66" s="1169" t="s">
        <v>1423</v>
      </c>
      <c r="F66" s="357">
        <f t="shared" ca="1" si="0"/>
        <v>0</v>
      </c>
      <c r="O66" s="1884" t="s">
        <v>1041</v>
      </c>
      <c r="P66" s="1885" t="s">
        <v>1559</v>
      </c>
      <c r="Q66" s="1886" t="e">
        <f ca="1">L60</f>
        <v>#DIV/0!</v>
      </c>
      <c r="R66" s="1886" t="s">
        <v>1582</v>
      </c>
    </row>
    <row r="67" spans="1:18" s="1842" customFormat="1" ht="16.5" thickBot="1">
      <c r="A67" s="1176" t="s">
        <v>1031</v>
      </c>
      <c r="B67" s="1186" t="s">
        <v>1464</v>
      </c>
      <c r="C67" s="361">
        <f ca="1">C48-C58</f>
        <v>0</v>
      </c>
      <c r="D67" s="1182" t="s">
        <v>1465</v>
      </c>
      <c r="E67" s="1187"/>
      <c r="F67" s="1188"/>
      <c r="O67" s="1894" t="s">
        <v>1042</v>
      </c>
      <c r="P67" s="1885" t="s">
        <v>1563</v>
      </c>
      <c r="Q67" s="1933">
        <f ca="1">L51</f>
        <v>0</v>
      </c>
      <c r="R67" s="1886" t="s">
        <v>1583</v>
      </c>
    </row>
    <row r="68" spans="1:18" s="1842" customFormat="1" ht="16.5" thickBot="1">
      <c r="A68" s="1166" t="s">
        <v>1032</v>
      </c>
      <c r="B68" s="1167" t="s">
        <v>1486</v>
      </c>
      <c r="C68" s="346" t="e">
        <f ca="1">ROUND(C67*(1-((1+F70)/(1+F68))^F69)/(F68-F70),0)</f>
        <v>#DIV/0!</v>
      </c>
      <c r="D68" s="1184" t="s">
        <v>1470</v>
      </c>
      <c r="E68" s="1169" t="s">
        <v>1471</v>
      </c>
      <c r="F68" s="357">
        <f ca="1">F40</f>
        <v>0</v>
      </c>
      <c r="O68" s="1894" t="s">
        <v>1043</v>
      </c>
      <c r="P68" s="1934" t="s">
        <v>1584</v>
      </c>
      <c r="Q68" s="1886">
        <f ca="1">ROUND(Q69-Q70*Q71,0)</f>
        <v>0</v>
      </c>
      <c r="R68" s="1886" t="s">
        <v>1051</v>
      </c>
    </row>
    <row r="69" spans="1:18" s="1842" customFormat="1" ht="13.5" thickBot="1">
      <c r="A69" s="1170"/>
      <c r="B69" s="1171"/>
      <c r="C69" s="351"/>
      <c r="D69" s="1189" t="s">
        <v>1474</v>
      </c>
      <c r="E69" s="1169" t="s">
        <v>1475</v>
      </c>
      <c r="F69" s="379">
        <f ca="1">F41</f>
        <v>0</v>
      </c>
      <c r="O69" s="1894" t="s">
        <v>1048</v>
      </c>
      <c r="P69" s="1934" t="s">
        <v>1585</v>
      </c>
      <c r="Q69" s="1886">
        <f ca="1">C39</f>
        <v>0</v>
      </c>
      <c r="R69" s="1886" t="s">
        <v>1530</v>
      </c>
    </row>
    <row r="70" spans="1:18" s="1842" customFormat="1" ht="13.5" thickBot="1">
      <c r="A70" s="1173"/>
      <c r="B70" s="1174"/>
      <c r="C70" s="355"/>
      <c r="D70" s="1185"/>
      <c r="E70" s="1169" t="s">
        <v>1478</v>
      </c>
      <c r="F70" s="1275">
        <f ca="1">F42</f>
        <v>0</v>
      </c>
      <c r="O70" s="1894" t="s">
        <v>1049</v>
      </c>
      <c r="P70" s="1934" t="s">
        <v>1586</v>
      </c>
      <c r="Q70" s="1886">
        <f ca="1">C13</f>
        <v>0</v>
      </c>
      <c r="R70" s="1886" t="s">
        <v>1530</v>
      </c>
    </row>
    <row r="71" spans="1:18" s="1842" customFormat="1" ht="13.5" thickBot="1">
      <c r="A71" s="1190" t="s">
        <v>1033</v>
      </c>
      <c r="B71" s="1191" t="s">
        <v>1488</v>
      </c>
      <c r="C71" s="382" t="e">
        <f ca="1">ROUND(C68/F71,0)</f>
        <v>#DIV/0!</v>
      </c>
      <c r="D71" s="1192" t="s">
        <v>1489</v>
      </c>
      <c r="E71" s="1193" t="s">
        <v>1490</v>
      </c>
      <c r="F71" s="385">
        <f ca="1">F43</f>
        <v>0</v>
      </c>
      <c r="O71" s="1894" t="s">
        <v>1050</v>
      </c>
      <c r="P71" s="1934" t="s">
        <v>1587</v>
      </c>
      <c r="Q71" s="1897">
        <f ca="1">C76</f>
        <v>0</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建设期及建筑物耐用年限下的土地年期修正系数Kn</v>
      </c>
      <c r="Q74" s="1886" t="e">
        <f ca="1">L59</f>
        <v>#DIV/0!</v>
      </c>
      <c r="R74" s="1886" t="s">
        <v>1570</v>
      </c>
    </row>
    <row r="75" spans="1:18" ht="13.5" thickBot="1">
      <c r="A75" s="1842"/>
      <c r="B75" s="386" t="s">
        <v>1507</v>
      </c>
      <c r="C75" s="387">
        <f ca="1">ROUND(C13*C76,0)</f>
        <v>0</v>
      </c>
      <c r="D75" s="1842"/>
      <c r="E75" s="1842"/>
      <c r="F75" s="1842"/>
      <c r="K75" s="1868"/>
      <c r="L75" s="1842"/>
      <c r="O75" s="1884" t="s">
        <v>1046</v>
      </c>
      <c r="P75" s="1885" t="s">
        <v>1550</v>
      </c>
      <c r="Q75" s="1886" t="e">
        <f ca="1">Q65+Q66</f>
        <v>#DIV/0!</v>
      </c>
      <c r="R75" s="1886" t="s">
        <v>1047</v>
      </c>
    </row>
    <row r="76" spans="1:18">
      <c r="B76" s="388" t="s">
        <v>1508</v>
      </c>
      <c r="C76" s="389">
        <f ca="1">INDIRECT("'数据-取费表'!j"&amp;$G$1)</f>
        <v>0</v>
      </c>
      <c r="I76" s="1842"/>
      <c r="J76" s="1842"/>
      <c r="K76" s="1868"/>
      <c r="L76" s="1842"/>
    </row>
    <row r="77" spans="1:18">
      <c r="B77" s="390" t="s">
        <v>1509</v>
      </c>
      <c r="C77" s="391"/>
      <c r="I77" s="1842"/>
      <c r="J77" s="1842"/>
      <c r="K77" s="1868"/>
      <c r="L77" s="1842"/>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7" t="s">
        <v>2522</v>
      </c>
      <c r="B1" s="2558"/>
      <c r="C1" s="2558"/>
      <c r="D1" s="2558"/>
      <c r="E1" s="2559"/>
    </row>
    <row r="2" spans="1:6" ht="15.75">
      <c r="A2" s="2560" t="s">
        <v>2326</v>
      </c>
      <c r="B2" s="2561">
        <f ca="1">SUMIF(B6:B13,"&lt;&gt;#ref!",B6:B13)</f>
        <v>37730</v>
      </c>
      <c r="C2" s="2562" t="s">
        <v>2515</v>
      </c>
      <c r="D2" s="2563" t="s">
        <v>2516</v>
      </c>
      <c r="E2" s="2564">
        <f>SUM(E6:E13)</f>
        <v>43149.45</v>
      </c>
    </row>
    <row r="3" spans="1:6" ht="15.75">
      <c r="A3" s="2560" t="s">
        <v>1395</v>
      </c>
      <c r="B3" s="2561">
        <f ca="1">ROUND(B2*10000/E2,0)</f>
        <v>8744</v>
      </c>
      <c r="C3" s="2562" t="s">
        <v>2523</v>
      </c>
      <c r="D3" s="2565"/>
      <c r="E3" s="2566"/>
    </row>
    <row r="4" spans="1:6" ht="15.75">
      <c r="A4" s="2567"/>
      <c r="B4" s="2565"/>
      <c r="C4" s="2565"/>
      <c r="D4" s="2565"/>
      <c r="E4" s="2566"/>
    </row>
    <row r="5" spans="1:6" ht="15">
      <c r="A5" s="2568" t="s">
        <v>2517</v>
      </c>
      <c r="B5" s="3253" t="s">
        <v>2518</v>
      </c>
      <c r="C5" s="3253"/>
      <c r="D5" s="2569"/>
      <c r="E5" s="2570" t="s">
        <v>2519</v>
      </c>
      <c r="F5" s="2571" t="s">
        <v>2520</v>
      </c>
    </row>
    <row r="6" spans="1:6">
      <c r="A6" s="2572">
        <f>'数据-取费表'!AN6</f>
        <v>0</v>
      </c>
      <c r="B6" s="2571" t="e">
        <f ca="1">IF(F6="是",'数据-取费表'!AO6,0)</f>
        <v>#REF!</v>
      </c>
      <c r="C6" s="2562" t="s">
        <v>2515</v>
      </c>
      <c r="D6" s="2565"/>
      <c r="E6" s="2573">
        <f>IF(OR(A6=0,F6="否"),0,'数据-取费表'!K6+'数据-取费表'!S6)</f>
        <v>0</v>
      </c>
      <c r="F6" s="2574" t="s">
        <v>2521</v>
      </c>
    </row>
    <row r="7" spans="1:6">
      <c r="A7" s="2572">
        <f>'数据-取费表'!AN7</f>
        <v>0</v>
      </c>
      <c r="B7" s="2571" t="e">
        <f ca="1">IF(F7="是",'数据-取费表'!AO7,0)</f>
        <v>#REF!</v>
      </c>
      <c r="C7" s="2562" t="s">
        <v>2515</v>
      </c>
      <c r="D7" s="2565"/>
      <c r="E7" s="2573">
        <f>IF(OR(A7=0,F7="否"),0,'数据-取费表'!K7+'数据-取费表'!S7)</f>
        <v>0</v>
      </c>
      <c r="F7" s="2574" t="s">
        <v>2521</v>
      </c>
    </row>
    <row r="8" spans="1:6">
      <c r="A8" s="2572">
        <f>'数据-取费表'!AN8</f>
        <v>0</v>
      </c>
      <c r="B8" s="2571" t="e">
        <f ca="1">IF(F8="是",'数据-取费表'!AO8,0)</f>
        <v>#REF!</v>
      </c>
      <c r="C8" s="2562" t="s">
        <v>2515</v>
      </c>
      <c r="D8" s="2565"/>
      <c r="E8" s="2573">
        <f>IF(OR(A8=0,F8="否"),0,'数据-取费表'!K8+'数据-取费表'!S8)</f>
        <v>0</v>
      </c>
      <c r="F8" s="2574" t="s">
        <v>2521</v>
      </c>
    </row>
    <row r="9" spans="1:6">
      <c r="A9" s="2572" t="str">
        <f>'数据-取费表'!AN9</f>
        <v>收益法（仓储）</v>
      </c>
      <c r="B9" s="2571">
        <f ca="1">IF(F9="是",'数据-取费表'!AO9,0)</f>
        <v>12249</v>
      </c>
      <c r="C9" s="2562" t="s">
        <v>2515</v>
      </c>
      <c r="D9" s="2565"/>
      <c r="E9" s="2573">
        <f>IF(OR(A9=0,F9="否"),0,'数据-取费表'!K9+'数据-取费表'!S9)</f>
        <v>14874.939999999999</v>
      </c>
      <c r="F9" s="2574" t="s">
        <v>2521</v>
      </c>
    </row>
    <row r="10" spans="1:6">
      <c r="A10" s="2572" t="str">
        <f>'数据-取费表'!AN10</f>
        <v>收益法（车库）</v>
      </c>
      <c r="B10" s="2571">
        <f ca="1">IF(F10="是",'数据-取费表'!AO10,0)</f>
        <v>25481</v>
      </c>
      <c r="C10" s="2562" t="s">
        <v>2515</v>
      </c>
      <c r="D10" s="2565"/>
      <c r="E10" s="2573">
        <f>IF(OR(A10=0,F10="否"),0,'数据-取费表'!K10+'数据-取费表'!S10)</f>
        <v>28274.51</v>
      </c>
      <c r="F10" s="2574" t="s">
        <v>2521</v>
      </c>
    </row>
    <row r="11" spans="1:6">
      <c r="A11" s="2572">
        <f>'数据-取费表'!AN11</f>
        <v>0</v>
      </c>
      <c r="B11" s="2571" t="e">
        <f ca="1">IF(F11="是",'数据-取费表'!AO11,0)</f>
        <v>#REF!</v>
      </c>
      <c r="C11" s="2562" t="s">
        <v>2515</v>
      </c>
      <c r="D11" s="2565"/>
      <c r="E11" s="2573">
        <f>IF(OR(A11=0,F11="否"),0,'数据-取费表'!K11+'数据-取费表'!S11)</f>
        <v>0</v>
      </c>
      <c r="F11" s="2574" t="s">
        <v>2521</v>
      </c>
    </row>
    <row r="12" spans="1:6">
      <c r="A12" s="2572">
        <f>'数据-取费表'!AN12</f>
        <v>0</v>
      </c>
      <c r="B12" s="2571" t="e">
        <f ca="1">IF(F12="是",'数据-取费表'!AO12,0)</f>
        <v>#REF!</v>
      </c>
      <c r="C12" s="2562" t="s">
        <v>2515</v>
      </c>
      <c r="D12" s="2565"/>
      <c r="E12" s="2573">
        <f>IF(OR(A12=0,F12="否"),0,'数据-取费表'!K12+'数据-取费表'!S12)</f>
        <v>0</v>
      </c>
      <c r="F12" s="2574" t="s">
        <v>2521</v>
      </c>
    </row>
    <row r="13" spans="1:6" ht="15" thickBot="1">
      <c r="A13" s="2575">
        <f>'数据-取费表'!AN13</f>
        <v>0</v>
      </c>
      <c r="B13" s="2571" t="e">
        <f ca="1">IF(F13="是",'数据-取费表'!AO13,0)</f>
        <v>#REF!</v>
      </c>
      <c r="C13" s="2576" t="s">
        <v>2515</v>
      </c>
      <c r="D13" s="2577"/>
      <c r="E13" s="2573">
        <f>IF(OR(A13=0,F13="否"),0,'数据-取费表'!K13+'数据-取费表'!S13)</f>
        <v>0</v>
      </c>
      <c r="F13" s="2574"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4" t="s">
        <v>1076</v>
      </c>
      <c r="B1" s="3255"/>
      <c r="C1" s="3256"/>
      <c r="D1" s="3257">
        <f>SUM(I10,I15,I20,I21,I23)</f>
        <v>0</v>
      </c>
      <c r="E1" s="3257"/>
      <c r="F1" s="3257"/>
      <c r="G1" s="3257"/>
      <c r="H1" s="3257"/>
      <c r="I1" s="3258"/>
    </row>
    <row r="2" spans="1:9">
      <c r="A2" s="3259" t="s">
        <v>1077</v>
      </c>
      <c r="B2" s="3260" t="s">
        <v>1078</v>
      </c>
      <c r="C2" s="3260"/>
      <c r="D2" s="1301" t="s">
        <v>1079</v>
      </c>
      <c r="E2" s="1301" t="s">
        <v>1080</v>
      </c>
      <c r="F2" s="1301" t="s">
        <v>1081</v>
      </c>
      <c r="G2" s="1301" t="s">
        <v>1082</v>
      </c>
      <c r="H2" s="1301" t="s">
        <v>1083</v>
      </c>
      <c r="I2" s="1302" t="s">
        <v>1084</v>
      </c>
    </row>
    <row r="3" spans="1:9">
      <c r="A3" s="3259"/>
      <c r="B3" s="3260" t="s">
        <v>1085</v>
      </c>
      <c r="C3" s="3260"/>
      <c r="D3" s="1303"/>
      <c r="E3" s="1301"/>
      <c r="F3" s="1304"/>
      <c r="G3" s="1304"/>
      <c r="H3" s="1305"/>
      <c r="I3" s="1306">
        <f>ROUND(D3*E3*F3*G3*H3/10000,0)</f>
        <v>0</v>
      </c>
    </row>
    <row r="4" spans="1:9">
      <c r="A4" s="3259"/>
      <c r="B4" s="3260" t="s">
        <v>1086</v>
      </c>
      <c r="C4" s="3260"/>
      <c r="D4" s="1303"/>
      <c r="E4" s="1301"/>
      <c r="F4" s="1304"/>
      <c r="G4" s="1304"/>
      <c r="H4" s="1305"/>
      <c r="I4" s="1306">
        <f t="shared" ref="I4:I9" si="0">ROUND(D4*E4*F4*G4*H4/10000,0)</f>
        <v>0</v>
      </c>
    </row>
    <row r="5" spans="1:9">
      <c r="A5" s="3259"/>
      <c r="B5" s="3260" t="s">
        <v>1087</v>
      </c>
      <c r="C5" s="3260"/>
      <c r="D5" s="1303"/>
      <c r="E5" s="1301"/>
      <c r="F5" s="1304"/>
      <c r="G5" s="1304"/>
      <c r="H5" s="1305"/>
      <c r="I5" s="1306">
        <f t="shared" si="0"/>
        <v>0</v>
      </c>
    </row>
    <row r="6" spans="1:9">
      <c r="A6" s="3259"/>
      <c r="B6" s="3260" t="s">
        <v>1088</v>
      </c>
      <c r="C6" s="3260"/>
      <c r="D6" s="1303"/>
      <c r="E6" s="1301"/>
      <c r="F6" s="1304"/>
      <c r="G6" s="1304"/>
      <c r="H6" s="1305"/>
      <c r="I6" s="1306">
        <f t="shared" si="0"/>
        <v>0</v>
      </c>
    </row>
    <row r="7" spans="1:9">
      <c r="A7" s="3259"/>
      <c r="B7" s="3260" t="s">
        <v>1089</v>
      </c>
      <c r="C7" s="3260"/>
      <c r="D7" s="1303"/>
      <c r="E7" s="1301"/>
      <c r="F7" s="1304"/>
      <c r="G7" s="1304"/>
      <c r="H7" s="1305"/>
      <c r="I7" s="1306">
        <f t="shared" si="0"/>
        <v>0</v>
      </c>
    </row>
    <row r="8" spans="1:9">
      <c r="A8" s="3259"/>
      <c r="B8" s="3260" t="s">
        <v>1090</v>
      </c>
      <c r="C8" s="3260"/>
      <c r="D8" s="1303"/>
      <c r="E8" s="1301"/>
      <c r="F8" s="1304"/>
      <c r="G8" s="1304"/>
      <c r="H8" s="1305"/>
      <c r="I8" s="1306">
        <f t="shared" si="0"/>
        <v>0</v>
      </c>
    </row>
    <row r="9" spans="1:9">
      <c r="A9" s="3259"/>
      <c r="B9" s="3260" t="s">
        <v>1091</v>
      </c>
      <c r="C9" s="3260"/>
      <c r="D9" s="1303"/>
      <c r="E9" s="1301"/>
      <c r="F9" s="1304"/>
      <c r="G9" s="1304"/>
      <c r="H9" s="1305"/>
      <c r="I9" s="1306">
        <f t="shared" si="0"/>
        <v>0</v>
      </c>
    </row>
    <row r="10" spans="1:9">
      <c r="A10" s="3259"/>
      <c r="B10" s="3261" t="s">
        <v>1092</v>
      </c>
      <c r="C10" s="3261"/>
      <c r="D10" s="1307"/>
      <c r="E10" s="1307" t="e">
        <f>ROUND(D1*10000/D10/H9,0)</f>
        <v>#DIV/0!</v>
      </c>
      <c r="F10" s="1308"/>
      <c r="G10" s="1308"/>
      <c r="H10" s="1309"/>
      <c r="I10" s="1310">
        <f>SUM(I3:I9)</f>
        <v>0</v>
      </c>
    </row>
    <row r="11" spans="1:9" ht="14.25">
      <c r="A11" s="3259" t="s">
        <v>1093</v>
      </c>
      <c r="B11" s="3260" t="s">
        <v>1094</v>
      </c>
      <c r="C11" s="3260"/>
      <c r="D11" s="1303" t="s">
        <v>1095</v>
      </c>
      <c r="E11" s="1303" t="s">
        <v>1096</v>
      </c>
      <c r="F11" s="1304" t="s">
        <v>1097</v>
      </c>
      <c r="G11" s="1304" t="s">
        <v>1083</v>
      </c>
      <c r="H11" s="1311" t="s">
        <v>1098</v>
      </c>
      <c r="I11" s="1302" t="s">
        <v>1084</v>
      </c>
    </row>
    <row r="12" spans="1:9">
      <c r="A12" s="3259"/>
      <c r="B12" s="3260" t="s">
        <v>1099</v>
      </c>
      <c r="C12" s="3260"/>
      <c r="D12" s="1303"/>
      <c r="E12" s="1303"/>
      <c r="F12" s="1304"/>
      <c r="G12" s="1305"/>
      <c r="H12" s="1312"/>
      <c r="I12" s="1302">
        <f>ROUND(D12*E12*F12*G12/10000,0)</f>
        <v>0</v>
      </c>
    </row>
    <row r="13" spans="1:9">
      <c r="A13" s="3259"/>
      <c r="B13" s="3260" t="s">
        <v>1100</v>
      </c>
      <c r="C13" s="3260"/>
      <c r="D13" s="1303"/>
      <c r="E13" s="1303"/>
      <c r="F13" s="1304"/>
      <c r="G13" s="1305"/>
      <c r="H13" s="1312"/>
      <c r="I13" s="1302">
        <f>ROUND(D13*E13*F13*G13/10000,0)</f>
        <v>0</v>
      </c>
    </row>
    <row r="14" spans="1:9">
      <c r="A14" s="3259"/>
      <c r="B14" s="3260" t="s">
        <v>1101</v>
      </c>
      <c r="C14" s="3260"/>
      <c r="D14" s="1303"/>
      <c r="E14" s="1303"/>
      <c r="F14" s="1304"/>
      <c r="G14" s="1305"/>
      <c r="H14" s="1312"/>
      <c r="I14" s="1302">
        <f>ROUND(D14*E14*F14*G14/10000,0)</f>
        <v>0</v>
      </c>
    </row>
    <row r="15" spans="1:9">
      <c r="A15" s="3259"/>
      <c r="B15" s="3261" t="s">
        <v>1092</v>
      </c>
      <c r="C15" s="3261"/>
      <c r="D15" s="1307"/>
      <c r="E15" s="1307">
        <f>SUM(E12:E14)</f>
        <v>0</v>
      </c>
      <c r="F15" s="1308"/>
      <c r="G15" s="1305"/>
      <c r="H15" s="1312"/>
      <c r="I15" s="1313">
        <f>SUM(I12:I14)</f>
        <v>0</v>
      </c>
    </row>
    <row r="16" spans="1:9" ht="24">
      <c r="A16" s="3259" t="s">
        <v>1102</v>
      </c>
      <c r="B16" s="3260" t="s">
        <v>1103</v>
      </c>
      <c r="C16" s="3260"/>
      <c r="D16" s="1303" t="s">
        <v>1079</v>
      </c>
      <c r="E16" s="1314" t="s">
        <v>1104</v>
      </c>
      <c r="F16" s="1304" t="s">
        <v>1105</v>
      </c>
      <c r="G16" s="1305" t="s">
        <v>1083</v>
      </c>
      <c r="H16" s="1311" t="s">
        <v>1098</v>
      </c>
      <c r="I16" s="1302" t="s">
        <v>1084</v>
      </c>
    </row>
    <row r="17" spans="1:9" ht="14.25">
      <c r="A17" s="3259"/>
      <c r="B17" s="3260" t="s">
        <v>1106</v>
      </c>
      <c r="C17" s="3260"/>
      <c r="D17" s="1303"/>
      <c r="E17" s="1303"/>
      <c r="F17" s="1304"/>
      <c r="G17" s="1305"/>
      <c r="H17" s="1315"/>
      <c r="I17" s="1316">
        <f>ROUND(D17*E17*F17*G17/10000,0)</f>
        <v>0</v>
      </c>
    </row>
    <row r="18" spans="1:9" ht="14.25">
      <c r="A18" s="3259"/>
      <c r="B18" s="3260" t="s">
        <v>1107</v>
      </c>
      <c r="C18" s="3260"/>
      <c r="D18" s="1303"/>
      <c r="E18" s="1303"/>
      <c r="F18" s="1304"/>
      <c r="G18" s="1305"/>
      <c r="H18" s="1315"/>
      <c r="I18" s="1316">
        <f>ROUND(D18*E18*F18*G18/10000,0)</f>
        <v>0</v>
      </c>
    </row>
    <row r="19" spans="1:9" ht="14.25">
      <c r="A19" s="3259"/>
      <c r="B19" s="3260" t="s">
        <v>1108</v>
      </c>
      <c r="C19" s="3260"/>
      <c r="D19" s="1303"/>
      <c r="E19" s="1303"/>
      <c r="F19" s="1304"/>
      <c r="G19" s="1305"/>
      <c r="H19" s="1315"/>
      <c r="I19" s="1316">
        <f>ROUND(D19*E19*F19*G19/10000,0)</f>
        <v>0</v>
      </c>
    </row>
    <row r="20" spans="1:9">
      <c r="A20" s="3259"/>
      <c r="B20" s="3261" t="s">
        <v>1092</v>
      </c>
      <c r="C20" s="3261"/>
      <c r="D20" s="1307">
        <f>SUM(D17:D19)</f>
        <v>0</v>
      </c>
      <c r="E20" s="1307"/>
      <c r="F20" s="1308"/>
      <c r="G20" s="1305"/>
      <c r="H20" s="1312"/>
      <c r="I20" s="1313">
        <f>SUM(I17:I19)</f>
        <v>0</v>
      </c>
    </row>
    <row r="21" spans="1:9">
      <c r="A21" s="3259" t="s">
        <v>1109</v>
      </c>
      <c r="B21" s="3263"/>
      <c r="C21" s="3263"/>
      <c r="D21" s="3263"/>
      <c r="E21" s="3263"/>
      <c r="F21" s="3263"/>
      <c r="G21" s="3263"/>
      <c r="H21" s="1765">
        <v>0.1</v>
      </c>
      <c r="I21" s="1310">
        <f>ROUND(I10*H21,0)</f>
        <v>0</v>
      </c>
    </row>
    <row r="22" spans="1:9" ht="14.25">
      <c r="A22" s="3264" t="s">
        <v>1110</v>
      </c>
      <c r="B22" s="3265"/>
      <c r="C22" s="3266"/>
      <c r="D22" s="1317" t="s">
        <v>1111</v>
      </c>
      <c r="E22" s="1317" t="s">
        <v>1112</v>
      </c>
      <c r="F22" s="1318" t="s">
        <v>1113</v>
      </c>
      <c r="G22" s="1318" t="s">
        <v>1114</v>
      </c>
      <c r="H22" s="1311" t="s">
        <v>1115</v>
      </c>
      <c r="I22" s="1302" t="s">
        <v>1116</v>
      </c>
    </row>
    <row r="23" spans="1:9" ht="14.25" thickBot="1">
      <c r="A23" s="3267"/>
      <c r="B23" s="3268"/>
      <c r="C23" s="3269"/>
      <c r="D23" s="1319"/>
      <c r="E23" s="1319"/>
      <c r="F23" s="1319"/>
      <c r="G23" s="1320"/>
      <c r="H23" s="1321"/>
      <c r="I23" s="1322">
        <f>ROUND(E23*D23*F23*(1-G23)/10000,0)</f>
        <v>0</v>
      </c>
    </row>
    <row r="26" spans="1:9">
      <c r="A26" s="1323" t="s">
        <v>1117</v>
      </c>
      <c r="B26" s="1323"/>
      <c r="C26" s="1323"/>
      <c r="D26" s="1323"/>
      <c r="E26" s="3270">
        <f>C27-C30-C31-C32</f>
        <v>0</v>
      </c>
      <c r="F26" s="3270"/>
      <c r="G26" s="3270"/>
      <c r="H26" s="1737" t="s">
        <v>1340</v>
      </c>
    </row>
    <row r="27" spans="1:9">
      <c r="A27" s="1324">
        <v>1</v>
      </c>
      <c r="B27" s="1325" t="s">
        <v>1118</v>
      </c>
      <c r="C27" s="1325">
        <f>C28+C29</f>
        <v>0</v>
      </c>
      <c r="D27" s="1325"/>
      <c r="E27" s="3271"/>
      <c r="F27" s="3271"/>
      <c r="G27" s="3271"/>
    </row>
    <row r="28" spans="1:9">
      <c r="A28" s="1326" t="s">
        <v>1119</v>
      </c>
      <c r="B28" s="1325" t="s">
        <v>1120</v>
      </c>
      <c r="C28" s="1325"/>
      <c r="D28" s="1325"/>
      <c r="E28" s="3271"/>
      <c r="F28" s="3271"/>
      <c r="G28" s="3271"/>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62"/>
      <c r="F32" s="3262"/>
      <c r="G32" s="3262"/>
    </row>
    <row r="33" spans="1:7" hidden="1">
      <c r="A33" s="3272" t="s">
        <v>1129</v>
      </c>
      <c r="B33" s="3273"/>
      <c r="C33" s="3273"/>
      <c r="D33" s="3274"/>
      <c r="E33" s="3270"/>
      <c r="F33" s="3270"/>
      <c r="G33" s="3270"/>
    </row>
    <row r="34" spans="1:7" hidden="1">
      <c r="A34" s="1328">
        <v>1</v>
      </c>
      <c r="B34" s="1325" t="s">
        <v>1130</v>
      </c>
      <c r="C34" s="1325"/>
      <c r="D34" s="1325"/>
      <c r="E34" s="3271"/>
      <c r="F34" s="3271"/>
      <c r="G34" s="3271"/>
    </row>
    <row r="35" spans="1:7" hidden="1">
      <c r="A35" s="1328">
        <v>2</v>
      </c>
      <c r="B35" s="1325" t="s">
        <v>1131</v>
      </c>
      <c r="C35" s="1325"/>
      <c r="D35" s="1325"/>
      <c r="E35" s="3271"/>
      <c r="F35" s="3271"/>
      <c r="G35" s="3271"/>
    </row>
    <row r="36" spans="1:7" hidden="1">
      <c r="A36" s="1328">
        <v>3</v>
      </c>
      <c r="B36" s="1325" t="s">
        <v>1132</v>
      </c>
      <c r="C36" s="1325"/>
      <c r="D36" s="1325"/>
      <c r="E36" s="3271"/>
      <c r="F36" s="3271"/>
      <c r="G36" s="3271"/>
    </row>
    <row r="37" spans="1:7" hidden="1">
      <c r="A37" s="1328">
        <v>4</v>
      </c>
      <c r="B37" s="1325" t="s">
        <v>1133</v>
      </c>
      <c r="C37" s="1325"/>
      <c r="D37" s="1325"/>
      <c r="E37" s="3271"/>
      <c r="F37" s="3271"/>
      <c r="G37" s="3271"/>
    </row>
    <row r="38" spans="1:7" hidden="1">
      <c r="A38" s="3272" t="s">
        <v>1134</v>
      </c>
      <c r="B38" s="3273"/>
      <c r="C38" s="3273"/>
      <c r="D38" s="3274"/>
      <c r="E38" s="3270"/>
      <c r="F38" s="3270"/>
      <c r="G38" s="32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78" t="s">
        <v>2525</v>
      </c>
      <c r="C1" s="1634" t="s">
        <v>2526</v>
      </c>
      <c r="D1" s="1621"/>
      <c r="E1" s="2579"/>
      <c r="F1" s="2580" t="s">
        <v>2527</v>
      </c>
      <c r="G1" s="1631" t="s">
        <v>2528</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2"/>
      <c r="D2" s="1365" t="e">
        <f ca="1">SUMIF(INDIRECT("'"&amp;F2&amp;"'"&amp;"!A:A"),"承租人权益价值",INDIRECT("'"&amp;F2&amp;"'"&amp;"!c:c"))</f>
        <v>#REF!</v>
      </c>
      <c r="E2" s="2583" t="s">
        <v>2529</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t="e">
        <f ca="1">IF(C2="——",C49,ROUND(B2*10000/D3,0))</f>
        <v>#DIV/0!</v>
      </c>
      <c r="C3" s="400" t="s">
        <v>2530</v>
      </c>
      <c r="D3" s="399">
        <f>IF(D1="",'数据-汇总表'!E3,SUMIF('数据-汇总表'!$C19:$C33,D1,'数据-汇总表'!$E19:$E33))</f>
        <v>85215.679999999964</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2531</v>
      </c>
      <c r="B4" s="402"/>
      <c r="C4" s="3193" t="s">
        <v>2532</v>
      </c>
      <c r="D4" s="3194"/>
      <c r="E4" s="3195" t="s">
        <v>2533</v>
      </c>
      <c r="F4" s="3196"/>
      <c r="G4" s="3193" t="s">
        <v>2534</v>
      </c>
      <c r="H4" s="3194"/>
      <c r="I4" s="3193" t="s">
        <v>2535</v>
      </c>
      <c r="J4" s="3194"/>
      <c r="K4" s="2592" t="s">
        <v>2536</v>
      </c>
      <c r="L4" s="1130"/>
      <c r="M4" s="1131"/>
      <c r="N4" s="1131"/>
      <c r="O4" s="1131"/>
      <c r="P4" s="3197" t="s">
        <v>2537</v>
      </c>
      <c r="Q4" s="3198"/>
      <c r="R4" s="3180" t="s">
        <v>2533</v>
      </c>
      <c r="S4" s="3181"/>
      <c r="T4" s="3180" t="s">
        <v>2534</v>
      </c>
      <c r="U4" s="3181"/>
      <c r="V4" s="3205" t="s">
        <v>2535</v>
      </c>
      <c r="W4" s="3205"/>
      <c r="X4" s="1813"/>
      <c r="Y4" s="3180" t="s">
        <v>2537</v>
      </c>
      <c r="Z4" s="3181"/>
      <c r="AA4" s="3175" t="s">
        <v>2533</v>
      </c>
      <c r="AB4" s="3175" t="s">
        <v>2534</v>
      </c>
      <c r="AC4" s="3175" t="s">
        <v>2535</v>
      </c>
    </row>
    <row r="5" spans="1:29" ht="15">
      <c r="A5" s="404"/>
      <c r="B5" s="405"/>
      <c r="C5" s="3276" t="s">
        <v>2538</v>
      </c>
      <c r="D5" s="3187"/>
      <c r="E5" s="3275" t="s">
        <v>2539</v>
      </c>
      <c r="F5" s="3185"/>
      <c r="G5" s="3276" t="s">
        <v>2540</v>
      </c>
      <c r="H5" s="3187"/>
      <c r="I5" s="3276" t="s">
        <v>2541</v>
      </c>
      <c r="J5" s="3187"/>
      <c r="K5" s="2593"/>
      <c r="L5" s="1130"/>
      <c r="M5" s="1131"/>
      <c r="N5" s="1131"/>
      <c r="O5" s="1131"/>
      <c r="P5" s="3199"/>
      <c r="Q5" s="3200"/>
      <c r="R5" s="3182"/>
      <c r="S5" s="3183"/>
      <c r="T5" s="3182"/>
      <c r="U5" s="3183"/>
      <c r="V5" s="3205"/>
      <c r="W5" s="3205"/>
      <c r="X5" s="1813"/>
      <c r="Y5" s="3182"/>
      <c r="Z5" s="3183"/>
      <c r="AA5" s="3176"/>
      <c r="AB5" s="3176"/>
      <c r="AC5" s="3176"/>
    </row>
    <row r="6" spans="1:29" ht="15.75" thickBot="1">
      <c r="A6" s="406"/>
      <c r="B6" s="407"/>
      <c r="C6" s="3277" t="s">
        <v>2542</v>
      </c>
      <c r="D6" s="3189"/>
      <c r="E6" s="3278" t="s">
        <v>2542</v>
      </c>
      <c r="F6" s="3191"/>
      <c r="G6" s="3277" t="s">
        <v>2542</v>
      </c>
      <c r="H6" s="3189"/>
      <c r="I6" s="3277" t="s">
        <v>2542</v>
      </c>
      <c r="J6" s="3189"/>
      <c r="K6" s="2593" t="s">
        <v>2543</v>
      </c>
      <c r="L6" s="1130"/>
      <c r="M6" s="1131"/>
      <c r="N6" s="1131"/>
      <c r="O6" s="1131"/>
      <c r="P6" s="3201"/>
      <c r="Q6" s="3202"/>
      <c r="R6" s="3182"/>
      <c r="S6" s="3183"/>
      <c r="T6" s="3203"/>
      <c r="U6" s="3204"/>
      <c r="V6" s="3205"/>
      <c r="W6" s="3205"/>
      <c r="X6" s="1813"/>
      <c r="Y6" s="3203"/>
      <c r="Z6" s="3204"/>
      <c r="AA6" s="3177"/>
      <c r="AB6" s="3177"/>
      <c r="AC6" s="3177"/>
    </row>
    <row r="7" spans="1:29" s="117" customFormat="1" ht="15.75" thickBot="1">
      <c r="A7" s="408" t="s">
        <v>2544</v>
      </c>
      <c r="B7" s="409"/>
      <c r="C7" s="410">
        <f>'数据-取费表'!B2</f>
        <v>43111</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178" t="s">
        <v>2545</v>
      </c>
      <c r="Q7" s="3206"/>
      <c r="R7" s="770" t="s">
        <v>23</v>
      </c>
      <c r="S7" s="771">
        <f t="shared" ref="S7:S15" si="0">F7</f>
        <v>0</v>
      </c>
      <c r="T7" s="770" t="s">
        <v>23</v>
      </c>
      <c r="U7" s="771">
        <f t="shared" ref="U7:U15" si="1">H7</f>
        <v>0</v>
      </c>
      <c r="V7" s="770" t="s">
        <v>23</v>
      </c>
      <c r="W7" s="771">
        <f t="shared" ref="W7:W15" si="2">J7</f>
        <v>0</v>
      </c>
      <c r="X7" s="772"/>
      <c r="Y7" s="3178" t="s">
        <v>2545</v>
      </c>
      <c r="Z7" s="3179"/>
      <c r="AA7" s="773" t="e">
        <f>D7/F7</f>
        <v>#DIV/0!</v>
      </c>
      <c r="AB7" s="773" t="e">
        <f>D7/H7</f>
        <v>#DIV/0!</v>
      </c>
      <c r="AC7" s="773" t="e">
        <f>D7/J7</f>
        <v>#DIV/0!</v>
      </c>
    </row>
    <row r="8" spans="1:29" s="117" customFormat="1" ht="15.75" thickBot="1">
      <c r="A8" s="408" t="s">
        <v>2546</v>
      </c>
      <c r="B8" s="409"/>
      <c r="C8" s="414" t="s">
        <v>2547</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178" t="s">
        <v>2548</v>
      </c>
      <c r="Q8" s="3179"/>
      <c r="R8" s="770" t="s">
        <v>23</v>
      </c>
      <c r="S8" s="771">
        <f t="shared" si="0"/>
        <v>0</v>
      </c>
      <c r="T8" s="770" t="s">
        <v>23</v>
      </c>
      <c r="U8" s="771">
        <f t="shared" si="1"/>
        <v>0</v>
      </c>
      <c r="V8" s="770" t="s">
        <v>23</v>
      </c>
      <c r="W8" s="771">
        <f t="shared" si="2"/>
        <v>0</v>
      </c>
      <c r="X8" s="772"/>
      <c r="Y8" s="3178" t="s">
        <v>2548</v>
      </c>
      <c r="Z8" s="3179"/>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16" t="s">
        <v>2551</v>
      </c>
      <c r="Q9" s="1795" t="str">
        <f t="shared" ref="Q9:Q15" si="6">B9</f>
        <v>用途</v>
      </c>
      <c r="R9" s="770" t="s">
        <v>17</v>
      </c>
      <c r="S9" s="771">
        <f t="shared" si="0"/>
        <v>100</v>
      </c>
      <c r="T9" s="770" t="s">
        <v>17</v>
      </c>
      <c r="U9" s="771">
        <f t="shared" si="1"/>
        <v>100</v>
      </c>
      <c r="V9" s="770" t="s">
        <v>17</v>
      </c>
      <c r="W9" s="771">
        <f t="shared" si="2"/>
        <v>100</v>
      </c>
      <c r="X9" s="772"/>
      <c r="Y9" s="305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6"/>
      <c r="Q11" s="1795" t="str">
        <f t="shared" si="6"/>
        <v>容积率</v>
      </c>
      <c r="R11" s="770" t="s">
        <v>21</v>
      </c>
      <c r="S11" s="771" t="e">
        <f t="shared" si="0"/>
        <v>#N/A</v>
      </c>
      <c r="T11" s="770" t="s">
        <v>21</v>
      </c>
      <c r="U11" s="771" t="e">
        <f t="shared" si="1"/>
        <v>#N/A</v>
      </c>
      <c r="V11" s="770" t="s">
        <v>21</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16"/>
      <c r="Q12" s="1795">
        <f t="shared" si="6"/>
        <v>111</v>
      </c>
      <c r="R12" s="770" t="s">
        <v>21</v>
      </c>
      <c r="S12" s="771">
        <f t="shared" si="0"/>
        <v>100</v>
      </c>
      <c r="T12" s="770" t="s">
        <v>21</v>
      </c>
      <c r="U12" s="771">
        <f t="shared" si="1"/>
        <v>100</v>
      </c>
      <c r="V12" s="770" t="s">
        <v>21</v>
      </c>
      <c r="W12" s="771">
        <f t="shared" si="2"/>
        <v>100</v>
      </c>
      <c r="X12" s="772"/>
      <c r="Y12" s="3052"/>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16"/>
      <c r="Q13" s="1795">
        <f t="shared" si="6"/>
        <v>111</v>
      </c>
      <c r="R13" s="770" t="s">
        <v>21</v>
      </c>
      <c r="S13" s="771">
        <f t="shared" si="0"/>
        <v>100</v>
      </c>
      <c r="T13" s="770" t="s">
        <v>21</v>
      </c>
      <c r="U13" s="771">
        <f t="shared" si="1"/>
        <v>100</v>
      </c>
      <c r="V13" s="770" t="s">
        <v>21</v>
      </c>
      <c r="W13" s="771">
        <f t="shared" si="2"/>
        <v>100</v>
      </c>
      <c r="X13" s="772"/>
      <c r="Y13" s="3052"/>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16"/>
      <c r="Q14" s="1795">
        <f t="shared" si="6"/>
        <v>111</v>
      </c>
      <c r="R14" s="770" t="s">
        <v>21</v>
      </c>
      <c r="S14" s="771">
        <f t="shared" si="0"/>
        <v>100</v>
      </c>
      <c r="T14" s="770" t="s">
        <v>21</v>
      </c>
      <c r="U14" s="771">
        <f t="shared" si="1"/>
        <v>100</v>
      </c>
      <c r="V14" s="770" t="s">
        <v>21</v>
      </c>
      <c r="W14" s="771">
        <f t="shared" si="2"/>
        <v>100</v>
      </c>
      <c r="X14" s="772"/>
      <c r="Y14" s="3052"/>
      <c r="Z14" s="55">
        <f t="shared" si="7"/>
        <v>111</v>
      </c>
      <c r="AA14" s="773">
        <f t="shared" si="3"/>
        <v>1</v>
      </c>
      <c r="AB14" s="773">
        <f t="shared" si="4"/>
        <v>1</v>
      </c>
      <c r="AC14" s="773">
        <f t="shared" si="5"/>
        <v>1</v>
      </c>
    </row>
    <row r="15" spans="1:29" ht="156.75">
      <c r="A15" s="440" t="s">
        <v>2555</v>
      </c>
      <c r="B15" s="69" t="s">
        <v>2084</v>
      </c>
      <c r="C15" s="2599" t="str">
        <f>估价对象房地状况!C3</f>
        <v>估价对象周边居住用地比例大、居住小区规模大且社区发展完善程度较好，如北京晨浩花园、海德堡小区、柏林在线等住宅小区，综合评价居住社区成熟度好。</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85" t="s">
        <v>2556</v>
      </c>
      <c r="Q15" s="1810" t="str">
        <f t="shared" si="6"/>
        <v>居住社区成熟度</v>
      </c>
      <c r="R15" s="774" t="s">
        <v>21</v>
      </c>
      <c r="S15" s="775">
        <f t="shared" si="0"/>
        <v>100</v>
      </c>
      <c r="T15" s="774" t="s">
        <v>21</v>
      </c>
      <c r="U15" s="775">
        <f t="shared" si="1"/>
        <v>100</v>
      </c>
      <c r="V15" s="774" t="s">
        <v>21</v>
      </c>
      <c r="W15" s="775">
        <f t="shared" si="2"/>
        <v>100</v>
      </c>
      <c r="X15" s="1813"/>
      <c r="Y15" s="3207" t="s">
        <v>2556</v>
      </c>
      <c r="Z15" s="1814" t="str">
        <f t="shared" si="7"/>
        <v>居住社区成熟度</v>
      </c>
      <c r="AA15" s="1811">
        <f t="shared" si="3"/>
        <v>1</v>
      </c>
      <c r="AB15" s="1811">
        <f t="shared" si="4"/>
        <v>1</v>
      </c>
      <c r="AC15" s="1811">
        <f t="shared" si="5"/>
        <v>1</v>
      </c>
    </row>
    <row r="16" spans="1:29" ht="15">
      <c r="A16" s="428"/>
      <c r="B16" s="446"/>
      <c r="C16" s="447"/>
      <c r="D16" s="448"/>
      <c r="E16" s="2600"/>
      <c r="F16" s="448"/>
      <c r="G16" s="2601"/>
      <c r="H16" s="450"/>
      <c r="I16" s="2601"/>
      <c r="J16" s="448"/>
      <c r="K16" s="2602"/>
      <c r="L16" s="1140"/>
      <c r="M16" s="1131"/>
      <c r="N16" s="1131"/>
      <c r="O16" s="1131"/>
      <c r="P16" s="3286"/>
      <c r="Q16" s="1810"/>
      <c r="R16" s="774"/>
      <c r="S16" s="775"/>
      <c r="T16" s="774"/>
      <c r="U16" s="775"/>
      <c r="V16" s="774"/>
      <c r="W16" s="775"/>
      <c r="X16" s="1813"/>
      <c r="Y16" s="3208"/>
      <c r="Z16" s="1814"/>
      <c r="AA16" s="1811">
        <v>1</v>
      </c>
      <c r="AB16" s="1811">
        <v>1</v>
      </c>
      <c r="AC16" s="1811">
        <v>1</v>
      </c>
    </row>
    <row r="17" spans="1:29" ht="128.25">
      <c r="A17" s="428"/>
      <c r="B17" s="451" t="s">
        <v>2095</v>
      </c>
      <c r="C17" s="2603" t="str">
        <f>估价对象房地状况!C6</f>
        <v>估价对象多面临街，周边道路路网较为密集，公共交通通达情况较好，有417、533路等、停车便捷程度较好，综合评价交通便捷度较好。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86"/>
      <c r="Q17" s="1810" t="str">
        <f>B17</f>
        <v>交通便捷度</v>
      </c>
      <c r="R17" s="774" t="s">
        <v>21</v>
      </c>
      <c r="S17" s="775">
        <f>F17</f>
        <v>100</v>
      </c>
      <c r="T17" s="774" t="s">
        <v>21</v>
      </c>
      <c r="U17" s="775">
        <f>H17</f>
        <v>100</v>
      </c>
      <c r="V17" s="774" t="s">
        <v>21</v>
      </c>
      <c r="W17" s="775">
        <f>J17</f>
        <v>100</v>
      </c>
      <c r="X17" s="1813"/>
      <c r="Y17" s="3208"/>
      <c r="Z17" s="1814" t="str">
        <f>Q17</f>
        <v>交通便捷度</v>
      </c>
      <c r="AA17" s="1811">
        <f t="shared" si="3"/>
        <v>1</v>
      </c>
      <c r="AB17" s="1811">
        <f t="shared" si="4"/>
        <v>1</v>
      </c>
      <c r="AC17" s="1811">
        <f t="shared" si="5"/>
        <v>1</v>
      </c>
    </row>
    <row r="18" spans="1:29" ht="15">
      <c r="A18" s="428"/>
      <c r="B18" s="456"/>
      <c r="C18" s="2604"/>
      <c r="D18" s="450"/>
      <c r="E18" s="2605"/>
      <c r="F18" s="450"/>
      <c r="G18" s="2606"/>
      <c r="H18" s="448"/>
      <c r="I18" s="2606"/>
      <c r="J18" s="448"/>
      <c r="K18" s="2602"/>
      <c r="L18" s="1140"/>
      <c r="M18" s="1131"/>
      <c r="N18" s="1131"/>
      <c r="O18" s="1131"/>
      <c r="P18" s="3286"/>
      <c r="Q18" s="1810"/>
      <c r="R18" s="774"/>
      <c r="S18" s="775"/>
      <c r="T18" s="774"/>
      <c r="U18" s="775"/>
      <c r="V18" s="774"/>
      <c r="W18" s="775"/>
      <c r="X18" s="1813"/>
      <c r="Y18" s="3208"/>
      <c r="Z18" s="1814"/>
      <c r="AA18" s="1811">
        <v>1</v>
      </c>
      <c r="AB18" s="1811">
        <v>1</v>
      </c>
      <c r="AC18" s="1811">
        <v>1</v>
      </c>
    </row>
    <row r="19" spans="1:29" ht="213.75">
      <c r="A19" s="428"/>
      <c r="B19" s="451" t="s">
        <v>2093</v>
      </c>
      <c r="C19" s="2603" t="str">
        <f>估价对象房地状况!C7</f>
        <v>估价对象所在区域2公里范围内有：银行（中国银行、北京农村商业银行），购物（物联隆超市、超市发超市）、医院（北七家社区卫生服务中心），学校（北京市晨星学校、伊顿双语幼儿园），餐饮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86"/>
      <c r="Q19" s="1810" t="str">
        <f>B19</f>
        <v>公共配套设施</v>
      </c>
      <c r="R19" s="774" t="s">
        <v>21</v>
      </c>
      <c r="S19" s="775">
        <f>F19</f>
        <v>100</v>
      </c>
      <c r="T19" s="774" t="s">
        <v>21</v>
      </c>
      <c r="U19" s="775">
        <f>H19</f>
        <v>100</v>
      </c>
      <c r="V19" s="774" t="s">
        <v>21</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0"/>
      <c r="F20" s="448"/>
      <c r="G20" s="2601"/>
      <c r="H20" s="448"/>
      <c r="I20" s="2601"/>
      <c r="J20" s="448"/>
      <c r="K20" s="2602"/>
      <c r="L20" s="1140"/>
      <c r="M20" s="1131"/>
      <c r="N20" s="1131"/>
      <c r="O20" s="1131"/>
      <c r="P20" s="3286"/>
      <c r="Q20" s="1810"/>
      <c r="R20" s="774"/>
      <c r="S20" s="775"/>
      <c r="T20" s="774"/>
      <c r="U20" s="775"/>
      <c r="V20" s="774"/>
      <c r="W20" s="775"/>
      <c r="X20" s="1813"/>
      <c r="Y20" s="3208"/>
      <c r="Z20" s="1814"/>
      <c r="AA20" s="1811">
        <v>1</v>
      </c>
      <c r="AB20" s="1811">
        <v>1</v>
      </c>
      <c r="AC20" s="1811">
        <v>1</v>
      </c>
    </row>
    <row r="21" spans="1:29" ht="42.75">
      <c r="A21" s="428"/>
      <c r="B21" s="1384" t="s">
        <v>2096</v>
      </c>
      <c r="C21" s="2603"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86"/>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8"/>
      <c r="G22" s="2607"/>
      <c r="H22" s="448"/>
      <c r="I22" s="447"/>
      <c r="J22" s="448"/>
      <c r="K22" s="2608"/>
      <c r="L22" s="1140"/>
      <c r="M22" s="1131"/>
      <c r="N22" s="1131"/>
      <c r="O22" s="1131"/>
      <c r="P22" s="3286"/>
      <c r="Q22" s="1810"/>
      <c r="R22" s="774"/>
      <c r="S22" s="775"/>
      <c r="T22" s="774"/>
      <c r="U22" s="775"/>
      <c r="V22" s="774"/>
      <c r="W22" s="775"/>
      <c r="X22" s="1813"/>
      <c r="Y22" s="3208"/>
      <c r="Z22" s="1814"/>
      <c r="AA22" s="1811">
        <v>1</v>
      </c>
      <c r="AB22" s="1811">
        <v>1</v>
      </c>
      <c r="AC22" s="1811">
        <v>1</v>
      </c>
    </row>
    <row r="23" spans="1:29" ht="99.75">
      <c r="A23" s="428"/>
      <c r="B23" s="451" t="s">
        <v>2100</v>
      </c>
      <c r="C23" s="2603" t="str">
        <f>估价对象房地状况!C9</f>
        <v>区域自然环境：未来科技城滨河公园；人文环境：无展览馆、博物馆等；综合评价环境状况一般。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86"/>
      <c r="Q23" s="1810" t="str">
        <f>B23</f>
        <v>自然及人文环境</v>
      </c>
      <c r="R23" s="774" t="s">
        <v>21</v>
      </c>
      <c r="S23" s="775">
        <f>F23</f>
        <v>100</v>
      </c>
      <c r="T23" s="774" t="s">
        <v>21</v>
      </c>
      <c r="U23" s="775">
        <f>H23</f>
        <v>100</v>
      </c>
      <c r="V23" s="774" t="s">
        <v>21</v>
      </c>
      <c r="W23" s="775">
        <f>J23</f>
        <v>100</v>
      </c>
      <c r="X23" s="1813"/>
      <c r="Y23" s="3208"/>
      <c r="Z23" s="1814" t="str">
        <f>Q23</f>
        <v>自然及人文环境</v>
      </c>
      <c r="AA23" s="1811">
        <f>D23/F23</f>
        <v>1</v>
      </c>
      <c r="AB23" s="1811">
        <f>D23/H23</f>
        <v>1</v>
      </c>
      <c r="AC23" s="1811">
        <f>D23/J23</f>
        <v>1</v>
      </c>
    </row>
    <row r="24" spans="1:29" ht="15">
      <c r="A24" s="428"/>
      <c r="B24" s="456"/>
      <c r="C24" s="447"/>
      <c r="D24" s="448"/>
      <c r="E24" s="2600"/>
      <c r="F24" s="448"/>
      <c r="G24" s="2601"/>
      <c r="H24" s="448"/>
      <c r="I24" s="2601"/>
      <c r="J24" s="448"/>
      <c r="K24" s="2602"/>
      <c r="L24" s="1140"/>
      <c r="M24" s="1131"/>
      <c r="N24" s="1131"/>
      <c r="O24" s="1131"/>
      <c r="P24" s="3286"/>
      <c r="Q24" s="1810"/>
      <c r="R24" s="774"/>
      <c r="S24" s="775"/>
      <c r="T24" s="774"/>
      <c r="U24" s="775"/>
      <c r="V24" s="774"/>
      <c r="W24" s="775"/>
      <c r="X24" s="1813"/>
      <c r="Y24" s="3208"/>
      <c r="Z24" s="1814"/>
      <c r="AA24" s="1811">
        <v>1</v>
      </c>
      <c r="AB24" s="1811">
        <v>1</v>
      </c>
      <c r="AC24" s="1811">
        <v>1</v>
      </c>
    </row>
    <row r="25" spans="1:29" ht="15">
      <c r="A25" s="428"/>
      <c r="B25" s="422" t="s">
        <v>2557</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8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8"/>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86"/>
      <c r="Q26" s="1810" t="str">
        <f t="shared" si="11"/>
        <v>朝向</v>
      </c>
      <c r="R26" s="774" t="s">
        <v>21</v>
      </c>
      <c r="S26" s="775">
        <f t="shared" si="12"/>
        <v>100</v>
      </c>
      <c r="T26" s="774" t="s">
        <v>21</v>
      </c>
      <c r="U26" s="775">
        <f t="shared" si="13"/>
        <v>100</v>
      </c>
      <c r="V26" s="774" t="s">
        <v>21</v>
      </c>
      <c r="W26" s="775">
        <f t="shared" si="14"/>
        <v>100</v>
      </c>
      <c r="X26" s="1813"/>
      <c r="Y26" s="320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86"/>
      <c r="Q27" s="1795">
        <f t="shared" si="11"/>
        <v>111</v>
      </c>
      <c r="R27" s="770" t="s">
        <v>21</v>
      </c>
      <c r="S27" s="771">
        <f t="shared" si="12"/>
        <v>100</v>
      </c>
      <c r="T27" s="770" t="s">
        <v>21</v>
      </c>
      <c r="U27" s="771">
        <f t="shared" si="13"/>
        <v>100</v>
      </c>
      <c r="V27" s="770" t="s">
        <v>21</v>
      </c>
      <c r="W27" s="771">
        <f t="shared" si="14"/>
        <v>100</v>
      </c>
      <c r="X27" s="772"/>
      <c r="Y27" s="320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86"/>
      <c r="Q28" s="1810">
        <f t="shared" si="11"/>
        <v>111</v>
      </c>
      <c r="R28" s="774" t="s">
        <v>21</v>
      </c>
      <c r="S28" s="775">
        <f t="shared" si="12"/>
        <v>100</v>
      </c>
      <c r="T28" s="774" t="s">
        <v>21</v>
      </c>
      <c r="U28" s="775">
        <f t="shared" si="13"/>
        <v>100</v>
      </c>
      <c r="V28" s="774" t="s">
        <v>21</v>
      </c>
      <c r="W28" s="775">
        <f t="shared" si="14"/>
        <v>100</v>
      </c>
      <c r="X28" s="1813"/>
      <c r="Y28" s="320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86"/>
      <c r="Q29" s="1810">
        <f t="shared" si="11"/>
        <v>111</v>
      </c>
      <c r="R29" s="774" t="s">
        <v>21</v>
      </c>
      <c r="S29" s="775">
        <f t="shared" si="12"/>
        <v>100</v>
      </c>
      <c r="T29" s="774" t="s">
        <v>21</v>
      </c>
      <c r="U29" s="775">
        <f t="shared" si="13"/>
        <v>100</v>
      </c>
      <c r="V29" s="774" t="s">
        <v>21</v>
      </c>
      <c r="W29" s="775">
        <f t="shared" si="14"/>
        <v>100</v>
      </c>
      <c r="X29" s="1813"/>
      <c r="Y29" s="320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86"/>
      <c r="Q30" s="1810">
        <f t="shared" si="11"/>
        <v>111</v>
      </c>
      <c r="R30" s="774" t="s">
        <v>21</v>
      </c>
      <c r="S30" s="775">
        <f t="shared" si="12"/>
        <v>100</v>
      </c>
      <c r="T30" s="774" t="s">
        <v>21</v>
      </c>
      <c r="U30" s="775">
        <f t="shared" si="13"/>
        <v>100</v>
      </c>
      <c r="V30" s="774" t="s">
        <v>21</v>
      </c>
      <c r="W30" s="775">
        <f t="shared" si="14"/>
        <v>100</v>
      </c>
      <c r="X30" s="1813"/>
      <c r="Y30" s="320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86"/>
      <c r="Q31" s="1810">
        <f t="shared" si="11"/>
        <v>111</v>
      </c>
      <c r="R31" s="774" t="s">
        <v>21</v>
      </c>
      <c r="S31" s="775">
        <f t="shared" si="12"/>
        <v>100</v>
      </c>
      <c r="T31" s="774" t="s">
        <v>21</v>
      </c>
      <c r="U31" s="775">
        <f t="shared" si="13"/>
        <v>100</v>
      </c>
      <c r="V31" s="774" t="s">
        <v>21</v>
      </c>
      <c r="W31" s="775">
        <f t="shared" si="14"/>
        <v>100</v>
      </c>
      <c r="X31" s="1813"/>
      <c r="Y31" s="3208"/>
      <c r="Z31" s="1814">
        <f t="shared" si="18"/>
        <v>111</v>
      </c>
      <c r="AA31" s="1811">
        <f t="shared" si="15"/>
        <v>1</v>
      </c>
      <c r="AB31" s="1811">
        <f t="shared" si="16"/>
        <v>1</v>
      </c>
      <c r="AC31" s="1811">
        <f t="shared" si="17"/>
        <v>1</v>
      </c>
    </row>
    <row r="32" spans="1:29" ht="15">
      <c r="A32" s="440" t="s">
        <v>2559</v>
      </c>
      <c r="B32" s="71" t="s">
        <v>2560</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81" t="s">
        <v>2561</v>
      </c>
      <c r="Q32" s="1810" t="str">
        <f t="shared" si="11"/>
        <v>建筑类型</v>
      </c>
      <c r="R32" s="774" t="s">
        <v>21</v>
      </c>
      <c r="S32" s="775">
        <f t="shared" si="12"/>
        <v>100</v>
      </c>
      <c r="T32" s="774" t="s">
        <v>21</v>
      </c>
      <c r="U32" s="775">
        <f t="shared" si="13"/>
        <v>100</v>
      </c>
      <c r="V32" s="774" t="s">
        <v>21</v>
      </c>
      <c r="W32" s="775">
        <f t="shared" si="14"/>
        <v>100</v>
      </c>
      <c r="X32" s="1813"/>
      <c r="Y32" s="3210"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82"/>
      <c r="Q33" s="776" t="str">
        <f t="shared" si="11"/>
        <v>项目建筑规模</v>
      </c>
      <c r="R33" s="777" t="s">
        <v>21</v>
      </c>
      <c r="S33" s="778" t="e">
        <f t="shared" si="12"/>
        <v>#N/A</v>
      </c>
      <c r="T33" s="777" t="s">
        <v>21</v>
      </c>
      <c r="U33" s="778" t="e">
        <f t="shared" si="13"/>
        <v>#N/A</v>
      </c>
      <c r="V33" s="777" t="s">
        <v>21</v>
      </c>
      <c r="W33" s="778" t="e">
        <f t="shared" si="14"/>
        <v>#N/A</v>
      </c>
      <c r="X33" s="779"/>
      <c r="Y33" s="3210"/>
      <c r="Z33" s="780" t="str">
        <f t="shared" si="18"/>
        <v>项目建筑规模</v>
      </c>
      <c r="AA33" s="1811" t="e">
        <f t="shared" si="15"/>
        <v>#N/A</v>
      </c>
      <c r="AB33" s="1811" t="e">
        <f t="shared" si="16"/>
        <v>#N/A</v>
      </c>
      <c r="AC33" s="1811" t="e">
        <f t="shared" si="17"/>
        <v>#N/A</v>
      </c>
    </row>
    <row r="34" spans="1:29" ht="15">
      <c r="A34" s="472"/>
      <c r="B34" s="422" t="s">
        <v>2563</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82"/>
      <c r="Q34" s="1810" t="str">
        <f t="shared" si="11"/>
        <v>建筑结构</v>
      </c>
      <c r="R34" s="774" t="s">
        <v>21</v>
      </c>
      <c r="S34" s="775">
        <f t="shared" si="12"/>
        <v>100</v>
      </c>
      <c r="T34" s="774" t="s">
        <v>21</v>
      </c>
      <c r="U34" s="775">
        <f t="shared" si="13"/>
        <v>100</v>
      </c>
      <c r="V34" s="774" t="s">
        <v>21</v>
      </c>
      <c r="W34" s="775">
        <f t="shared" si="14"/>
        <v>100</v>
      </c>
      <c r="X34" s="1813"/>
      <c r="Y34" s="3210"/>
      <c r="Z34" s="1814" t="str">
        <f t="shared" si="18"/>
        <v>建筑结构</v>
      </c>
      <c r="AA34" s="1811">
        <f t="shared" si="15"/>
        <v>1</v>
      </c>
      <c r="AB34" s="1811">
        <f t="shared" si="16"/>
        <v>1</v>
      </c>
      <c r="AC34" s="1811">
        <f t="shared" si="17"/>
        <v>1</v>
      </c>
    </row>
    <row r="35" spans="1:29" ht="15">
      <c r="A35" s="472"/>
      <c r="B35" s="422" t="s">
        <v>2564</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82"/>
      <c r="Q35" s="1810" t="str">
        <f t="shared" si="11"/>
        <v>建筑品质</v>
      </c>
      <c r="R35" s="774" t="s">
        <v>21</v>
      </c>
      <c r="S35" s="775">
        <f t="shared" si="12"/>
        <v>100</v>
      </c>
      <c r="T35" s="774" t="s">
        <v>21</v>
      </c>
      <c r="U35" s="775">
        <f t="shared" si="13"/>
        <v>100</v>
      </c>
      <c r="V35" s="774" t="s">
        <v>21</v>
      </c>
      <c r="W35" s="775">
        <f t="shared" si="14"/>
        <v>100</v>
      </c>
      <c r="X35" s="1813"/>
      <c r="Y35" s="3210"/>
      <c r="Z35" s="1814" t="str">
        <f t="shared" si="18"/>
        <v>建筑品质</v>
      </c>
      <c r="AA35" s="1811">
        <f t="shared" si="15"/>
        <v>1</v>
      </c>
      <c r="AB35" s="1811">
        <f t="shared" si="16"/>
        <v>1</v>
      </c>
      <c r="AC35" s="1811">
        <f t="shared" si="17"/>
        <v>1</v>
      </c>
    </row>
    <row r="36" spans="1:29" ht="15">
      <c r="A36" s="472"/>
      <c r="B36" s="422" t="s">
        <v>2565</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82"/>
      <c r="Q36" s="1810" t="str">
        <f t="shared" si="11"/>
        <v>公共部分装修</v>
      </c>
      <c r="R36" s="774" t="s">
        <v>21</v>
      </c>
      <c r="S36" s="775">
        <f t="shared" si="12"/>
        <v>100</v>
      </c>
      <c r="T36" s="774" t="s">
        <v>21</v>
      </c>
      <c r="U36" s="775">
        <f t="shared" si="13"/>
        <v>100</v>
      </c>
      <c r="V36" s="774" t="s">
        <v>21</v>
      </c>
      <c r="W36" s="775">
        <f t="shared" si="14"/>
        <v>100</v>
      </c>
      <c r="X36" s="1813"/>
      <c r="Y36" s="3210"/>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82"/>
      <c r="Q37" s="1795" t="str">
        <f t="shared" si="11"/>
        <v>成新度</v>
      </c>
      <c r="R37" s="770" t="s">
        <v>21</v>
      </c>
      <c r="S37" s="771" t="e">
        <f t="shared" si="12"/>
        <v>#N/A</v>
      </c>
      <c r="T37" s="770" t="s">
        <v>21</v>
      </c>
      <c r="U37" s="771" t="e">
        <f t="shared" si="13"/>
        <v>#N/A</v>
      </c>
      <c r="V37" s="770" t="s">
        <v>21</v>
      </c>
      <c r="W37" s="771" t="e">
        <f t="shared" si="14"/>
        <v>#N/A</v>
      </c>
      <c r="X37" s="772"/>
      <c r="Y37" s="3210"/>
      <c r="Z37" s="55" t="str">
        <f t="shared" si="18"/>
        <v>成新度</v>
      </c>
      <c r="AA37" s="773" t="e">
        <f t="shared" si="15"/>
        <v>#N/A</v>
      </c>
      <c r="AB37" s="773" t="e">
        <f t="shared" si="16"/>
        <v>#N/A</v>
      </c>
      <c r="AC37" s="773" t="e">
        <f t="shared" si="17"/>
        <v>#N/A</v>
      </c>
    </row>
    <row r="38" spans="1:29" ht="15">
      <c r="A38" s="472"/>
      <c r="B38" s="422" t="s">
        <v>2567</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82" t="s">
        <v>2561</v>
      </c>
      <c r="Q38" s="1810" t="str">
        <f t="shared" si="11"/>
        <v>物业管理</v>
      </c>
      <c r="R38" s="774" t="s">
        <v>21</v>
      </c>
      <c r="S38" s="775">
        <f t="shared" si="12"/>
        <v>100</v>
      </c>
      <c r="T38" s="774" t="s">
        <v>21</v>
      </c>
      <c r="U38" s="775">
        <f t="shared" si="13"/>
        <v>100</v>
      </c>
      <c r="V38" s="774" t="s">
        <v>21</v>
      </c>
      <c r="W38" s="775">
        <f t="shared" si="14"/>
        <v>100</v>
      </c>
      <c r="X38" s="1813"/>
      <c r="Y38" s="3210" t="s">
        <v>2561</v>
      </c>
      <c r="Z38" s="1814" t="str">
        <f t="shared" si="18"/>
        <v>物业管理</v>
      </c>
      <c r="AA38" s="1811">
        <f t="shared" si="15"/>
        <v>1</v>
      </c>
      <c r="AB38" s="1811">
        <f t="shared" si="16"/>
        <v>1</v>
      </c>
      <c r="AC38" s="1811">
        <f t="shared" si="17"/>
        <v>1</v>
      </c>
    </row>
    <row r="39" spans="1:29" ht="15">
      <c r="A39" s="472"/>
      <c r="B39" s="422" t="s">
        <v>2568</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82"/>
      <c r="Q39" s="1810" t="str">
        <f t="shared" si="11"/>
        <v>市政基础设施</v>
      </c>
      <c r="R39" s="774" t="s">
        <v>21</v>
      </c>
      <c r="S39" s="775">
        <f t="shared" si="12"/>
        <v>100</v>
      </c>
      <c r="T39" s="774" t="s">
        <v>21</v>
      </c>
      <c r="U39" s="775">
        <f t="shared" si="13"/>
        <v>100</v>
      </c>
      <c r="V39" s="774" t="s">
        <v>21</v>
      </c>
      <c r="W39" s="775">
        <f t="shared" si="14"/>
        <v>100</v>
      </c>
      <c r="X39" s="1813"/>
      <c r="Y39" s="3210"/>
      <c r="Z39" s="1814" t="str">
        <f t="shared" si="18"/>
        <v>市政基础设施</v>
      </c>
      <c r="AA39" s="1811">
        <f t="shared" si="15"/>
        <v>1</v>
      </c>
      <c r="AB39" s="1811">
        <f t="shared" si="16"/>
        <v>1</v>
      </c>
      <c r="AC39" s="1811">
        <f t="shared" si="17"/>
        <v>1</v>
      </c>
    </row>
    <row r="40" spans="1:29" ht="15">
      <c r="A40" s="472"/>
      <c r="B40" s="422" t="s">
        <v>2569</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82"/>
      <c r="Q40" s="1810" t="str">
        <f t="shared" si="11"/>
        <v>房型</v>
      </c>
      <c r="R40" s="774" t="s">
        <v>21</v>
      </c>
      <c r="S40" s="775">
        <f t="shared" si="12"/>
        <v>100</v>
      </c>
      <c r="T40" s="774" t="s">
        <v>21</v>
      </c>
      <c r="U40" s="775">
        <f t="shared" si="13"/>
        <v>100</v>
      </c>
      <c r="V40" s="774" t="s">
        <v>21</v>
      </c>
      <c r="W40" s="775">
        <f t="shared" si="14"/>
        <v>100</v>
      </c>
      <c r="X40" s="1813"/>
      <c r="Y40" s="3210"/>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82"/>
      <c r="Q41" s="776" t="str">
        <f t="shared" si="11"/>
        <v>单套/主力户型建筑面积</v>
      </c>
      <c r="R41" s="777" t="s">
        <v>21</v>
      </c>
      <c r="S41" s="778">
        <f t="shared" si="12"/>
        <v>100</v>
      </c>
      <c r="T41" s="777" t="s">
        <v>21</v>
      </c>
      <c r="U41" s="778">
        <f t="shared" si="13"/>
        <v>100</v>
      </c>
      <c r="V41" s="777" t="s">
        <v>21</v>
      </c>
      <c r="W41" s="778">
        <f t="shared" si="14"/>
        <v>100</v>
      </c>
      <c r="X41" s="779"/>
      <c r="Y41" s="3210"/>
      <c r="Z41" s="780" t="str">
        <f t="shared" si="18"/>
        <v>单套/主力户型建筑面积</v>
      </c>
      <c r="AA41" s="1811">
        <f t="shared" si="15"/>
        <v>1</v>
      </c>
      <c r="AB41" s="1811">
        <f t="shared" si="16"/>
        <v>1</v>
      </c>
      <c r="AC41" s="1811">
        <f t="shared" si="17"/>
        <v>1</v>
      </c>
    </row>
    <row r="42" spans="1:29" ht="15">
      <c r="A42" s="472"/>
      <c r="B42" s="422" t="s">
        <v>2571</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82"/>
      <c r="Q42" s="1810" t="str">
        <f t="shared" si="11"/>
        <v>内部装修</v>
      </c>
      <c r="R42" s="774" t="s">
        <v>21</v>
      </c>
      <c r="S42" s="775">
        <f t="shared" si="12"/>
        <v>100</v>
      </c>
      <c r="T42" s="774" t="s">
        <v>21</v>
      </c>
      <c r="U42" s="775">
        <f t="shared" si="13"/>
        <v>100</v>
      </c>
      <c r="V42" s="774" t="s">
        <v>21</v>
      </c>
      <c r="W42" s="775">
        <f t="shared" si="14"/>
        <v>100</v>
      </c>
      <c r="X42" s="1813"/>
      <c r="Y42" s="3210"/>
      <c r="Z42" s="1814" t="str">
        <f t="shared" si="18"/>
        <v>内部装修</v>
      </c>
      <c r="AA42" s="1811">
        <f t="shared" si="15"/>
        <v>1</v>
      </c>
      <c r="AB42" s="1811">
        <f t="shared" si="16"/>
        <v>1</v>
      </c>
      <c r="AC42" s="1811">
        <f t="shared" si="17"/>
        <v>1</v>
      </c>
    </row>
    <row r="43" spans="1:29" ht="15">
      <c r="A43" s="472"/>
      <c r="B43" s="422" t="s">
        <v>2572</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82"/>
      <c r="Q43" s="1810" t="str">
        <f t="shared" si="11"/>
        <v>内部装修维护情况</v>
      </c>
      <c r="R43" s="774" t="s">
        <v>21</v>
      </c>
      <c r="S43" s="775">
        <f t="shared" si="12"/>
        <v>100</v>
      </c>
      <c r="T43" s="774" t="s">
        <v>21</v>
      </c>
      <c r="U43" s="775">
        <f t="shared" si="13"/>
        <v>100</v>
      </c>
      <c r="V43" s="774" t="s">
        <v>21</v>
      </c>
      <c r="W43" s="775">
        <f t="shared" si="14"/>
        <v>100</v>
      </c>
      <c r="X43" s="1813"/>
      <c r="Y43" s="321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82"/>
      <c r="Q44" s="1795">
        <f t="shared" si="11"/>
        <v>111</v>
      </c>
      <c r="R44" s="770" t="s">
        <v>21</v>
      </c>
      <c r="S44" s="771">
        <f t="shared" si="12"/>
        <v>100</v>
      </c>
      <c r="T44" s="770" t="s">
        <v>21</v>
      </c>
      <c r="U44" s="771">
        <f t="shared" si="13"/>
        <v>100</v>
      </c>
      <c r="V44" s="770" t="s">
        <v>21</v>
      </c>
      <c r="W44" s="771">
        <f t="shared" si="14"/>
        <v>100</v>
      </c>
      <c r="X44" s="772"/>
      <c r="Y44" s="321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82"/>
      <c r="Q45" s="1810">
        <f t="shared" si="11"/>
        <v>111</v>
      </c>
      <c r="R45" s="774" t="s">
        <v>21</v>
      </c>
      <c r="S45" s="775">
        <f t="shared" si="12"/>
        <v>100</v>
      </c>
      <c r="T45" s="774" t="s">
        <v>21</v>
      </c>
      <c r="U45" s="775">
        <f t="shared" si="13"/>
        <v>100</v>
      </c>
      <c r="V45" s="774" t="s">
        <v>21</v>
      </c>
      <c r="W45" s="775">
        <f t="shared" si="14"/>
        <v>100</v>
      </c>
      <c r="X45" s="1813"/>
      <c r="Y45" s="3210"/>
      <c r="Z45" s="1814">
        <f t="shared" si="18"/>
        <v>111</v>
      </c>
      <c r="AA45" s="1811">
        <f t="shared" si="15"/>
        <v>1</v>
      </c>
      <c r="AB45" s="1811">
        <f t="shared" si="16"/>
        <v>1</v>
      </c>
      <c r="AC45" s="1811">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83"/>
      <c r="Q46" s="1810">
        <f t="shared" si="11"/>
        <v>111</v>
      </c>
      <c r="R46" s="774" t="s">
        <v>20</v>
      </c>
      <c r="S46" s="775">
        <f t="shared" si="12"/>
        <v>100</v>
      </c>
      <c r="T46" s="774" t="s">
        <v>20</v>
      </c>
      <c r="U46" s="775">
        <f t="shared" si="13"/>
        <v>100</v>
      </c>
      <c r="V46" s="774" t="s">
        <v>20</v>
      </c>
      <c r="W46" s="775">
        <f t="shared" si="14"/>
        <v>100</v>
      </c>
      <c r="X46" s="1813"/>
      <c r="Y46" s="3284"/>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17"/>
      <c r="L47" s="1143"/>
      <c r="M47" s="1144"/>
      <c r="N47" s="1131"/>
      <c r="O47" s="1144"/>
      <c r="P47" s="3192" t="str">
        <f>A47</f>
        <v>成交单价（元/平方米）</v>
      </c>
      <c r="Q47" s="3192"/>
      <c r="R47" s="3280">
        <f>E47</f>
        <v>0</v>
      </c>
      <c r="S47" s="3280"/>
      <c r="T47" s="3280">
        <f>G47</f>
        <v>0</v>
      </c>
      <c r="U47" s="3280"/>
      <c r="V47" s="3280">
        <f>I47</f>
        <v>0</v>
      </c>
      <c r="W47" s="3280"/>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18"/>
      <c r="L48" s="1143"/>
      <c r="M48" s="1144"/>
      <c r="N48" s="1144"/>
      <c r="O48" s="1144"/>
      <c r="P48" s="3192" t="str">
        <f>A48</f>
        <v>比较价值（元/平方米）</v>
      </c>
      <c r="Q48" s="3192"/>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19"/>
      <c r="L49" s="1143"/>
      <c r="M49" s="1144"/>
      <c r="N49" s="1144"/>
      <c r="O49" s="1144"/>
      <c r="P49" s="3212" t="str">
        <f>A49</f>
        <v>估价对象XX用房的比较价值（楼面单价，元/平方米）</v>
      </c>
      <c r="Q49" s="3213"/>
      <c r="R49" s="3279" t="e">
        <f>IF(F1="售价",ROUND(AVERAGE(R48:V48),0),ROUND(AVERAGE(R48:V48),1))</f>
        <v>#DIV/0!</v>
      </c>
      <c r="S49" s="3279"/>
      <c r="T49" s="3279"/>
      <c r="U49" s="3279"/>
      <c r="V49" s="3279"/>
      <c r="W49" s="327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2"/>
      <c r="Q57" s="504"/>
    </row>
    <row r="58" spans="1:29" s="508" customFormat="1" ht="15">
      <c r="A58" s="505" t="s">
        <v>2580</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3"/>
      <c r="C59" s="1573">
        <v>100</v>
      </c>
      <c r="D59" s="511"/>
      <c r="E59" s="512"/>
      <c r="F59" s="512"/>
      <c r="G59" s="512"/>
      <c r="H59" s="512"/>
      <c r="I59" s="512"/>
      <c r="J59" s="512"/>
      <c r="K59" s="512"/>
      <c r="L59" s="512"/>
      <c r="M59" s="513"/>
      <c r="N59" s="512"/>
      <c r="O59" s="513"/>
      <c r="P59" s="2624"/>
    </row>
    <row r="60" spans="1:29" s="117" customFormat="1" ht="15.75" thickBot="1">
      <c r="A60" s="515" t="s">
        <v>2581</v>
      </c>
      <c r="B60" s="516"/>
      <c r="C60" s="517"/>
      <c r="D60" s="518"/>
      <c r="E60" s="518"/>
      <c r="F60" s="518"/>
      <c r="G60" s="518"/>
      <c r="H60" s="518"/>
      <c r="I60" s="518"/>
      <c r="J60" s="518"/>
      <c r="K60" s="518"/>
      <c r="L60" s="518"/>
      <c r="M60" s="519"/>
      <c r="N60" s="518"/>
      <c r="O60" s="519"/>
      <c r="P60" s="2624"/>
      <c r="Q60" s="504"/>
    </row>
    <row r="61" spans="1:29" s="117" customFormat="1" ht="15">
      <c r="A61" s="521" t="s">
        <v>2582</v>
      </c>
      <c r="B61" s="510"/>
      <c r="C61" s="522" t="s">
        <v>2583</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2584</v>
      </c>
      <c r="B63" s="528" t="s">
        <v>2550</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2096</v>
      </c>
      <c r="C82" s="539" t="s">
        <v>2600</v>
      </c>
      <c r="D82" s="539" t="s">
        <v>2601</v>
      </c>
      <c r="E82" s="539" t="s">
        <v>2602</v>
      </c>
      <c r="F82" s="539" t="s">
        <v>2603</v>
      </c>
      <c r="G82" s="539" t="s">
        <v>2604</v>
      </c>
      <c r="H82" s="539"/>
      <c r="I82" s="539"/>
      <c r="J82" s="539"/>
      <c r="K82" s="539"/>
      <c r="L82" s="539"/>
      <c r="M82" s="1382"/>
      <c r="N82" s="1153"/>
      <c r="O82" s="1153"/>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6"/>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2606</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2607</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2559</v>
      </c>
      <c r="B100" s="528" t="s">
        <v>2608</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2610</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2611</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2612</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2613</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2614</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2615</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2616</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2618</v>
      </c>
    </row>
    <row r="137" spans="1:17" ht="15">
      <c r="B137" s="2634" t="s">
        <v>2619</v>
      </c>
      <c r="C137" s="2635"/>
      <c r="D137" s="2635"/>
      <c r="E137" s="2635"/>
      <c r="F137" s="2635"/>
      <c r="G137" s="2636"/>
      <c r="H137" s="2637"/>
      <c r="I137" s="2638" t="s">
        <v>2620</v>
      </c>
      <c r="J137" s="2635"/>
      <c r="K137" s="2639"/>
    </row>
    <row r="138" spans="1:17" ht="15">
      <c r="B138" s="2640"/>
      <c r="C138" s="146" t="s">
        <v>2621</v>
      </c>
      <c r="D138" s="146" t="s">
        <v>2622</v>
      </c>
      <c r="E138" s="2641" t="s">
        <v>2623</v>
      </c>
      <c r="F138" s="2642" t="s">
        <v>2624</v>
      </c>
      <c r="G138" s="146" t="s">
        <v>2622</v>
      </c>
      <c r="H138" s="147" t="s">
        <v>2623</v>
      </c>
      <c r="I138" s="2643"/>
      <c r="J138" s="146" t="s">
        <v>2625</v>
      </c>
      <c r="K138" s="147" t="s">
        <v>2626</v>
      </c>
    </row>
    <row r="139" spans="1:17" ht="15">
      <c r="B139" s="1084">
        <v>6</v>
      </c>
      <c r="C139" s="1085">
        <v>96</v>
      </c>
      <c r="D139" s="2644" t="s">
        <v>2627</v>
      </c>
      <c r="E139" s="1086">
        <v>100</v>
      </c>
      <c r="F139" s="1087">
        <v>102.5</v>
      </c>
      <c r="G139" s="2644" t="s">
        <v>2627</v>
      </c>
      <c r="H139" s="1088">
        <v>105</v>
      </c>
      <c r="I139" s="2645" t="s">
        <v>2628</v>
      </c>
      <c r="J139" s="1085">
        <v>20</v>
      </c>
      <c r="K139" s="1089">
        <f>C145/(J139-2)</f>
        <v>4.0555555555555553E-3</v>
      </c>
    </row>
    <row r="140" spans="1:17" ht="15">
      <c r="B140" s="1090">
        <v>5</v>
      </c>
      <c r="C140" s="1091">
        <v>100</v>
      </c>
      <c r="D140" s="1091"/>
      <c r="E140" s="1092"/>
      <c r="F140" s="1093">
        <v>102</v>
      </c>
      <c r="G140" s="1091"/>
      <c r="H140" s="1094"/>
      <c r="I140" s="2646" t="s">
        <v>2629</v>
      </c>
      <c r="J140" s="315">
        <f>ROUNDUP((J139-1)/2,0)</f>
        <v>10</v>
      </c>
      <c r="K140" s="1095">
        <v>100</v>
      </c>
    </row>
    <row r="141" spans="1:17" ht="15">
      <c r="B141" s="1090">
        <v>4</v>
      </c>
      <c r="C141" s="1091">
        <v>102</v>
      </c>
      <c r="D141" s="1091"/>
      <c r="E141" s="1092"/>
      <c r="F141" s="1093">
        <v>101.5</v>
      </c>
      <c r="G141" s="1091"/>
      <c r="H141" s="1094"/>
      <c r="I141" s="2646" t="s">
        <v>2630</v>
      </c>
      <c r="J141" s="315">
        <v>1</v>
      </c>
      <c r="K141" s="1096">
        <f>ROUND(100+(J141-J140)*K139*100,1)</f>
        <v>96.4</v>
      </c>
    </row>
    <row r="142" spans="1:17" ht="15">
      <c r="B142" s="1090">
        <v>3</v>
      </c>
      <c r="C142" s="1091">
        <v>103</v>
      </c>
      <c r="D142" s="1091"/>
      <c r="E142" s="1092"/>
      <c r="F142" s="1093">
        <v>101</v>
      </c>
      <c r="G142" s="1091"/>
      <c r="H142" s="1094"/>
      <c r="I142" s="2646" t="s">
        <v>2631</v>
      </c>
      <c r="J142" s="315">
        <f>J139</f>
        <v>20</v>
      </c>
      <c r="K142" s="1097">
        <v>95</v>
      </c>
    </row>
    <row r="143" spans="1:17" ht="15">
      <c r="B143" s="1090">
        <v>2</v>
      </c>
      <c r="C143" s="1091">
        <v>100</v>
      </c>
      <c r="D143" s="1091"/>
      <c r="E143" s="1092"/>
      <c r="F143" s="1093">
        <v>100.5</v>
      </c>
      <c r="G143" s="1091"/>
      <c r="H143" s="1094"/>
      <c r="I143" s="2646" t="s">
        <v>2632</v>
      </c>
      <c r="J143" s="1091">
        <v>15</v>
      </c>
      <c r="K143" s="1096">
        <f>ROUND(100+(J143-J140)*K139*100,1)</f>
        <v>102</v>
      </c>
    </row>
    <row r="144" spans="1:17" ht="15">
      <c r="B144" s="1090">
        <v>1</v>
      </c>
      <c r="C144" s="1091">
        <v>98</v>
      </c>
      <c r="D144" s="2647" t="s">
        <v>2633</v>
      </c>
      <c r="E144" s="1092">
        <v>102</v>
      </c>
      <c r="F144" s="1098">
        <v>100</v>
      </c>
      <c r="G144" s="2647" t="s">
        <v>2633</v>
      </c>
      <c r="H144" s="1094">
        <v>105</v>
      </c>
      <c r="I144" s="2646" t="s">
        <v>2632</v>
      </c>
      <c r="J144" s="1091">
        <v>18</v>
      </c>
      <c r="K144" s="1096">
        <f>ROUND(100+(J144-J140)*K139*100,1)</f>
        <v>103.2</v>
      </c>
    </row>
    <row r="145" spans="2:11" ht="15.75" thickBot="1">
      <c r="B145" s="2648" t="s">
        <v>2634</v>
      </c>
      <c r="C145" s="1099">
        <f>ROUND(MAX(C139:C144)/MIN(C139:C144)-1,3)</f>
        <v>7.2999999999999995E-2</v>
      </c>
      <c r="D145" s="1100"/>
      <c r="E145" s="1100"/>
      <c r="F145" s="2649" t="s">
        <v>2635</v>
      </c>
      <c r="G145" s="2650"/>
      <c r="H145" s="2651"/>
      <c r="I145" s="2652" t="s">
        <v>2632</v>
      </c>
      <c r="J145" s="1101">
        <v>8</v>
      </c>
      <c r="K145" s="1102">
        <f>ROUND(100+(J145-J140)*K139*100,1)</f>
        <v>99.2</v>
      </c>
    </row>
    <row r="147" spans="2:11">
      <c r="B147" s="2633" t="s">
        <v>2636</v>
      </c>
    </row>
    <row r="148" spans="2:11">
      <c r="B148" s="2633"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1612</v>
      </c>
    </row>
    <row r="2" spans="1:1">
      <c r="A2" s="1946"/>
    </row>
    <row r="3" spans="1:1" ht="18">
      <c r="A3" s="1947" t="str">
        <f>项目基本情况!B5&amp;"："</f>
        <v>国瑞兴业（北京）投资有限公司：</v>
      </c>
    </row>
    <row r="4" spans="1:1" ht="36">
      <c r="A4" s="1948" t="str">
        <f>"受贵公司委托，我公司对"&amp;项目基本情况!S1&amp;"进行了预评估。"</f>
        <v>受贵公司委托，我公司对北京市昌平区北七家镇GZT-05-2地块出让国有建设用地使用权及在建建筑物房地产抵押价值进行了预评估。</v>
      </c>
    </row>
    <row r="5" spans="1:1" ht="18.75">
      <c r="A5" s="1949" t="s">
        <v>1613</v>
      </c>
    </row>
    <row r="6" spans="1:1" ht="18.75">
      <c r="A6" s="1950" t="s">
        <v>1614</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GZT-05-2地块出让国有建设用地使用权及在建建筑物房地产，为国瑞兴业（北京）投资有限公司所有。根据《不动产权证书》[京（2017）昌不动产权第0000033号]，估价对象（分摊）出让国有建设用地使用权面积为22955.7平方米，建筑面积为85215.68平方米。</v>
      </c>
    </row>
    <row r="8" spans="1:1" ht="57.75">
      <c r="A8" s="1951" t="s">
        <v>1615</v>
      </c>
    </row>
    <row r="9" spans="1:1" ht="18.75">
      <c r="A9" s="1950" t="s">
        <v>1616</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GZT-05-2地块出让国有建设用地使用权及在建建筑物房地产,属国瑞兴业（北京）投资有限公司开发建设的居住项目，该项目尚在开发建设中。根据《不动产权证书》[京（2017）昌不动产权第0000033号]，估价对象（分摊）出让国有建设用地使用权面积为22955.7平方米，规划建筑面积为85215.68平方米。</v>
      </c>
    </row>
    <row r="11" spans="1:1" ht="76.5">
      <c r="A11" s="1951" t="s">
        <v>1617</v>
      </c>
    </row>
    <row r="12" spans="1:1" ht="18.75">
      <c r="A12" s="1949" t="s">
        <v>1618</v>
      </c>
    </row>
    <row r="13" spans="1:1" ht="38.25" customHeight="1">
      <c r="A13" s="1952" t="str">
        <f>IF(项目基本情况!B8="抵押",IF(项目基本情况!B5=项目基本情况!B6,定义!C51,定义!B51),定义!D51)</f>
        <v>为估价委托人在向民生信托办理贷款手续过程中，确定房地产抵押贷款额度提供参考依据而评估房地产抵押价值。</v>
      </c>
    </row>
    <row r="14" spans="1:1" ht="18.75">
      <c r="A14" s="1953" t="s">
        <v>1619</v>
      </c>
    </row>
    <row r="15" spans="1:1" ht="18">
      <c r="A15" s="1954" t="str">
        <f>TEXT(项目基本情况!D3,"yyyy年m月d日;;")&amp;IF(项目基本情况!D3=项目基本情况!B3,"（评估专业人员实地查勘之日）","")</f>
        <v>2018年1月11日（评估专业人员实地查勘之日）</v>
      </c>
    </row>
    <row r="16" spans="1:1" ht="18.75">
      <c r="A16" s="1953" t="s">
        <v>1620</v>
      </c>
    </row>
    <row r="17" spans="1:1" ht="75">
      <c r="A17" s="1948" t="s">
        <v>1621</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11日，估价对象规划用途为住宅、地下仓储、地下车库，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仓储、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
      </c>
    </row>
    <row r="23" spans="1:1" ht="18.75">
      <c r="A23" s="1953" t="s">
        <v>1610</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1611</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78" t="s">
        <v>2638</v>
      </c>
      <c r="C1" s="1634" t="s">
        <v>2526</v>
      </c>
      <c r="D1" s="1621"/>
      <c r="E1" s="2653"/>
      <c r="F1" s="2580"/>
      <c r="G1" s="1631" t="s">
        <v>2639</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2326</v>
      </c>
      <c r="B2" s="1418" t="e">
        <f ca="1">IF(C2="——",ROUND(C49*D3/10000,0),ROUND(C49*D3/10000,0)-D2)</f>
        <v>#DIV/0!</v>
      </c>
      <c r="C2" s="2582"/>
      <c r="D2" s="1365" t="e">
        <f ca="1">SUMIF(INDIRECT("'"&amp;F2&amp;"'"&amp;"!A:A"),"承租人权益价值",INDIRECT("'"&amp;F2&amp;"'"&amp;"!c:c"))</f>
        <v>#REF!</v>
      </c>
      <c r="E2" s="2583" t="s">
        <v>2327</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2328</v>
      </c>
      <c r="B3" s="609" t="e">
        <f ca="1">IF(C2="——",C49,ROUND(B2*10000/D3,0))</f>
        <v>#DIV/0!</v>
      </c>
      <c r="C3" s="400" t="s">
        <v>2640</v>
      </c>
      <c r="D3" s="399">
        <f>IF(D1="",'数据-汇总表'!E3,SUMIF('数据-汇总表'!$C19:$C33,D1,'数据-汇总表'!$E19:$E33))</f>
        <v>85215.679999999964</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2641</v>
      </c>
      <c r="B4" s="402"/>
      <c r="C4" s="3193" t="s">
        <v>2642</v>
      </c>
      <c r="D4" s="3194"/>
      <c r="E4" s="3195" t="s">
        <v>2643</v>
      </c>
      <c r="F4" s="3196"/>
      <c r="G4" s="3193" t="s">
        <v>2644</v>
      </c>
      <c r="H4" s="3194"/>
      <c r="I4" s="3193" t="s">
        <v>2645</v>
      </c>
      <c r="J4" s="3194"/>
      <c r="K4" s="610" t="s">
        <v>2646</v>
      </c>
      <c r="L4" s="1130"/>
      <c r="M4" s="1131"/>
      <c r="N4" s="1131"/>
      <c r="O4" s="1131"/>
      <c r="P4" s="3197" t="s">
        <v>2647</v>
      </c>
      <c r="Q4" s="3198"/>
      <c r="R4" s="3180" t="s">
        <v>2643</v>
      </c>
      <c r="S4" s="3181"/>
      <c r="T4" s="3180" t="s">
        <v>2644</v>
      </c>
      <c r="U4" s="3181"/>
      <c r="V4" s="3205" t="s">
        <v>2645</v>
      </c>
      <c r="W4" s="3205"/>
      <c r="X4" s="1813"/>
      <c r="Y4" s="3180" t="s">
        <v>2647</v>
      </c>
      <c r="Z4" s="3181"/>
      <c r="AA4" s="3175" t="s">
        <v>2643</v>
      </c>
      <c r="AB4" s="3205" t="s">
        <v>2644</v>
      </c>
      <c r="AC4" s="3175" t="s">
        <v>2645</v>
      </c>
    </row>
    <row r="5" spans="1:29" ht="15">
      <c r="A5" s="404"/>
      <c r="B5" s="405"/>
      <c r="C5" s="3276" t="s">
        <v>2538</v>
      </c>
      <c r="D5" s="3187"/>
      <c r="E5" s="3275" t="s">
        <v>2539</v>
      </c>
      <c r="F5" s="3185"/>
      <c r="G5" s="3276" t="s">
        <v>2540</v>
      </c>
      <c r="H5" s="3187"/>
      <c r="I5" s="3276" t="s">
        <v>2541</v>
      </c>
      <c r="J5" s="3187"/>
      <c r="K5" s="610"/>
      <c r="L5" s="1130"/>
      <c r="M5" s="1131"/>
      <c r="N5" s="1131"/>
      <c r="O5" s="1131"/>
      <c r="P5" s="3199"/>
      <c r="Q5" s="3200"/>
      <c r="R5" s="3182"/>
      <c r="S5" s="3183"/>
      <c r="T5" s="3182"/>
      <c r="U5" s="3183"/>
      <c r="V5" s="3205"/>
      <c r="W5" s="3205"/>
      <c r="X5" s="1813"/>
      <c r="Y5" s="3182"/>
      <c r="Z5" s="3183"/>
      <c r="AA5" s="3176"/>
      <c r="AB5" s="3205"/>
      <c r="AC5" s="3176"/>
    </row>
    <row r="6" spans="1:29" ht="15.75" thickBot="1">
      <c r="A6" s="406"/>
      <c r="B6" s="407"/>
      <c r="C6" s="3277" t="s">
        <v>2542</v>
      </c>
      <c r="D6" s="3189"/>
      <c r="E6" s="3278" t="s">
        <v>2542</v>
      </c>
      <c r="F6" s="3191"/>
      <c r="G6" s="3277" t="s">
        <v>2542</v>
      </c>
      <c r="H6" s="3189"/>
      <c r="I6" s="3277" t="s">
        <v>2542</v>
      </c>
      <c r="J6" s="3189"/>
      <c r="K6" s="610" t="s">
        <v>2543</v>
      </c>
      <c r="L6" s="1130"/>
      <c r="M6" s="1131"/>
      <c r="N6" s="1131"/>
      <c r="O6" s="1131"/>
      <c r="P6" s="3201"/>
      <c r="Q6" s="3202"/>
      <c r="R6" s="3182"/>
      <c r="S6" s="3183"/>
      <c r="T6" s="3203"/>
      <c r="U6" s="3204"/>
      <c r="V6" s="3205"/>
      <c r="W6" s="3205"/>
      <c r="X6" s="1813"/>
      <c r="Y6" s="3203"/>
      <c r="Z6" s="3204"/>
      <c r="AA6" s="3177"/>
      <c r="AB6" s="3205"/>
      <c r="AC6" s="3177"/>
    </row>
    <row r="7" spans="1:29" s="117" customFormat="1" ht="15.75" thickBot="1">
      <c r="A7" s="408" t="s">
        <v>2544</v>
      </c>
      <c r="B7" s="409"/>
      <c r="C7" s="410">
        <f>'数据-取费表'!B2</f>
        <v>43111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8" t="s">
        <v>2545</v>
      </c>
      <c r="Q7" s="3206"/>
      <c r="R7" s="770" t="s">
        <v>17</v>
      </c>
      <c r="S7" s="771">
        <f t="shared" ref="S7:S15" si="0">F7</f>
        <v>0</v>
      </c>
      <c r="T7" s="770" t="s">
        <v>17</v>
      </c>
      <c r="U7" s="771">
        <f t="shared" ref="U7:U15" si="1">H7</f>
        <v>0</v>
      </c>
      <c r="V7" s="770" t="s">
        <v>17</v>
      </c>
      <c r="W7" s="771">
        <f t="shared" ref="W7:W15" si="2">J7</f>
        <v>0</v>
      </c>
      <c r="X7" s="772"/>
      <c r="Y7" s="3178" t="s">
        <v>2545</v>
      </c>
      <c r="Z7" s="3179"/>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8" t="s">
        <v>2548</v>
      </c>
      <c r="Q8" s="3179"/>
      <c r="R8" s="770" t="s">
        <v>17</v>
      </c>
      <c r="S8" s="771">
        <f t="shared" si="0"/>
        <v>0</v>
      </c>
      <c r="T8" s="770" t="s">
        <v>17</v>
      </c>
      <c r="U8" s="771">
        <f t="shared" si="1"/>
        <v>0</v>
      </c>
      <c r="V8" s="770" t="s">
        <v>17</v>
      </c>
      <c r="W8" s="771">
        <f t="shared" si="2"/>
        <v>0</v>
      </c>
      <c r="X8" s="772"/>
      <c r="Y8" s="3178" t="s">
        <v>2548</v>
      </c>
      <c r="Z8" s="3179"/>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6" t="s">
        <v>2551</v>
      </c>
      <c r="Q9" s="1795" t="str">
        <f t="shared" ref="Q9:Q15" si="6">B9</f>
        <v>用途</v>
      </c>
      <c r="R9" s="770" t="s">
        <v>17</v>
      </c>
      <c r="S9" s="771">
        <f t="shared" si="0"/>
        <v>100</v>
      </c>
      <c r="T9" s="770" t="s">
        <v>17</v>
      </c>
      <c r="U9" s="771">
        <f t="shared" si="1"/>
        <v>100</v>
      </c>
      <c r="V9" s="770" t="s">
        <v>17</v>
      </c>
      <c r="W9" s="771">
        <f t="shared" si="2"/>
        <v>100</v>
      </c>
      <c r="X9" s="772"/>
      <c r="Y9" s="305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6"/>
      <c r="Q11" s="1795"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6"/>
      <c r="Q12" s="1795">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6"/>
      <c r="Q13" s="1795">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6"/>
      <c r="Q14" s="1795">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71.25">
      <c r="A15" s="440" t="s">
        <v>2555</v>
      </c>
      <c r="B15" s="69" t="s">
        <v>2649</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85" t="s">
        <v>2556</v>
      </c>
      <c r="Q15" s="1810" t="str">
        <f t="shared" si="6"/>
        <v>商业繁华度</v>
      </c>
      <c r="R15" s="774" t="s">
        <v>17</v>
      </c>
      <c r="S15" s="775">
        <f t="shared" si="0"/>
        <v>100</v>
      </c>
      <c r="T15" s="774" t="s">
        <v>17</v>
      </c>
      <c r="U15" s="775">
        <f t="shared" si="1"/>
        <v>100</v>
      </c>
      <c r="V15" s="774" t="s">
        <v>17</v>
      </c>
      <c r="W15" s="775">
        <f t="shared" si="2"/>
        <v>100</v>
      </c>
      <c r="X15" s="1813"/>
      <c r="Y15" s="3207"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86"/>
      <c r="Q16" s="1810"/>
      <c r="R16" s="774"/>
      <c r="S16" s="775"/>
      <c r="T16" s="774"/>
      <c r="U16" s="775"/>
      <c r="V16" s="774"/>
      <c r="W16" s="775"/>
      <c r="X16" s="1813"/>
      <c r="Y16" s="3208"/>
      <c r="Z16" s="1814"/>
      <c r="AA16" s="1811">
        <v>1</v>
      </c>
      <c r="AB16" s="1811">
        <v>1</v>
      </c>
      <c r="AC16" s="1811">
        <v>1</v>
      </c>
    </row>
    <row r="17" spans="1:29" ht="128.25">
      <c r="A17" s="428"/>
      <c r="B17" s="451" t="s">
        <v>2095</v>
      </c>
      <c r="C17" s="2603" t="str">
        <f>估价对象房地状况!C6</f>
        <v>估价对象多面临街，周边道路路网较为密集，公共交通通达情况较好，有417、533路等、停车便捷程度较好，综合评价交通便捷度较好。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86"/>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1"/>
      <c r="P18" s="3286"/>
      <c r="Q18" s="1810"/>
      <c r="R18" s="774"/>
      <c r="S18" s="775"/>
      <c r="T18" s="774"/>
      <c r="U18" s="775"/>
      <c r="V18" s="774"/>
      <c r="W18" s="775"/>
      <c r="X18" s="1813"/>
      <c r="Y18" s="3208"/>
      <c r="Z18" s="1814"/>
      <c r="AA18" s="1811">
        <v>1</v>
      </c>
      <c r="AB18" s="1811">
        <v>1</v>
      </c>
      <c r="AC18" s="1811">
        <v>1</v>
      </c>
    </row>
    <row r="19" spans="1:29" ht="213.75">
      <c r="A19" s="428"/>
      <c r="B19" s="451" t="s">
        <v>2650</v>
      </c>
      <c r="C19" s="2603" t="str">
        <f>估价对象房地状况!C7</f>
        <v>估价对象所在区域2公里范围内有：银行（中国银行、北京农村商业银行），购物（物联隆超市、超市发超市）、医院（北七家社区卫生服务中心），学校（北京市晨星学校、伊顿双语幼儿园），餐饮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86"/>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1"/>
      <c r="P20" s="3286"/>
      <c r="Q20" s="1810"/>
      <c r="R20" s="774"/>
      <c r="S20" s="775"/>
      <c r="T20" s="774"/>
      <c r="U20" s="775"/>
      <c r="V20" s="774"/>
      <c r="W20" s="775"/>
      <c r="X20" s="1813"/>
      <c r="Y20" s="3208"/>
      <c r="Z20" s="1814"/>
      <c r="AA20" s="1811">
        <v>1</v>
      </c>
      <c r="AB20" s="1811">
        <v>1</v>
      </c>
      <c r="AC20" s="1811">
        <v>1</v>
      </c>
    </row>
    <row r="21" spans="1:29" ht="42.75">
      <c r="A21" s="428"/>
      <c r="B21" s="1384" t="s">
        <v>2651</v>
      </c>
      <c r="C21" s="2603"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86"/>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1"/>
      <c r="P22" s="3286"/>
      <c r="Q22" s="1810"/>
      <c r="R22" s="774"/>
      <c r="S22" s="775"/>
      <c r="T22" s="774"/>
      <c r="U22" s="775"/>
      <c r="V22" s="774"/>
      <c r="W22" s="775"/>
      <c r="X22" s="1813"/>
      <c r="Y22" s="3208"/>
      <c r="Z22" s="1814"/>
      <c r="AA22" s="1811">
        <v>1</v>
      </c>
      <c r="AB22" s="1811">
        <v>1</v>
      </c>
      <c r="AC22" s="1811">
        <v>1</v>
      </c>
    </row>
    <row r="23" spans="1:29" ht="99.75">
      <c r="A23" s="428"/>
      <c r="B23" s="451" t="s">
        <v>2100</v>
      </c>
      <c r="C23" s="2660" t="str">
        <f>估价对象房地状况!C9</f>
        <v>区域自然环境：未来科技城滨河公园；人文环境：无展览馆、博物馆等；综合评价环境状况一般。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86"/>
      <c r="Q23" s="1810" t="str">
        <f>B23</f>
        <v>自然及人文环境</v>
      </c>
      <c r="R23" s="774" t="s">
        <v>17</v>
      </c>
      <c r="S23" s="775">
        <f>F23</f>
        <v>100</v>
      </c>
      <c r="T23" s="774" t="s">
        <v>17</v>
      </c>
      <c r="U23" s="775">
        <f>H23</f>
        <v>100</v>
      </c>
      <c r="V23" s="774" t="s">
        <v>17</v>
      </c>
      <c r="W23" s="775">
        <f>J23</f>
        <v>100</v>
      </c>
      <c r="X23" s="1813"/>
      <c r="Y23" s="3208"/>
      <c r="Z23" s="1814" t="str">
        <f>Q23</f>
        <v>自然及人文环境</v>
      </c>
      <c r="AA23" s="1811">
        <f t="shared" si="3"/>
        <v>1</v>
      </c>
      <c r="AB23" s="1811">
        <f t="shared" si="4"/>
        <v>1</v>
      </c>
      <c r="AC23" s="1811">
        <f t="shared" si="5"/>
        <v>1</v>
      </c>
    </row>
    <row r="24" spans="1:29" ht="15">
      <c r="A24" s="428"/>
      <c r="B24" s="456"/>
      <c r="C24" s="447"/>
      <c r="D24" s="448"/>
      <c r="E24" s="2601"/>
      <c r="F24" s="449"/>
      <c r="G24" s="2600"/>
      <c r="H24" s="448"/>
      <c r="I24" s="2601"/>
      <c r="J24" s="448"/>
      <c r="K24" s="615"/>
      <c r="L24" s="1140"/>
      <c r="M24" s="1131"/>
      <c r="N24" s="1131"/>
      <c r="O24" s="1131"/>
      <c r="P24" s="3286"/>
      <c r="Q24" s="1810"/>
      <c r="R24" s="774"/>
      <c r="S24" s="775"/>
      <c r="T24" s="774"/>
      <c r="U24" s="775"/>
      <c r="V24" s="774"/>
      <c r="W24" s="775"/>
      <c r="X24" s="1813"/>
      <c r="Y24" s="3208"/>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86"/>
      <c r="Q25" s="1810" t="str">
        <f t="shared" ref="Q25:Q46" si="11">B25</f>
        <v>临街状况</v>
      </c>
      <c r="R25" s="774" t="s">
        <v>17</v>
      </c>
      <c r="S25" s="775">
        <f>F25</f>
        <v>100</v>
      </c>
      <c r="T25" s="774" t="s">
        <v>17</v>
      </c>
      <c r="U25" s="775">
        <f>H25</f>
        <v>100</v>
      </c>
      <c r="V25" s="774" t="s">
        <v>17</v>
      </c>
      <c r="W25" s="775">
        <f>J25</f>
        <v>100</v>
      </c>
      <c r="X25" s="1813"/>
      <c r="Y25" s="3208"/>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86"/>
      <c r="Q26" s="1810" t="str">
        <f t="shared" si="11"/>
        <v>平面位置/可视性</v>
      </c>
      <c r="R26" s="774" t="s">
        <v>17</v>
      </c>
      <c r="S26" s="775">
        <f>F26</f>
        <v>100</v>
      </c>
      <c r="T26" s="774" t="s">
        <v>17</v>
      </c>
      <c r="U26" s="775">
        <f>H26</f>
        <v>100</v>
      </c>
      <c r="V26" s="774" t="s">
        <v>17</v>
      </c>
      <c r="W26" s="775">
        <f>J26</f>
        <v>100</v>
      </c>
      <c r="X26" s="1813"/>
      <c r="Y26" s="3208"/>
      <c r="Z26" s="1814" t="str">
        <f>Q26</f>
        <v>平面位置/可视性</v>
      </c>
      <c r="AA26" s="1811">
        <f t="shared" si="3"/>
        <v>1</v>
      </c>
      <c r="AB26" s="1811">
        <f t="shared" si="4"/>
        <v>1</v>
      </c>
      <c r="AC26" s="1811">
        <f t="shared" si="5"/>
        <v>1</v>
      </c>
    </row>
    <row r="27" spans="1:29" s="117" customFormat="1" ht="15">
      <c r="A27" s="431"/>
      <c r="B27" s="451" t="s">
        <v>2654</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86"/>
      <c r="Q27" s="1795" t="str">
        <f t="shared" si="11"/>
        <v>人流量</v>
      </c>
      <c r="R27" s="770" t="s">
        <v>17</v>
      </c>
      <c r="S27" s="771">
        <f>F27</f>
        <v>100</v>
      </c>
      <c r="T27" s="770" t="s">
        <v>17</v>
      </c>
      <c r="U27" s="771">
        <f>H27</f>
        <v>100</v>
      </c>
      <c r="V27" s="770" t="s">
        <v>17</v>
      </c>
      <c r="W27" s="771">
        <f>J27</f>
        <v>100</v>
      </c>
      <c r="X27" s="772"/>
      <c r="Y27" s="3208"/>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8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86"/>
      <c r="Q29" s="1810">
        <f t="shared" si="11"/>
        <v>111</v>
      </c>
      <c r="R29" s="774" t="s">
        <v>17</v>
      </c>
      <c r="S29" s="775">
        <f t="shared" si="12"/>
        <v>100</v>
      </c>
      <c r="T29" s="774" t="s">
        <v>17</v>
      </c>
      <c r="U29" s="775">
        <f t="shared" si="13"/>
        <v>100</v>
      </c>
      <c r="V29" s="774" t="s">
        <v>17</v>
      </c>
      <c r="W29" s="775">
        <f t="shared" si="14"/>
        <v>100</v>
      </c>
      <c r="X29" s="1813"/>
      <c r="Y29" s="320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86"/>
      <c r="Q30" s="1810">
        <f t="shared" si="11"/>
        <v>111</v>
      </c>
      <c r="R30" s="774" t="s">
        <v>17</v>
      </c>
      <c r="S30" s="775">
        <f t="shared" si="12"/>
        <v>100</v>
      </c>
      <c r="T30" s="774" t="s">
        <v>17</v>
      </c>
      <c r="U30" s="775">
        <f t="shared" si="13"/>
        <v>100</v>
      </c>
      <c r="V30" s="774" t="s">
        <v>17</v>
      </c>
      <c r="W30" s="775">
        <f t="shared" si="14"/>
        <v>100</v>
      </c>
      <c r="X30" s="1813"/>
      <c r="Y30" s="320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86"/>
      <c r="Q31" s="1810">
        <f t="shared" si="11"/>
        <v>111</v>
      </c>
      <c r="R31" s="774" t="s">
        <v>17</v>
      </c>
      <c r="S31" s="775">
        <f t="shared" si="12"/>
        <v>100</v>
      </c>
      <c r="T31" s="774" t="s">
        <v>17</v>
      </c>
      <c r="U31" s="775">
        <f t="shared" si="13"/>
        <v>100</v>
      </c>
      <c r="V31" s="774" t="s">
        <v>17</v>
      </c>
      <c r="W31" s="775">
        <f t="shared" si="14"/>
        <v>100</v>
      </c>
      <c r="X31" s="1813"/>
      <c r="Y31" s="3208"/>
      <c r="Z31" s="1814">
        <f t="shared" si="15"/>
        <v>111</v>
      </c>
      <c r="AA31" s="1811">
        <f t="shared" si="3"/>
        <v>1</v>
      </c>
      <c r="AB31" s="1811">
        <f t="shared" si="4"/>
        <v>1</v>
      </c>
      <c r="AC31" s="1811">
        <f t="shared" si="5"/>
        <v>1</v>
      </c>
    </row>
    <row r="32" spans="1:29" ht="15">
      <c r="A32" s="440" t="s">
        <v>2559</v>
      </c>
      <c r="B32" s="71" t="s">
        <v>2656</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81" t="s">
        <v>2561</v>
      </c>
      <c r="Q32" s="1810" t="str">
        <f t="shared" si="11"/>
        <v>商业类型</v>
      </c>
      <c r="R32" s="774" t="s">
        <v>17</v>
      </c>
      <c r="S32" s="775">
        <f t="shared" si="12"/>
        <v>100</v>
      </c>
      <c r="T32" s="774" t="s">
        <v>17</v>
      </c>
      <c r="U32" s="775">
        <f t="shared" si="13"/>
        <v>100</v>
      </c>
      <c r="V32" s="774" t="s">
        <v>17</v>
      </c>
      <c r="W32" s="775">
        <f t="shared" si="14"/>
        <v>100</v>
      </c>
      <c r="X32" s="1813"/>
      <c r="Y32" s="3210"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82"/>
      <c r="Q33" s="776" t="str">
        <f t="shared" si="11"/>
        <v>项目建筑规模</v>
      </c>
      <c r="R33" s="777" t="s">
        <v>17</v>
      </c>
      <c r="S33" s="778" t="e">
        <f t="shared" si="12"/>
        <v>#N/A</v>
      </c>
      <c r="T33" s="777" t="s">
        <v>17</v>
      </c>
      <c r="U33" s="778" t="e">
        <f t="shared" si="13"/>
        <v>#N/A</v>
      </c>
      <c r="V33" s="777" t="s">
        <v>17</v>
      </c>
      <c r="W33" s="778" t="e">
        <f t="shared" si="14"/>
        <v>#N/A</v>
      </c>
      <c r="X33" s="779"/>
      <c r="Y33" s="3210"/>
      <c r="Z33" s="780" t="str">
        <f t="shared" si="15"/>
        <v>项目建筑规模</v>
      </c>
      <c r="AA33" s="1811" t="e">
        <f t="shared" si="3"/>
        <v>#N/A</v>
      </c>
      <c r="AB33" s="1811" t="e">
        <f t="shared" si="4"/>
        <v>#N/A</v>
      </c>
      <c r="AC33" s="1811" t="e">
        <f t="shared" si="5"/>
        <v>#N/A</v>
      </c>
    </row>
    <row r="34" spans="1:29" ht="15">
      <c r="A34" s="472"/>
      <c r="B34" s="422" t="s">
        <v>2563</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282"/>
      <c r="Q34" s="1810" t="str">
        <f t="shared" si="11"/>
        <v>建筑结构</v>
      </c>
      <c r="R34" s="774" t="s">
        <v>17</v>
      </c>
      <c r="S34" s="775">
        <f t="shared" si="12"/>
        <v>100</v>
      </c>
      <c r="T34" s="774" t="s">
        <v>17</v>
      </c>
      <c r="U34" s="775">
        <f t="shared" si="13"/>
        <v>100</v>
      </c>
      <c r="V34" s="774" t="s">
        <v>17</v>
      </c>
      <c r="W34" s="775">
        <f t="shared" si="14"/>
        <v>100</v>
      </c>
      <c r="X34" s="1813"/>
      <c r="Y34" s="3210"/>
      <c r="Z34" s="1814" t="str">
        <f t="shared" si="15"/>
        <v>建筑结构</v>
      </c>
      <c r="AA34" s="1811">
        <f t="shared" si="3"/>
        <v>1</v>
      </c>
      <c r="AB34" s="1811">
        <f t="shared" si="4"/>
        <v>1</v>
      </c>
      <c r="AC34" s="1811">
        <f t="shared" si="5"/>
        <v>1</v>
      </c>
    </row>
    <row r="35" spans="1:29" ht="15">
      <c r="A35" s="472"/>
      <c r="B35" s="422" t="s">
        <v>2657</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82"/>
      <c r="Q35" s="1810" t="str">
        <f t="shared" si="11"/>
        <v>公共部分装修</v>
      </c>
      <c r="R35" s="774" t="s">
        <v>17</v>
      </c>
      <c r="S35" s="775">
        <f t="shared" si="12"/>
        <v>100</v>
      </c>
      <c r="T35" s="774" t="s">
        <v>17</v>
      </c>
      <c r="U35" s="775">
        <f t="shared" si="13"/>
        <v>100</v>
      </c>
      <c r="V35" s="774" t="s">
        <v>17</v>
      </c>
      <c r="W35" s="775">
        <f t="shared" si="14"/>
        <v>100</v>
      </c>
      <c r="X35" s="1813"/>
      <c r="Y35" s="3210"/>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82"/>
      <c r="Q36" s="1810" t="str">
        <f t="shared" si="11"/>
        <v>成新度</v>
      </c>
      <c r="R36" s="774" t="s">
        <v>17</v>
      </c>
      <c r="S36" s="775" t="e">
        <f t="shared" si="12"/>
        <v>#N/A</v>
      </c>
      <c r="T36" s="774" t="s">
        <v>17</v>
      </c>
      <c r="U36" s="775" t="e">
        <f t="shared" si="13"/>
        <v>#N/A</v>
      </c>
      <c r="V36" s="774" t="s">
        <v>17</v>
      </c>
      <c r="W36" s="775" t="e">
        <f t="shared" si="14"/>
        <v>#N/A</v>
      </c>
      <c r="X36" s="1813"/>
      <c r="Y36" s="3210"/>
      <c r="Z36" s="1814" t="str">
        <f t="shared" si="15"/>
        <v>成新度</v>
      </c>
      <c r="AA36" s="1811" t="e">
        <f t="shared" si="3"/>
        <v>#N/A</v>
      </c>
      <c r="AB36" s="1811" t="e">
        <f t="shared" si="4"/>
        <v>#N/A</v>
      </c>
      <c r="AC36" s="1811" t="e">
        <f t="shared" si="5"/>
        <v>#N/A</v>
      </c>
    </row>
    <row r="37" spans="1:29" s="117" customFormat="1" ht="15">
      <c r="A37" s="473"/>
      <c r="B37" s="422" t="s">
        <v>2659</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82"/>
      <c r="Q37" s="1795" t="str">
        <f t="shared" si="11"/>
        <v>市政基础设施</v>
      </c>
      <c r="R37" s="770" t="s">
        <v>17</v>
      </c>
      <c r="S37" s="771">
        <f t="shared" si="12"/>
        <v>100</v>
      </c>
      <c r="T37" s="770" t="s">
        <v>17</v>
      </c>
      <c r="U37" s="771">
        <f t="shared" si="13"/>
        <v>100</v>
      </c>
      <c r="V37" s="770" t="s">
        <v>17</v>
      </c>
      <c r="W37" s="771">
        <f t="shared" si="14"/>
        <v>100</v>
      </c>
      <c r="X37" s="772"/>
      <c r="Y37" s="3210"/>
      <c r="Z37" s="55" t="str">
        <f t="shared" si="15"/>
        <v>市政基础设施</v>
      </c>
      <c r="AA37" s="773">
        <f t="shared" si="3"/>
        <v>1</v>
      </c>
      <c r="AB37" s="773">
        <f t="shared" si="4"/>
        <v>1</v>
      </c>
      <c r="AC37" s="773">
        <f t="shared" si="5"/>
        <v>1</v>
      </c>
    </row>
    <row r="38" spans="1:29" ht="15">
      <c r="A38" s="472"/>
      <c r="B38" s="422" t="s">
        <v>2660</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82" t="s">
        <v>2561</v>
      </c>
      <c r="Q38" s="1810" t="str">
        <f t="shared" si="11"/>
        <v>业态</v>
      </c>
      <c r="R38" s="774" t="s">
        <v>17</v>
      </c>
      <c r="S38" s="775">
        <f t="shared" si="12"/>
        <v>100</v>
      </c>
      <c r="T38" s="774" t="s">
        <v>17</v>
      </c>
      <c r="U38" s="775">
        <f t="shared" si="13"/>
        <v>100</v>
      </c>
      <c r="V38" s="774" t="s">
        <v>17</v>
      </c>
      <c r="W38" s="775">
        <f t="shared" si="14"/>
        <v>100</v>
      </c>
      <c r="X38" s="1813"/>
      <c r="Y38" s="3210" t="s">
        <v>2561</v>
      </c>
      <c r="Z38" s="1814" t="str">
        <f t="shared" si="15"/>
        <v>业态</v>
      </c>
      <c r="AA38" s="1811">
        <f t="shared" si="3"/>
        <v>1</v>
      </c>
      <c r="AB38" s="1811">
        <f t="shared" si="4"/>
        <v>1</v>
      </c>
      <c r="AC38" s="1811">
        <f t="shared" si="5"/>
        <v>1</v>
      </c>
    </row>
    <row r="39" spans="1:29" ht="15">
      <c r="A39" s="472"/>
      <c r="B39" s="422" t="s">
        <v>2661</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82"/>
      <c r="Q39" s="1810" t="str">
        <f t="shared" si="11"/>
        <v>层高</v>
      </c>
      <c r="R39" s="774" t="s">
        <v>17</v>
      </c>
      <c r="S39" s="775">
        <f t="shared" si="12"/>
        <v>100</v>
      </c>
      <c r="T39" s="774" t="s">
        <v>17</v>
      </c>
      <c r="U39" s="775">
        <f t="shared" si="13"/>
        <v>100</v>
      </c>
      <c r="V39" s="774" t="s">
        <v>17</v>
      </c>
      <c r="W39" s="775">
        <f t="shared" si="14"/>
        <v>100</v>
      </c>
      <c r="X39" s="1813"/>
      <c r="Y39" s="3210"/>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82"/>
      <c r="Q40" s="1810" t="str">
        <f t="shared" si="11"/>
        <v>单套建筑面积</v>
      </c>
      <c r="R40" s="774" t="s">
        <v>17</v>
      </c>
      <c r="S40" s="775">
        <f t="shared" si="12"/>
        <v>100</v>
      </c>
      <c r="T40" s="774" t="s">
        <v>17</v>
      </c>
      <c r="U40" s="775">
        <f t="shared" si="13"/>
        <v>100</v>
      </c>
      <c r="V40" s="774" t="s">
        <v>17</v>
      </c>
      <c r="W40" s="775">
        <f t="shared" si="14"/>
        <v>100</v>
      </c>
      <c r="X40" s="1813"/>
      <c r="Y40" s="3210"/>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82"/>
      <c r="Q41" s="776" t="str">
        <f t="shared" si="11"/>
        <v>进深比</v>
      </c>
      <c r="R41" s="777" t="s">
        <v>17</v>
      </c>
      <c r="S41" s="778">
        <f t="shared" si="12"/>
        <v>100</v>
      </c>
      <c r="T41" s="777" t="s">
        <v>17</v>
      </c>
      <c r="U41" s="778">
        <f t="shared" si="13"/>
        <v>100</v>
      </c>
      <c r="V41" s="777" t="s">
        <v>17</v>
      </c>
      <c r="W41" s="778">
        <f t="shared" si="14"/>
        <v>100</v>
      </c>
      <c r="X41" s="779"/>
      <c r="Y41" s="3210"/>
      <c r="Z41" s="780" t="str">
        <f t="shared" si="15"/>
        <v>进深比</v>
      </c>
      <c r="AA41" s="1811">
        <f t="shared" si="3"/>
        <v>1</v>
      </c>
      <c r="AB41" s="1811">
        <f t="shared" si="4"/>
        <v>1</v>
      </c>
      <c r="AC41" s="1811">
        <f t="shared" si="5"/>
        <v>1</v>
      </c>
    </row>
    <row r="42" spans="1:29" ht="15">
      <c r="A42" s="472"/>
      <c r="B42" s="422" t="s">
        <v>2664</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82"/>
      <c r="Q42" s="1810" t="str">
        <f t="shared" si="11"/>
        <v>内部装修</v>
      </c>
      <c r="R42" s="774" t="s">
        <v>17</v>
      </c>
      <c r="S42" s="775">
        <f t="shared" si="12"/>
        <v>100</v>
      </c>
      <c r="T42" s="774" t="s">
        <v>17</v>
      </c>
      <c r="U42" s="775">
        <f t="shared" si="13"/>
        <v>100</v>
      </c>
      <c r="V42" s="774" t="s">
        <v>17</v>
      </c>
      <c r="W42" s="775">
        <f t="shared" si="14"/>
        <v>100</v>
      </c>
      <c r="X42" s="1813"/>
      <c r="Y42" s="3210"/>
      <c r="Z42" s="1814" t="str">
        <f t="shared" si="15"/>
        <v>内部装修</v>
      </c>
      <c r="AA42" s="1811">
        <f t="shared" si="3"/>
        <v>1</v>
      </c>
      <c r="AB42" s="1811">
        <f t="shared" si="4"/>
        <v>1</v>
      </c>
      <c r="AC42" s="1811">
        <f t="shared" si="5"/>
        <v>1</v>
      </c>
    </row>
    <row r="43" spans="1:29" ht="15">
      <c r="A43" s="472"/>
      <c r="B43" s="422" t="s">
        <v>2572</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82"/>
      <c r="Q43" s="1810" t="str">
        <f t="shared" si="11"/>
        <v>内部装修维护情况</v>
      </c>
      <c r="R43" s="774" t="s">
        <v>17</v>
      </c>
      <c r="S43" s="775">
        <f t="shared" si="12"/>
        <v>100</v>
      </c>
      <c r="T43" s="774" t="s">
        <v>17</v>
      </c>
      <c r="U43" s="775">
        <f t="shared" si="13"/>
        <v>100</v>
      </c>
      <c r="V43" s="774" t="s">
        <v>17</v>
      </c>
      <c r="W43" s="775">
        <f t="shared" si="14"/>
        <v>100</v>
      </c>
      <c r="X43" s="1813"/>
      <c r="Y43" s="321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82"/>
      <c r="Q44" s="1795">
        <f t="shared" si="11"/>
        <v>111</v>
      </c>
      <c r="R44" s="770" t="s">
        <v>17</v>
      </c>
      <c r="S44" s="771">
        <f t="shared" si="12"/>
        <v>100</v>
      </c>
      <c r="T44" s="770" t="s">
        <v>17</v>
      </c>
      <c r="U44" s="771">
        <f t="shared" si="13"/>
        <v>100</v>
      </c>
      <c r="V44" s="770" t="s">
        <v>17</v>
      </c>
      <c r="W44" s="771">
        <f t="shared" si="14"/>
        <v>100</v>
      </c>
      <c r="X44" s="772"/>
      <c r="Y44" s="321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82"/>
      <c r="Q45" s="1810">
        <f t="shared" si="11"/>
        <v>111</v>
      </c>
      <c r="R45" s="774" t="s">
        <v>17</v>
      </c>
      <c r="S45" s="775">
        <f t="shared" si="12"/>
        <v>100</v>
      </c>
      <c r="T45" s="774" t="s">
        <v>17</v>
      </c>
      <c r="U45" s="775">
        <f t="shared" si="13"/>
        <v>100</v>
      </c>
      <c r="V45" s="774" t="s">
        <v>17</v>
      </c>
      <c r="W45" s="775">
        <f t="shared" si="14"/>
        <v>100</v>
      </c>
      <c r="X45" s="1813"/>
      <c r="Y45" s="3210"/>
      <c r="Z45" s="1814">
        <f t="shared" si="15"/>
        <v>111</v>
      </c>
      <c r="AA45" s="1811">
        <f t="shared" si="3"/>
        <v>1</v>
      </c>
      <c r="AB45" s="1811">
        <f t="shared" si="4"/>
        <v>1</v>
      </c>
      <c r="AC45" s="1811">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83"/>
      <c r="Q46" s="1810">
        <f t="shared" si="11"/>
        <v>111</v>
      </c>
      <c r="R46" s="774" t="s">
        <v>17</v>
      </c>
      <c r="S46" s="775">
        <f t="shared" si="12"/>
        <v>100</v>
      </c>
      <c r="T46" s="774" t="s">
        <v>17</v>
      </c>
      <c r="U46" s="775">
        <f t="shared" si="13"/>
        <v>100</v>
      </c>
      <c r="V46" s="774" t="s">
        <v>17</v>
      </c>
      <c r="W46" s="775">
        <f t="shared" si="14"/>
        <v>100</v>
      </c>
      <c r="X46" s="1813"/>
      <c r="Y46" s="3284"/>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192" t="str">
        <f>A47</f>
        <v>成交单价（元/平方米）</v>
      </c>
      <c r="Q47" s="3192"/>
      <c r="R47" s="3205">
        <f>E47</f>
        <v>0</v>
      </c>
      <c r="S47" s="3205"/>
      <c r="T47" s="3205">
        <f>G47</f>
        <v>0</v>
      </c>
      <c r="U47" s="3205"/>
      <c r="V47" s="3205">
        <f>I47</f>
        <v>0</v>
      </c>
      <c r="W47" s="3205"/>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192" t="str">
        <f>A48</f>
        <v>比较价值（元/平方米）</v>
      </c>
      <c r="Q48" s="3192"/>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212" t="str">
        <f>A49</f>
        <v>估价对象XX用房的比较价值（楼面单价，元/平方米）</v>
      </c>
      <c r="Q49" s="3213"/>
      <c r="R49" s="3279" t="e">
        <f>IF(F1="售价",ROUND(AVERAGE(R48:V48),0),ROUND(AVERAGE(R48:V48),1))</f>
        <v>#DIV/0!</v>
      </c>
      <c r="S49" s="3279"/>
      <c r="T49" s="3279"/>
      <c r="U49" s="3279"/>
      <c r="V49" s="3279"/>
      <c r="W49" s="327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2544</v>
      </c>
      <c r="B58" s="506"/>
      <c r="C58" s="1574" t="str">
        <f>YEAR(C7)&amp;"-"&amp;MONTH(C7)</f>
        <v>2018-1</v>
      </c>
      <c r="D58" s="1575">
        <f>EDATE(C58,-1)</f>
        <v>43070</v>
      </c>
      <c r="E58" s="1575">
        <f t="shared" ref="E58:N58" si="16">EDATE(D58,-1)</f>
        <v>43040</v>
      </c>
      <c r="F58" s="1575">
        <f t="shared" si="16"/>
        <v>43009</v>
      </c>
      <c r="G58" s="1575">
        <f t="shared" si="16"/>
        <v>42979</v>
      </c>
      <c r="H58" s="1575">
        <f t="shared" si="16"/>
        <v>42948</v>
      </c>
      <c r="I58" s="1575">
        <f t="shared" si="16"/>
        <v>42917</v>
      </c>
      <c r="J58" s="1575">
        <f t="shared" si="16"/>
        <v>42887</v>
      </c>
      <c r="K58" s="1575">
        <f t="shared" si="16"/>
        <v>42856</v>
      </c>
      <c r="L58" s="1575">
        <f t="shared" si="16"/>
        <v>42826</v>
      </c>
      <c r="M58" s="1575">
        <f t="shared" si="16"/>
        <v>42795</v>
      </c>
      <c r="N58" s="1575">
        <f t="shared" si="16"/>
        <v>42767</v>
      </c>
      <c r="O58" s="1575">
        <f>EDATE(N58,-1)</f>
        <v>42736</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2581</v>
      </c>
      <c r="B60" s="516"/>
      <c r="C60" s="517"/>
      <c r="D60" s="518"/>
      <c r="E60" s="518"/>
      <c r="F60" s="518"/>
      <c r="G60" s="518"/>
      <c r="H60" s="518"/>
      <c r="I60" s="518"/>
      <c r="J60" s="518"/>
      <c r="K60" s="518"/>
      <c r="L60" s="518"/>
      <c r="M60" s="519"/>
      <c r="N60" s="518"/>
      <c r="O60" s="519"/>
      <c r="P60" s="2624"/>
      <c r="Q60" s="504"/>
    </row>
    <row r="61" spans="1:29" s="117" customFormat="1" ht="15">
      <c r="A61" s="521" t="s">
        <v>2546</v>
      </c>
      <c r="B61" s="510"/>
      <c r="C61" s="522" t="s">
        <v>2648</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2584</v>
      </c>
      <c r="B63" s="528" t="s">
        <v>2550</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2676</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2559</v>
      </c>
      <c r="B100" s="528" t="s">
        <v>2677</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2610</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2612</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2678</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2679</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2680</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2616</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5" t="s">
        <v>2682</v>
      </c>
      <c r="C1" s="1620" t="s">
        <v>2526</v>
      </c>
      <c r="D1" s="1621"/>
      <c r="E1" s="1630"/>
      <c r="F1" s="2580"/>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2"/>
      <c r="D2" s="1365" t="e">
        <f ca="1">SUMIF(INDIRECT("'"&amp;F2&amp;"'"&amp;"!A:A"),"承租人权益价值",INDIRECT("'"&amp;F2&amp;"'"&amp;"!c:c"))</f>
        <v>#REF!</v>
      </c>
      <c r="E2" s="2583" t="s">
        <v>2327</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2640</v>
      </c>
      <c r="D3" s="399">
        <f>IF(D1="",'数据-汇总表'!E3,SUMIF('数据-汇总表'!$C19:$C33,D1,'数据-汇总表'!$E19:$E33))</f>
        <v>85215.679999999964</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193" t="s">
        <v>2642</v>
      </c>
      <c r="D4" s="3194"/>
      <c r="E4" s="3195" t="s">
        <v>2643</v>
      </c>
      <c r="F4" s="3196"/>
      <c r="G4" s="3193" t="s">
        <v>2644</v>
      </c>
      <c r="H4" s="3194"/>
      <c r="I4" s="3193" t="s">
        <v>2645</v>
      </c>
      <c r="J4" s="3194"/>
      <c r="K4" s="610" t="s">
        <v>2646</v>
      </c>
      <c r="L4" s="1130"/>
      <c r="M4" s="1131"/>
      <c r="N4" s="1131"/>
      <c r="O4" s="1131"/>
      <c r="P4" s="3293" t="s">
        <v>2647</v>
      </c>
      <c r="Q4" s="3294"/>
      <c r="R4" s="3288" t="s">
        <v>2643</v>
      </c>
      <c r="S4" s="3289"/>
      <c r="T4" s="3288" t="s">
        <v>2644</v>
      </c>
      <c r="U4" s="3289"/>
      <c r="V4" s="3297" t="s">
        <v>2645</v>
      </c>
      <c r="W4" s="3297"/>
      <c r="X4" s="2666"/>
      <c r="Y4" s="3288" t="s">
        <v>2647</v>
      </c>
      <c r="Z4" s="3289"/>
      <c r="AA4" s="3287" t="s">
        <v>2643</v>
      </c>
      <c r="AB4" s="3287" t="s">
        <v>2644</v>
      </c>
      <c r="AC4" s="3290" t="s">
        <v>2645</v>
      </c>
    </row>
    <row r="5" spans="1:29" ht="15">
      <c r="A5" s="404"/>
      <c r="B5" s="405"/>
      <c r="C5" s="3276" t="s">
        <v>2538</v>
      </c>
      <c r="D5" s="3187"/>
      <c r="E5" s="3275" t="s">
        <v>2539</v>
      </c>
      <c r="F5" s="3185"/>
      <c r="G5" s="3276" t="s">
        <v>2540</v>
      </c>
      <c r="H5" s="3187"/>
      <c r="I5" s="3276" t="s">
        <v>2541</v>
      </c>
      <c r="J5" s="3187"/>
      <c r="K5" s="610"/>
      <c r="L5" s="1130"/>
      <c r="M5" s="1131"/>
      <c r="N5" s="1131"/>
      <c r="O5" s="1131"/>
      <c r="P5" s="3295"/>
      <c r="Q5" s="3200"/>
      <c r="R5" s="3182"/>
      <c r="S5" s="3183"/>
      <c r="T5" s="3182"/>
      <c r="U5" s="3183"/>
      <c r="V5" s="3205"/>
      <c r="W5" s="3205"/>
      <c r="X5" s="1813"/>
      <c r="Y5" s="3182"/>
      <c r="Z5" s="3183"/>
      <c r="AA5" s="3176"/>
      <c r="AB5" s="3176"/>
      <c r="AC5" s="3291"/>
    </row>
    <row r="6" spans="1:29" ht="15.75" thickBot="1">
      <c r="A6" s="406"/>
      <c r="B6" s="407"/>
      <c r="C6" s="3277" t="s">
        <v>2542</v>
      </c>
      <c r="D6" s="3189"/>
      <c r="E6" s="3278" t="s">
        <v>2542</v>
      </c>
      <c r="F6" s="3191"/>
      <c r="G6" s="3277" t="s">
        <v>2542</v>
      </c>
      <c r="H6" s="3189"/>
      <c r="I6" s="3277" t="s">
        <v>2542</v>
      </c>
      <c r="J6" s="3189"/>
      <c r="K6" s="610" t="s">
        <v>2543</v>
      </c>
      <c r="L6" s="1130"/>
      <c r="M6" s="1131"/>
      <c r="N6" s="1131"/>
      <c r="O6" s="1131"/>
      <c r="P6" s="3296"/>
      <c r="Q6" s="3202"/>
      <c r="R6" s="3182"/>
      <c r="S6" s="3183"/>
      <c r="T6" s="3203"/>
      <c r="U6" s="3204"/>
      <c r="V6" s="3205"/>
      <c r="W6" s="3205"/>
      <c r="X6" s="1813"/>
      <c r="Y6" s="3203"/>
      <c r="Z6" s="3204"/>
      <c r="AA6" s="3177"/>
      <c r="AB6" s="3177"/>
      <c r="AC6" s="3292"/>
    </row>
    <row r="7" spans="1:29" s="117" customFormat="1" ht="15.75" thickBot="1">
      <c r="A7" s="408" t="s">
        <v>2544</v>
      </c>
      <c r="B7" s="409"/>
      <c r="C7" s="410">
        <f>'数据-取费表'!B2</f>
        <v>43111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98" t="s">
        <v>2545</v>
      </c>
      <c r="Q7" s="3206"/>
      <c r="R7" s="770" t="s">
        <v>17</v>
      </c>
      <c r="S7" s="771">
        <f t="shared" ref="S7:S15" si="0">F7</f>
        <v>0</v>
      </c>
      <c r="T7" s="770" t="s">
        <v>17</v>
      </c>
      <c r="U7" s="771">
        <f t="shared" ref="U7:U15" si="1">H7</f>
        <v>0</v>
      </c>
      <c r="V7" s="770" t="s">
        <v>17</v>
      </c>
      <c r="W7" s="771">
        <f t="shared" ref="W7:W15" si="2">J7</f>
        <v>0</v>
      </c>
      <c r="X7" s="772"/>
      <c r="Y7" s="3178" t="s">
        <v>2545</v>
      </c>
      <c r="Z7" s="3179"/>
      <c r="AA7" s="773" t="e">
        <f>D7/F7</f>
        <v>#DIV/0!</v>
      </c>
      <c r="AB7" s="773" t="e">
        <f>D7/H7</f>
        <v>#DIV/0!</v>
      </c>
      <c r="AC7" s="2667"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98" t="s">
        <v>2548</v>
      </c>
      <c r="Q8" s="3179"/>
      <c r="R8" s="770" t="s">
        <v>17</v>
      </c>
      <c r="S8" s="771">
        <f t="shared" si="0"/>
        <v>0</v>
      </c>
      <c r="T8" s="770" t="s">
        <v>17</v>
      </c>
      <c r="U8" s="771">
        <f t="shared" si="1"/>
        <v>0</v>
      </c>
      <c r="V8" s="770" t="s">
        <v>17</v>
      </c>
      <c r="W8" s="771">
        <f t="shared" si="2"/>
        <v>0</v>
      </c>
      <c r="X8" s="772"/>
      <c r="Y8" s="3178" t="s">
        <v>2548</v>
      </c>
      <c r="Z8" s="3179"/>
      <c r="AA8" s="773" t="e">
        <f t="shared" ref="AA8:AA47" si="3">D8/F8</f>
        <v>#DIV/0!</v>
      </c>
      <c r="AB8" s="773" t="e">
        <f t="shared" ref="AB8:AB47" si="4">D8/H8</f>
        <v>#DIV/0!</v>
      </c>
      <c r="AC8" s="2667"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6" t="s">
        <v>2551</v>
      </c>
      <c r="Q9" s="1795" t="str">
        <f t="shared" ref="Q9:Q15" si="6">B9</f>
        <v>用途</v>
      </c>
      <c r="R9" s="770" t="s">
        <v>17</v>
      </c>
      <c r="S9" s="771">
        <f t="shared" si="0"/>
        <v>100</v>
      </c>
      <c r="T9" s="770" t="s">
        <v>17</v>
      </c>
      <c r="U9" s="771">
        <f t="shared" si="1"/>
        <v>100</v>
      </c>
      <c r="V9" s="770" t="s">
        <v>17</v>
      </c>
      <c r="W9" s="771">
        <f t="shared" si="2"/>
        <v>100</v>
      </c>
      <c r="X9" s="772"/>
      <c r="Y9" s="3052" t="s">
        <v>2552</v>
      </c>
      <c r="Z9" s="55" t="str">
        <f t="shared" ref="Z9:Z15" si="7">Q9</f>
        <v>用途</v>
      </c>
      <c r="AA9" s="773">
        <f t="shared" si="3"/>
        <v>1</v>
      </c>
      <c r="AB9" s="773">
        <f t="shared" si="4"/>
        <v>1</v>
      </c>
      <c r="AC9" s="2667">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2667">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6"/>
      <c r="Q11" s="1795"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16"/>
      <c r="Q12" s="1795">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16"/>
      <c r="Q13" s="1795">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216"/>
      <c r="Q14" s="1795">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2667">
        <f t="shared" si="5"/>
        <v>1</v>
      </c>
    </row>
    <row r="15" spans="1:29" ht="71.25">
      <c r="A15" s="440" t="s">
        <v>2555</v>
      </c>
      <c r="B15" s="629" t="s">
        <v>2683</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85" t="s">
        <v>2556</v>
      </c>
      <c r="Q15" s="1810" t="str">
        <f t="shared" si="6"/>
        <v>办公集聚程度</v>
      </c>
      <c r="R15" s="774" t="s">
        <v>17</v>
      </c>
      <c r="S15" s="775">
        <f t="shared" si="0"/>
        <v>100</v>
      </c>
      <c r="T15" s="774" t="s">
        <v>17</v>
      </c>
      <c r="U15" s="775">
        <f t="shared" si="1"/>
        <v>100</v>
      </c>
      <c r="V15" s="774" t="s">
        <v>17</v>
      </c>
      <c r="W15" s="775">
        <f t="shared" si="2"/>
        <v>100</v>
      </c>
      <c r="X15" s="1813"/>
      <c r="Y15" s="3207" t="s">
        <v>2556</v>
      </c>
      <c r="Z15" s="1814" t="str">
        <f t="shared" si="7"/>
        <v>办公集聚程度</v>
      </c>
      <c r="AA15" s="1811">
        <f t="shared" si="3"/>
        <v>1</v>
      </c>
      <c r="AB15" s="1811">
        <f t="shared" si="4"/>
        <v>1</v>
      </c>
      <c r="AC15" s="2670">
        <f t="shared" si="5"/>
        <v>1</v>
      </c>
    </row>
    <row r="16" spans="1:29" ht="15">
      <c r="A16" s="428"/>
      <c r="B16" s="630"/>
      <c r="C16" s="2607"/>
      <c r="D16" s="448"/>
      <c r="E16" s="447"/>
      <c r="F16" s="448"/>
      <c r="G16" s="2607"/>
      <c r="H16" s="450"/>
      <c r="I16" s="447"/>
      <c r="J16" s="448"/>
      <c r="K16" s="615"/>
      <c r="L16" s="1140"/>
      <c r="M16" s="1131"/>
      <c r="N16" s="1131"/>
      <c r="O16" s="1131"/>
      <c r="P16" s="3286"/>
      <c r="Q16" s="1810"/>
      <c r="R16" s="774"/>
      <c r="S16" s="775"/>
      <c r="T16" s="774"/>
      <c r="U16" s="775"/>
      <c r="V16" s="774"/>
      <c r="W16" s="775"/>
      <c r="X16" s="1813"/>
      <c r="Y16" s="3208"/>
      <c r="Z16" s="1814"/>
      <c r="AA16" s="1811">
        <v>1</v>
      </c>
      <c r="AB16" s="1811">
        <v>1</v>
      </c>
      <c r="AC16" s="2670">
        <v>1</v>
      </c>
    </row>
    <row r="17" spans="1:29" ht="114">
      <c r="A17" s="428"/>
      <c r="B17" s="631" t="s">
        <v>2095</v>
      </c>
      <c r="C17" s="2671" t="str">
        <f>估价对象房地状况!C6</f>
        <v>估价对象多面临街，周边道路路网较为密集，公共交通通达情况较好，有417、533路等、停车便捷程度较好，综合评价交通便捷度较好。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86"/>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2670">
        <f t="shared" si="5"/>
        <v>1</v>
      </c>
    </row>
    <row r="18" spans="1:29" ht="15">
      <c r="A18" s="428"/>
      <c r="B18" s="632"/>
      <c r="C18" s="2672"/>
      <c r="D18" s="450"/>
      <c r="E18" s="2605"/>
      <c r="F18" s="450"/>
      <c r="G18" s="2606"/>
      <c r="H18" s="448"/>
      <c r="I18" s="2606"/>
      <c r="J18" s="448"/>
      <c r="K18" s="615"/>
      <c r="L18" s="1140"/>
      <c r="M18" s="1131"/>
      <c r="N18" s="1131"/>
      <c r="O18" s="1131"/>
      <c r="P18" s="3286"/>
      <c r="Q18" s="1810"/>
      <c r="R18" s="774"/>
      <c r="S18" s="775"/>
      <c r="T18" s="774"/>
      <c r="U18" s="775"/>
      <c r="V18" s="774"/>
      <c r="W18" s="775"/>
      <c r="X18" s="1813"/>
      <c r="Y18" s="3208"/>
      <c r="Z18" s="1814"/>
      <c r="AA18" s="1811">
        <v>1</v>
      </c>
      <c r="AB18" s="1811">
        <v>1</v>
      </c>
      <c r="AC18" s="2670">
        <v>1</v>
      </c>
    </row>
    <row r="19" spans="1:29" ht="185.25">
      <c r="A19" s="428"/>
      <c r="B19" s="631" t="s">
        <v>2684</v>
      </c>
      <c r="C19" s="2671" t="str">
        <f>估价对象房地状况!C7</f>
        <v>估价对象所在区域2公里范围内有：银行（中国银行、北京农村商业银行），购物（物联隆超市、超市发超市）、医院（北七家社区卫生服务中心），学校（北京市晨星学校、伊顿双语幼儿园），餐饮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86"/>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2670">
        <f t="shared" si="5"/>
        <v>1</v>
      </c>
    </row>
    <row r="20" spans="1:29" ht="15">
      <c r="A20" s="428"/>
      <c r="B20" s="632"/>
      <c r="C20" s="2607"/>
      <c r="D20" s="448"/>
      <c r="E20" s="2600"/>
      <c r="F20" s="448"/>
      <c r="G20" s="2601"/>
      <c r="H20" s="448"/>
      <c r="I20" s="2601"/>
      <c r="J20" s="448"/>
      <c r="K20" s="615"/>
      <c r="L20" s="1140"/>
      <c r="M20" s="1131"/>
      <c r="N20" s="1131"/>
      <c r="O20" s="1131"/>
      <c r="P20" s="3286"/>
      <c r="Q20" s="1810"/>
      <c r="R20" s="774"/>
      <c r="S20" s="775"/>
      <c r="T20" s="774"/>
      <c r="U20" s="775"/>
      <c r="V20" s="774"/>
      <c r="W20" s="775"/>
      <c r="X20" s="1813"/>
      <c r="Y20" s="3208"/>
      <c r="Z20" s="1814"/>
      <c r="AA20" s="1811">
        <v>1</v>
      </c>
      <c r="AB20" s="1811">
        <v>1</v>
      </c>
      <c r="AC20" s="2670">
        <v>1</v>
      </c>
    </row>
    <row r="21" spans="1:29" ht="42.75">
      <c r="A21" s="428"/>
      <c r="B21" s="633" t="s">
        <v>2685</v>
      </c>
      <c r="C21" s="2671"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86"/>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2670">
        <f t="shared" ref="AC21" si="10">D21/J21</f>
        <v>1</v>
      </c>
    </row>
    <row r="22" spans="1:29" ht="15">
      <c r="A22" s="428"/>
      <c r="B22" s="633"/>
      <c r="C22" s="2672"/>
      <c r="D22" s="448"/>
      <c r="E22" s="447"/>
      <c r="F22" s="448"/>
      <c r="G22" s="2607"/>
      <c r="H22" s="448"/>
      <c r="I22" s="2607"/>
      <c r="J22" s="448"/>
      <c r="K22" s="1383"/>
      <c r="L22" s="1140"/>
      <c r="M22" s="1131"/>
      <c r="N22" s="1131"/>
      <c r="O22" s="1131"/>
      <c r="P22" s="3286"/>
      <c r="Q22" s="1810"/>
      <c r="R22" s="774"/>
      <c r="S22" s="775"/>
      <c r="T22" s="774"/>
      <c r="U22" s="775"/>
      <c r="V22" s="774"/>
      <c r="W22" s="775"/>
      <c r="X22" s="1813"/>
      <c r="Y22" s="3208"/>
      <c r="Z22" s="1814"/>
      <c r="AA22" s="1811">
        <v>1</v>
      </c>
      <c r="AB22" s="1811">
        <v>1</v>
      </c>
      <c r="AC22" s="2670">
        <v>1</v>
      </c>
    </row>
    <row r="23" spans="1:29" ht="85.5">
      <c r="A23" s="428"/>
      <c r="B23" s="631" t="s">
        <v>2686</v>
      </c>
      <c r="C23" s="2671" t="str">
        <f>估价对象房地状况!C9</f>
        <v>区域自然环境：未来科技城滨河公园；人文环境：无展览馆、博物馆等；综合评价环境状况一般。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86"/>
      <c r="Q23" s="1810" t="str">
        <f>B23</f>
        <v>环境质量</v>
      </c>
      <c r="R23" s="774" t="s">
        <v>17</v>
      </c>
      <c r="S23" s="775">
        <f>F23</f>
        <v>100</v>
      </c>
      <c r="T23" s="774" t="s">
        <v>17</v>
      </c>
      <c r="U23" s="775">
        <f>H23</f>
        <v>100</v>
      </c>
      <c r="V23" s="774" t="s">
        <v>17</v>
      </c>
      <c r="W23" s="775">
        <f>J23</f>
        <v>100</v>
      </c>
      <c r="X23" s="1813"/>
      <c r="Y23" s="3208"/>
      <c r="Z23" s="1814" t="str">
        <f>Q23</f>
        <v>环境质量</v>
      </c>
      <c r="AA23" s="1811">
        <f t="shared" si="3"/>
        <v>1</v>
      </c>
      <c r="AB23" s="1811">
        <f t="shared" si="4"/>
        <v>1</v>
      </c>
      <c r="AC23" s="2670">
        <f t="shared" si="5"/>
        <v>1</v>
      </c>
    </row>
    <row r="24" spans="1:29" ht="15">
      <c r="A24" s="428"/>
      <c r="B24" s="633"/>
      <c r="C24" s="2607"/>
      <c r="D24" s="448"/>
      <c r="E24" s="2600"/>
      <c r="F24" s="448"/>
      <c r="G24" s="2601"/>
      <c r="H24" s="448"/>
      <c r="I24" s="2601"/>
      <c r="J24" s="448"/>
      <c r="K24" s="615"/>
      <c r="L24" s="1140"/>
      <c r="M24" s="1131"/>
      <c r="N24" s="1131"/>
      <c r="O24" s="1131"/>
      <c r="P24" s="3286"/>
      <c r="Q24" s="1810"/>
      <c r="R24" s="774"/>
      <c r="S24" s="775"/>
      <c r="T24" s="774"/>
      <c r="U24" s="775"/>
      <c r="V24" s="774"/>
      <c r="W24" s="775"/>
      <c r="X24" s="1813"/>
      <c r="Y24" s="3208"/>
      <c r="Z24" s="1814"/>
      <c r="AA24" s="1811">
        <v>1</v>
      </c>
      <c r="AB24" s="1811">
        <v>1</v>
      </c>
      <c r="AC24" s="2670">
        <v>1</v>
      </c>
    </row>
    <row r="25" spans="1:29" ht="27">
      <c r="A25" s="404"/>
      <c r="B25" s="631" t="s">
        <v>2687</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86"/>
      <c r="Q25" s="1810" t="str">
        <f>B25</f>
        <v>毗邻道路的类型与等级</v>
      </c>
      <c r="R25" s="774" t="s">
        <v>17</v>
      </c>
      <c r="S25" s="775">
        <f>F25</f>
        <v>100</v>
      </c>
      <c r="T25" s="774" t="s">
        <v>17</v>
      </c>
      <c r="U25" s="775">
        <f>H25</f>
        <v>100</v>
      </c>
      <c r="V25" s="774" t="s">
        <v>17</v>
      </c>
      <c r="W25" s="775">
        <f>J25</f>
        <v>100</v>
      </c>
      <c r="X25" s="1813"/>
      <c r="Y25" s="3208"/>
      <c r="Z25" s="1814" t="str">
        <f>Q25</f>
        <v>毗邻道路的类型与等级</v>
      </c>
      <c r="AA25" s="1811">
        <f t="shared" si="3"/>
        <v>1</v>
      </c>
      <c r="AB25" s="1811">
        <f t="shared" si="4"/>
        <v>1</v>
      </c>
      <c r="AC25" s="2670">
        <f t="shared" si="5"/>
        <v>1</v>
      </c>
    </row>
    <row r="26" spans="1:29" ht="15">
      <c r="A26" s="404"/>
      <c r="B26" s="632"/>
      <c r="C26" s="634"/>
      <c r="D26" s="435"/>
      <c r="E26" s="616"/>
      <c r="F26" s="435"/>
      <c r="G26" s="634"/>
      <c r="H26" s="435"/>
      <c r="I26" s="616"/>
      <c r="J26" s="435"/>
      <c r="K26" s="615"/>
      <c r="L26" s="1140"/>
      <c r="M26" s="1131"/>
      <c r="N26" s="1131"/>
      <c r="O26" s="1131"/>
      <c r="P26" s="3286"/>
      <c r="Q26" s="1810"/>
      <c r="R26" s="774"/>
      <c r="S26" s="775"/>
      <c r="T26" s="774"/>
      <c r="U26" s="775"/>
      <c r="V26" s="774"/>
      <c r="W26" s="775"/>
      <c r="X26" s="1813"/>
      <c r="Y26" s="3208"/>
      <c r="Z26" s="1814"/>
      <c r="AA26" s="1811">
        <v>1</v>
      </c>
      <c r="AB26" s="1811">
        <v>1</v>
      </c>
      <c r="AC26" s="2670">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86"/>
      <c r="Q27" s="1810" t="str">
        <f t="shared" ref="Q27:Q47" si="11">B27</f>
        <v>楼层</v>
      </c>
      <c r="R27" s="774" t="s">
        <v>17</v>
      </c>
      <c r="S27" s="775">
        <f>F27</f>
        <v>100</v>
      </c>
      <c r="T27" s="774" t="s">
        <v>17</v>
      </c>
      <c r="U27" s="775">
        <f>H27</f>
        <v>100</v>
      </c>
      <c r="V27" s="774" t="s">
        <v>17</v>
      </c>
      <c r="W27" s="775">
        <f>J27</f>
        <v>100</v>
      </c>
      <c r="X27" s="1813"/>
      <c r="Y27" s="3208"/>
      <c r="Z27" s="1814" t="str">
        <f>Q27</f>
        <v>楼层</v>
      </c>
      <c r="AA27" s="1811">
        <f t="shared" si="3"/>
        <v>1</v>
      </c>
      <c r="AB27" s="1811">
        <f t="shared" si="4"/>
        <v>1</v>
      </c>
      <c r="AC27" s="2670">
        <f t="shared" si="5"/>
        <v>1</v>
      </c>
    </row>
    <row r="28" spans="1:29" s="117" customFormat="1" ht="15">
      <c r="A28" s="431"/>
      <c r="B28" s="631" t="s">
        <v>2688</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286"/>
      <c r="Q28" s="1795" t="str">
        <f t="shared" si="11"/>
        <v>朝向</v>
      </c>
      <c r="R28" s="770" t="s">
        <v>17</v>
      </c>
      <c r="S28" s="771">
        <f>F28</f>
        <v>100</v>
      </c>
      <c r="T28" s="770" t="s">
        <v>17</v>
      </c>
      <c r="U28" s="771">
        <f>H28</f>
        <v>100</v>
      </c>
      <c r="V28" s="770" t="s">
        <v>17</v>
      </c>
      <c r="W28" s="771">
        <f>J28</f>
        <v>100</v>
      </c>
      <c r="X28" s="772"/>
      <c r="Y28" s="3208"/>
      <c r="Z28" s="55" t="str">
        <f>Q28</f>
        <v>朝向</v>
      </c>
      <c r="AA28" s="1811">
        <f>D28/F28</f>
        <v>1</v>
      </c>
      <c r="AB28" s="1811">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86"/>
      <c r="Q29" s="1810">
        <f t="shared" si="11"/>
        <v>111</v>
      </c>
      <c r="R29" s="774" t="s">
        <v>17</v>
      </c>
      <c r="S29" s="775">
        <f t="shared" ref="S29:S47" si="12">F29</f>
        <v>100</v>
      </c>
      <c r="T29" s="774" t="s">
        <v>17</v>
      </c>
      <c r="U29" s="775">
        <f t="shared" ref="U29:U47" si="13">H29</f>
        <v>100</v>
      </c>
      <c r="V29" s="774" t="s">
        <v>17</v>
      </c>
      <c r="W29" s="775">
        <f t="shared" ref="W29:W47" si="14">J29</f>
        <v>100</v>
      </c>
      <c r="X29" s="1813"/>
      <c r="Y29" s="3208"/>
      <c r="Z29" s="1814">
        <f t="shared" ref="Z29:Z47" si="15">Q29</f>
        <v>111</v>
      </c>
      <c r="AA29" s="1811">
        <f t="shared" si="3"/>
        <v>1</v>
      </c>
      <c r="AB29" s="1811">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86"/>
      <c r="Q30" s="1810">
        <f t="shared" si="11"/>
        <v>111</v>
      </c>
      <c r="R30" s="774" t="s">
        <v>17</v>
      </c>
      <c r="S30" s="775">
        <f t="shared" si="12"/>
        <v>100</v>
      </c>
      <c r="T30" s="774" t="s">
        <v>17</v>
      </c>
      <c r="U30" s="775">
        <f t="shared" si="13"/>
        <v>100</v>
      </c>
      <c r="V30" s="774" t="s">
        <v>17</v>
      </c>
      <c r="W30" s="775">
        <f t="shared" si="14"/>
        <v>100</v>
      </c>
      <c r="X30" s="1813"/>
      <c r="Y30" s="3208"/>
      <c r="Z30" s="1814">
        <f t="shared" si="15"/>
        <v>111</v>
      </c>
      <c r="AA30" s="1811">
        <f t="shared" si="3"/>
        <v>1</v>
      </c>
      <c r="AB30" s="1811">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86"/>
      <c r="Q31" s="1810">
        <f t="shared" si="11"/>
        <v>111</v>
      </c>
      <c r="R31" s="774" t="s">
        <v>17</v>
      </c>
      <c r="S31" s="775">
        <f t="shared" si="12"/>
        <v>100</v>
      </c>
      <c r="T31" s="774" t="s">
        <v>17</v>
      </c>
      <c r="U31" s="775">
        <f t="shared" si="13"/>
        <v>100</v>
      </c>
      <c r="V31" s="774" t="s">
        <v>17</v>
      </c>
      <c r="W31" s="775">
        <f t="shared" si="14"/>
        <v>100</v>
      </c>
      <c r="X31" s="1813"/>
      <c r="Y31" s="3208"/>
      <c r="Z31" s="1814">
        <f t="shared" si="15"/>
        <v>111</v>
      </c>
      <c r="AA31" s="1811">
        <f t="shared" si="3"/>
        <v>1</v>
      </c>
      <c r="AB31" s="1811">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86"/>
      <c r="Q32" s="1810">
        <f t="shared" si="11"/>
        <v>111</v>
      </c>
      <c r="R32" s="774" t="s">
        <v>17</v>
      </c>
      <c r="S32" s="775">
        <f t="shared" si="12"/>
        <v>100</v>
      </c>
      <c r="T32" s="774" t="s">
        <v>17</v>
      </c>
      <c r="U32" s="775">
        <f t="shared" si="13"/>
        <v>100</v>
      </c>
      <c r="V32" s="774" t="s">
        <v>17</v>
      </c>
      <c r="W32" s="775">
        <f t="shared" si="14"/>
        <v>100</v>
      </c>
      <c r="X32" s="1813"/>
      <c r="Y32" s="3208"/>
      <c r="Z32" s="1814">
        <f t="shared" si="15"/>
        <v>111</v>
      </c>
      <c r="AA32" s="1811">
        <f t="shared" si="3"/>
        <v>1</v>
      </c>
      <c r="AB32" s="1811">
        <f t="shared" si="4"/>
        <v>1</v>
      </c>
      <c r="AC32" s="2670">
        <f t="shared" si="5"/>
        <v>1</v>
      </c>
    </row>
    <row r="33" spans="1:29" ht="15">
      <c r="A33" s="440" t="s">
        <v>2559</v>
      </c>
      <c r="B33" s="71" t="s">
        <v>2689</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281" t="s">
        <v>2561</v>
      </c>
      <c r="Q33" s="1810" t="str">
        <f t="shared" si="11"/>
        <v>建筑类型</v>
      </c>
      <c r="R33" s="774" t="s">
        <v>17</v>
      </c>
      <c r="S33" s="775">
        <f t="shared" si="12"/>
        <v>100</v>
      </c>
      <c r="T33" s="774" t="s">
        <v>17</v>
      </c>
      <c r="U33" s="775">
        <f t="shared" si="13"/>
        <v>100</v>
      </c>
      <c r="V33" s="774" t="s">
        <v>17</v>
      </c>
      <c r="W33" s="775">
        <f t="shared" si="14"/>
        <v>100</v>
      </c>
      <c r="X33" s="1813"/>
      <c r="Y33" s="3210" t="s">
        <v>2561</v>
      </c>
      <c r="Z33" s="1814" t="str">
        <f t="shared" si="15"/>
        <v>建筑类型</v>
      </c>
      <c r="AA33" s="1811">
        <f t="shared" si="3"/>
        <v>1</v>
      </c>
      <c r="AB33" s="1811">
        <f t="shared" si="4"/>
        <v>1</v>
      </c>
      <c r="AC33" s="2670">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82"/>
      <c r="Q34" s="776" t="str">
        <f t="shared" si="11"/>
        <v>项目建筑规模</v>
      </c>
      <c r="R34" s="777" t="s">
        <v>17</v>
      </c>
      <c r="S34" s="778" t="e">
        <f t="shared" si="12"/>
        <v>#N/A</v>
      </c>
      <c r="T34" s="777" t="s">
        <v>17</v>
      </c>
      <c r="U34" s="778" t="e">
        <f t="shared" si="13"/>
        <v>#N/A</v>
      </c>
      <c r="V34" s="777" t="s">
        <v>17</v>
      </c>
      <c r="W34" s="778" t="e">
        <f t="shared" si="14"/>
        <v>#N/A</v>
      </c>
      <c r="X34" s="779"/>
      <c r="Y34" s="3210"/>
      <c r="Z34" s="780" t="str">
        <f t="shared" si="15"/>
        <v>项目建筑规模</v>
      </c>
      <c r="AA34" s="1811" t="e">
        <f t="shared" si="3"/>
        <v>#N/A</v>
      </c>
      <c r="AB34" s="1811" t="e">
        <f t="shared" si="4"/>
        <v>#N/A</v>
      </c>
      <c r="AC34" s="2670"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82"/>
      <c r="Q35" s="1810" t="str">
        <f t="shared" si="11"/>
        <v>建筑结构</v>
      </c>
      <c r="R35" s="774" t="s">
        <v>17</v>
      </c>
      <c r="S35" s="775">
        <f t="shared" si="12"/>
        <v>100</v>
      </c>
      <c r="T35" s="774" t="s">
        <v>17</v>
      </c>
      <c r="U35" s="775">
        <f t="shared" si="13"/>
        <v>100</v>
      </c>
      <c r="V35" s="774" t="s">
        <v>17</v>
      </c>
      <c r="W35" s="775">
        <f t="shared" si="14"/>
        <v>100</v>
      </c>
      <c r="X35" s="1813"/>
      <c r="Y35" s="3210"/>
      <c r="Z35" s="1814" t="str">
        <f t="shared" si="15"/>
        <v>建筑结构</v>
      </c>
      <c r="AA35" s="1811">
        <f t="shared" si="3"/>
        <v>1</v>
      </c>
      <c r="AB35" s="1811">
        <f t="shared" si="4"/>
        <v>1</v>
      </c>
      <c r="AC35" s="2670">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82"/>
      <c r="Q36" s="1810" t="str">
        <f t="shared" si="11"/>
        <v>公共部分装修</v>
      </c>
      <c r="R36" s="774" t="s">
        <v>17</v>
      </c>
      <c r="S36" s="775">
        <f t="shared" si="12"/>
        <v>100</v>
      </c>
      <c r="T36" s="774" t="s">
        <v>17</v>
      </c>
      <c r="U36" s="775">
        <f t="shared" si="13"/>
        <v>100</v>
      </c>
      <c r="V36" s="774" t="s">
        <v>17</v>
      </c>
      <c r="W36" s="775">
        <f t="shared" si="14"/>
        <v>100</v>
      </c>
      <c r="X36" s="1813"/>
      <c r="Y36" s="3210"/>
      <c r="Z36" s="1814" t="str">
        <f t="shared" si="15"/>
        <v>公共部分装修</v>
      </c>
      <c r="AA36" s="1811">
        <f t="shared" si="3"/>
        <v>1</v>
      </c>
      <c r="AB36" s="1811">
        <f t="shared" si="4"/>
        <v>1</v>
      </c>
      <c r="AC36" s="2670">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82"/>
      <c r="Q37" s="1810" t="str">
        <f t="shared" si="11"/>
        <v>成新度</v>
      </c>
      <c r="R37" s="774" t="s">
        <v>17</v>
      </c>
      <c r="S37" s="775" t="e">
        <f t="shared" si="12"/>
        <v>#N/A</v>
      </c>
      <c r="T37" s="774" t="s">
        <v>17</v>
      </c>
      <c r="U37" s="775" t="e">
        <f t="shared" si="13"/>
        <v>#N/A</v>
      </c>
      <c r="V37" s="774" t="s">
        <v>17</v>
      </c>
      <c r="W37" s="775" t="e">
        <f t="shared" si="14"/>
        <v>#N/A</v>
      </c>
      <c r="X37" s="1813"/>
      <c r="Y37" s="3210"/>
      <c r="Z37" s="1814" t="str">
        <f t="shared" si="15"/>
        <v>成新度</v>
      </c>
      <c r="AA37" s="1811" t="e">
        <f t="shared" si="3"/>
        <v>#N/A</v>
      </c>
      <c r="AB37" s="1811" t="e">
        <f t="shared" si="4"/>
        <v>#N/A</v>
      </c>
      <c r="AC37" s="2670"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82"/>
      <c r="Q38" s="1795" t="str">
        <f t="shared" si="11"/>
        <v>写字楼等级</v>
      </c>
      <c r="R38" s="770" t="s">
        <v>17</v>
      </c>
      <c r="S38" s="771">
        <f t="shared" si="12"/>
        <v>100</v>
      </c>
      <c r="T38" s="770" t="s">
        <v>17</v>
      </c>
      <c r="U38" s="771">
        <f t="shared" si="13"/>
        <v>100</v>
      </c>
      <c r="V38" s="770" t="s">
        <v>17</v>
      </c>
      <c r="W38" s="771">
        <f t="shared" si="14"/>
        <v>100</v>
      </c>
      <c r="X38" s="772"/>
      <c r="Y38" s="3210"/>
      <c r="Z38" s="55" t="str">
        <f t="shared" si="15"/>
        <v>写字楼等级</v>
      </c>
      <c r="AA38" s="773">
        <f t="shared" si="3"/>
        <v>1</v>
      </c>
      <c r="AB38" s="773">
        <f t="shared" si="4"/>
        <v>1</v>
      </c>
      <c r="AC38" s="2667">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82" t="s">
        <v>2561</v>
      </c>
      <c r="Q39" s="1810" t="str">
        <f t="shared" si="11"/>
        <v>物业管理</v>
      </c>
      <c r="R39" s="774" t="s">
        <v>17</v>
      </c>
      <c r="S39" s="775">
        <f t="shared" si="12"/>
        <v>100</v>
      </c>
      <c r="T39" s="774" t="s">
        <v>17</v>
      </c>
      <c r="U39" s="775">
        <f t="shared" si="13"/>
        <v>100</v>
      </c>
      <c r="V39" s="774" t="s">
        <v>17</v>
      </c>
      <c r="W39" s="775">
        <f t="shared" si="14"/>
        <v>100</v>
      </c>
      <c r="X39" s="1813"/>
      <c r="Y39" s="3210" t="s">
        <v>2561</v>
      </c>
      <c r="Z39" s="1814" t="str">
        <f t="shared" si="15"/>
        <v>物业管理</v>
      </c>
      <c r="AA39" s="1811">
        <f t="shared" si="3"/>
        <v>1</v>
      </c>
      <c r="AB39" s="1811">
        <f t="shared" si="4"/>
        <v>1</v>
      </c>
      <c r="AC39" s="2670">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82"/>
      <c r="Q40" s="1810" t="str">
        <f t="shared" si="11"/>
        <v>市政基础设施</v>
      </c>
      <c r="R40" s="774" t="s">
        <v>17</v>
      </c>
      <c r="S40" s="775">
        <f t="shared" si="12"/>
        <v>100</v>
      </c>
      <c r="T40" s="774" t="s">
        <v>17</v>
      </c>
      <c r="U40" s="775">
        <f t="shared" si="13"/>
        <v>100</v>
      </c>
      <c r="V40" s="774" t="s">
        <v>17</v>
      </c>
      <c r="W40" s="775">
        <f t="shared" si="14"/>
        <v>100</v>
      </c>
      <c r="X40" s="1813"/>
      <c r="Y40" s="3210"/>
      <c r="Z40" s="1814" t="str">
        <f t="shared" si="15"/>
        <v>市政基础设施</v>
      </c>
      <c r="AA40" s="1811">
        <f t="shared" si="3"/>
        <v>1</v>
      </c>
      <c r="AB40" s="1811">
        <f t="shared" si="4"/>
        <v>1</v>
      </c>
      <c r="AC40" s="2670">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82"/>
      <c r="Q41" s="1810" t="str">
        <f t="shared" si="11"/>
        <v>层高</v>
      </c>
      <c r="R41" s="774" t="s">
        <v>17</v>
      </c>
      <c r="S41" s="775">
        <f t="shared" si="12"/>
        <v>100</v>
      </c>
      <c r="T41" s="774" t="s">
        <v>17</v>
      </c>
      <c r="U41" s="775">
        <f t="shared" si="13"/>
        <v>100</v>
      </c>
      <c r="V41" s="774" t="s">
        <v>17</v>
      </c>
      <c r="W41" s="775">
        <f t="shared" si="14"/>
        <v>100</v>
      </c>
      <c r="X41" s="1813"/>
      <c r="Y41" s="3210"/>
      <c r="Z41" s="1814" t="str">
        <f t="shared" si="15"/>
        <v>层高</v>
      </c>
      <c r="AA41" s="1811">
        <f t="shared" si="3"/>
        <v>1</v>
      </c>
      <c r="AB41" s="1811">
        <f t="shared" si="4"/>
        <v>1</v>
      </c>
      <c r="AC41" s="2670">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82"/>
      <c r="Q42" s="776" t="str">
        <f t="shared" si="11"/>
        <v>单套建筑面积</v>
      </c>
      <c r="R42" s="777" t="s">
        <v>17</v>
      </c>
      <c r="S42" s="778">
        <f t="shared" si="12"/>
        <v>100</v>
      </c>
      <c r="T42" s="777" t="s">
        <v>17</v>
      </c>
      <c r="U42" s="778">
        <f t="shared" si="13"/>
        <v>100</v>
      </c>
      <c r="V42" s="777" t="s">
        <v>17</v>
      </c>
      <c r="W42" s="778">
        <f t="shared" si="14"/>
        <v>100</v>
      </c>
      <c r="X42" s="779"/>
      <c r="Y42" s="3210"/>
      <c r="Z42" s="780" t="str">
        <f t="shared" si="15"/>
        <v>单套建筑面积</v>
      </c>
      <c r="AA42" s="1811">
        <f t="shared" si="3"/>
        <v>1</v>
      </c>
      <c r="AB42" s="1811">
        <f t="shared" si="4"/>
        <v>1</v>
      </c>
      <c r="AC42" s="2670">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82"/>
      <c r="Q43" s="1810" t="str">
        <f t="shared" si="11"/>
        <v>内部装修</v>
      </c>
      <c r="R43" s="774" t="s">
        <v>17</v>
      </c>
      <c r="S43" s="775">
        <f t="shared" si="12"/>
        <v>100</v>
      </c>
      <c r="T43" s="774" t="s">
        <v>17</v>
      </c>
      <c r="U43" s="775">
        <f t="shared" si="13"/>
        <v>100</v>
      </c>
      <c r="V43" s="774" t="s">
        <v>17</v>
      </c>
      <c r="W43" s="775">
        <f t="shared" si="14"/>
        <v>100</v>
      </c>
      <c r="X43" s="1813"/>
      <c r="Y43" s="3210"/>
      <c r="Z43" s="1814" t="str">
        <f t="shared" si="15"/>
        <v>内部装修</v>
      </c>
      <c r="AA43" s="1811">
        <f t="shared" si="3"/>
        <v>1</v>
      </c>
      <c r="AB43" s="1811">
        <f t="shared" si="4"/>
        <v>1</v>
      </c>
      <c r="AC43" s="2670">
        <f t="shared" si="5"/>
        <v>1</v>
      </c>
    </row>
    <row r="44" spans="1:29" ht="15">
      <c r="A44" s="472"/>
      <c r="B44" s="422" t="s">
        <v>2572</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82"/>
      <c r="Q44" s="1810" t="str">
        <f t="shared" si="11"/>
        <v>内部装修维护情况</v>
      </c>
      <c r="R44" s="774" t="s">
        <v>17</v>
      </c>
      <c r="S44" s="775">
        <f t="shared" si="12"/>
        <v>100</v>
      </c>
      <c r="T44" s="774" t="s">
        <v>17</v>
      </c>
      <c r="U44" s="775">
        <f t="shared" si="13"/>
        <v>100</v>
      </c>
      <c r="V44" s="774" t="s">
        <v>17</v>
      </c>
      <c r="W44" s="775">
        <f t="shared" si="14"/>
        <v>100</v>
      </c>
      <c r="X44" s="1813"/>
      <c r="Y44" s="3210"/>
      <c r="Z44" s="1814" t="str">
        <f t="shared" si="15"/>
        <v>内部装修维护情况</v>
      </c>
      <c r="AA44" s="1811">
        <f t="shared" si="3"/>
        <v>1</v>
      </c>
      <c r="AB44" s="1811">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82"/>
      <c r="Q45" s="1795">
        <f t="shared" si="11"/>
        <v>111</v>
      </c>
      <c r="R45" s="770" t="s">
        <v>17</v>
      </c>
      <c r="S45" s="771">
        <f t="shared" si="12"/>
        <v>100</v>
      </c>
      <c r="T45" s="770" t="s">
        <v>17</v>
      </c>
      <c r="U45" s="771">
        <f t="shared" si="13"/>
        <v>100</v>
      </c>
      <c r="V45" s="770" t="s">
        <v>17</v>
      </c>
      <c r="W45" s="771">
        <f t="shared" si="14"/>
        <v>100</v>
      </c>
      <c r="X45" s="772"/>
      <c r="Y45" s="3210"/>
      <c r="Z45" s="55">
        <f t="shared" si="15"/>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82"/>
      <c r="Q46" s="1810">
        <f t="shared" si="11"/>
        <v>111</v>
      </c>
      <c r="R46" s="774" t="s">
        <v>17</v>
      </c>
      <c r="S46" s="775">
        <f t="shared" si="12"/>
        <v>100</v>
      </c>
      <c r="T46" s="774" t="s">
        <v>17</v>
      </c>
      <c r="U46" s="775">
        <f t="shared" si="13"/>
        <v>100</v>
      </c>
      <c r="V46" s="774" t="s">
        <v>17</v>
      </c>
      <c r="W46" s="775">
        <f t="shared" si="14"/>
        <v>100</v>
      </c>
      <c r="X46" s="1813"/>
      <c r="Y46" s="3210"/>
      <c r="Z46" s="1814">
        <f t="shared" si="15"/>
        <v>111</v>
      </c>
      <c r="AA46" s="1811">
        <f t="shared" si="3"/>
        <v>1</v>
      </c>
      <c r="AB46" s="1811">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83"/>
      <c r="Q47" s="1810">
        <f t="shared" si="11"/>
        <v>111</v>
      </c>
      <c r="R47" s="774" t="s">
        <v>17</v>
      </c>
      <c r="S47" s="775">
        <f t="shared" si="12"/>
        <v>100</v>
      </c>
      <c r="T47" s="774" t="s">
        <v>17</v>
      </c>
      <c r="U47" s="775">
        <f t="shared" si="13"/>
        <v>100</v>
      </c>
      <c r="V47" s="774" t="s">
        <v>17</v>
      </c>
      <c r="W47" s="775">
        <f t="shared" si="14"/>
        <v>100</v>
      </c>
      <c r="X47" s="1813"/>
      <c r="Y47" s="3284"/>
      <c r="Z47" s="1814">
        <f t="shared" si="15"/>
        <v>111</v>
      </c>
      <c r="AA47" s="1811">
        <f t="shared" si="3"/>
        <v>1</v>
      </c>
      <c r="AB47" s="1811">
        <f t="shared" si="4"/>
        <v>1</v>
      </c>
      <c r="AC47" s="2670">
        <f t="shared" si="5"/>
        <v>1</v>
      </c>
    </row>
    <row r="48" spans="1:29" ht="15">
      <c r="A48" s="479" t="s">
        <v>2573</v>
      </c>
      <c r="B48" s="480"/>
      <c r="C48" s="1407" t="s">
        <v>1</v>
      </c>
      <c r="D48" s="1408"/>
      <c r="E48" s="1409"/>
      <c r="F48" s="1410"/>
      <c r="G48" s="1411"/>
      <c r="H48" s="1412"/>
      <c r="I48" s="1409"/>
      <c r="J48" s="485"/>
      <c r="K48" s="783"/>
      <c r="L48" s="1143"/>
      <c r="M48" s="1131"/>
      <c r="N48" s="1131"/>
      <c r="O48" s="1131"/>
      <c r="P48" s="3216" t="str">
        <f>A48</f>
        <v>成交单价（元/平方米）</v>
      </c>
      <c r="Q48" s="3192"/>
      <c r="R48" s="3280">
        <f>E48</f>
        <v>0</v>
      </c>
      <c r="S48" s="3280"/>
      <c r="T48" s="3280">
        <f>G48</f>
        <v>0</v>
      </c>
      <c r="U48" s="3280"/>
      <c r="V48" s="3280">
        <f>I48</f>
        <v>0</v>
      </c>
      <c r="W48" s="3280"/>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16" t="str">
        <f>A49</f>
        <v>比较价值（元/平方米）</v>
      </c>
      <c r="Q49" s="3192"/>
      <c r="R49" s="3280" t="e">
        <f>IF(F1="售价",ROUND(PRODUCT(R48,AA7:AA47),0),ROUND(PRODUCT(R48,AA7:AA47),1))</f>
        <v>#DIV/0!</v>
      </c>
      <c r="S49" s="3280"/>
      <c r="T49" s="3280" t="e">
        <f>IF(F1="售价",ROUND(PRODUCT(T48,AB7:AB47),0),ROUND(PRODUCT(T48,AB7:AB47),1))</f>
        <v>#DIV/0!</v>
      </c>
      <c r="U49" s="3280"/>
      <c r="V49" s="3280" t="e">
        <f>IF(F1="售价",ROUND(PRODUCT(V48,AC7:AC47),0),ROUND(PRODUCT(V48,AC7:AC47),1))</f>
        <v>#DIV/0!</v>
      </c>
      <c r="W49" s="3280"/>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99" t="str">
        <f>A50</f>
        <v>估价对象XX用房的比较价值（楼面单价，元/平方米）</v>
      </c>
      <c r="Q50" s="3300"/>
      <c r="R50" s="3301" t="e">
        <f>IF(F1="售价",ROUND(AVERAGE(R49:V49),0),ROUND(AVERAGE(R49:V49),1))</f>
        <v>#DIV/0!</v>
      </c>
      <c r="S50" s="3301"/>
      <c r="T50" s="3301"/>
      <c r="U50" s="3301"/>
      <c r="V50" s="3301"/>
      <c r="W50" s="3301"/>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77"/>
      <c r="Q58" s="504"/>
    </row>
    <row r="59" spans="1:29" s="508" customFormat="1" ht="15">
      <c r="A59" s="505" t="s">
        <v>2544</v>
      </c>
      <c r="B59" s="506"/>
      <c r="C59" s="1574" t="str">
        <f>YEAR(C7)&amp;"-"&amp;MONTH(C7)</f>
        <v>2018-1</v>
      </c>
      <c r="D59" s="1575">
        <f>EDATE(C59,-1)</f>
        <v>43070</v>
      </c>
      <c r="E59" s="1575">
        <f>EDATE(D59,-1)</f>
        <v>43040</v>
      </c>
      <c r="F59" s="1575">
        <f t="shared" ref="F59:O59" si="16">EDATE(E59,-1)</f>
        <v>43009</v>
      </c>
      <c r="G59" s="1575">
        <f t="shared" si="16"/>
        <v>42979</v>
      </c>
      <c r="H59" s="1575">
        <f t="shared" si="16"/>
        <v>42948</v>
      </c>
      <c r="I59" s="1575">
        <f t="shared" si="16"/>
        <v>42917</v>
      </c>
      <c r="J59" s="1575">
        <f t="shared" si="16"/>
        <v>42887</v>
      </c>
      <c r="K59" s="1575">
        <f t="shared" si="16"/>
        <v>42856</v>
      </c>
      <c r="L59" s="1575">
        <f t="shared" si="16"/>
        <v>42826</v>
      </c>
      <c r="M59" s="1575">
        <f t="shared" si="16"/>
        <v>42795</v>
      </c>
      <c r="N59" s="1575">
        <f t="shared" si="16"/>
        <v>42767</v>
      </c>
      <c r="O59" s="1575">
        <f t="shared" si="16"/>
        <v>42736</v>
      </c>
      <c r="P59" s="1571"/>
    </row>
    <row r="60" spans="1:29" s="117" customFormat="1" ht="15">
      <c r="A60" s="509"/>
      <c r="B60" s="510"/>
      <c r="C60" s="1573">
        <v>100</v>
      </c>
      <c r="D60" s="512"/>
      <c r="E60" s="512"/>
      <c r="F60" s="512"/>
      <c r="G60" s="512"/>
      <c r="H60" s="512"/>
      <c r="I60" s="512"/>
      <c r="J60" s="512"/>
      <c r="K60" s="512"/>
      <c r="L60" s="512"/>
      <c r="M60" s="513"/>
      <c r="N60" s="512"/>
      <c r="O60" s="513"/>
      <c r="P60" s="2678"/>
    </row>
    <row r="61" spans="1:29" s="117" customFormat="1" ht="15.75" thickBot="1">
      <c r="A61" s="515" t="s">
        <v>2581</v>
      </c>
      <c r="B61" s="516"/>
      <c r="C61" s="517"/>
      <c r="D61" s="518"/>
      <c r="E61" s="518"/>
      <c r="F61" s="518"/>
      <c r="G61" s="518"/>
      <c r="H61" s="518"/>
      <c r="I61" s="518"/>
      <c r="J61" s="518"/>
      <c r="K61" s="518"/>
      <c r="L61" s="518"/>
      <c r="M61" s="519"/>
      <c r="N61" s="518"/>
      <c r="O61" s="519"/>
      <c r="P61" s="2678"/>
      <c r="Q61" s="504"/>
    </row>
    <row r="62" spans="1:29" s="117" customFormat="1" ht="15">
      <c r="A62" s="521" t="s">
        <v>2546</v>
      </c>
      <c r="B62" s="510"/>
      <c r="C62" s="522" t="s">
        <v>2648</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2584</v>
      </c>
      <c r="B64" s="528" t="s">
        <v>2550</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2695</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2559</v>
      </c>
      <c r="B101" s="528" t="s">
        <v>2608</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0"/>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2610</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0"/>
      <c r="Q107" s="504"/>
    </row>
    <row r="108" spans="1:17" ht="15" thickTop="1">
      <c r="A108" s="599"/>
      <c r="B108" s="538" t="s">
        <v>2612</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0"/>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0"/>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1"/>
      <c r="Q114" s="559"/>
    </row>
    <row r="115" spans="1:17" ht="15" thickTop="1">
      <c r="A115" s="599"/>
      <c r="B115" s="538" t="s">
        <v>2613</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0"/>
      <c r="Q116" s="504"/>
    </row>
    <row r="117" spans="1:17" ht="15" thickTop="1">
      <c r="A117" s="599"/>
      <c r="B117" s="538" t="s">
        <v>2614</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2697</v>
      </c>
      <c r="C119" s="583"/>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0"/>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2616</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0"/>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5" t="s">
        <v>2698</v>
      </c>
      <c r="C1" s="1620" t="s">
        <v>2526</v>
      </c>
      <c r="D1" s="1621"/>
      <c r="E1" s="1630"/>
      <c r="F1" s="2580"/>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2"/>
      <c r="D2" s="1124" t="e">
        <f ca="1">SUMIF(INDIRECT("'"&amp;F2&amp;"'"&amp;"!A:A"),"承租人权益价值",INDIRECT("'"&amp;F2&amp;"'"&amp;"!c:c"))</f>
        <v>#REF!</v>
      </c>
      <c r="E2" s="2583" t="s">
        <v>2327</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85215.679999999964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3" t="s">
        <v>2642</v>
      </c>
      <c r="D4" s="3194"/>
      <c r="E4" s="3195" t="s">
        <v>2643</v>
      </c>
      <c r="F4" s="3196"/>
      <c r="G4" s="3193" t="s">
        <v>2644</v>
      </c>
      <c r="H4" s="3194"/>
      <c r="I4" s="3193" t="s">
        <v>2645</v>
      </c>
      <c r="J4" s="3194"/>
      <c r="K4" s="610" t="s">
        <v>2646</v>
      </c>
      <c r="L4" s="1130"/>
      <c r="M4" s="1131"/>
      <c r="N4" s="1131"/>
      <c r="O4" s="1131"/>
      <c r="P4" s="3197" t="s">
        <v>2647</v>
      </c>
      <c r="Q4" s="3198"/>
      <c r="R4" s="3180" t="s">
        <v>2643</v>
      </c>
      <c r="S4" s="3181"/>
      <c r="T4" s="3180" t="s">
        <v>2644</v>
      </c>
      <c r="U4" s="3181"/>
      <c r="V4" s="3205" t="s">
        <v>2645</v>
      </c>
      <c r="W4" s="3205"/>
      <c r="X4" s="1813"/>
      <c r="Y4" s="3180" t="s">
        <v>2647</v>
      </c>
      <c r="Z4" s="3181"/>
      <c r="AA4" s="3175" t="s">
        <v>2643</v>
      </c>
      <c r="AB4" s="3176" t="s">
        <v>2644</v>
      </c>
      <c r="AC4" s="3175" t="s">
        <v>2645</v>
      </c>
    </row>
    <row r="5" spans="1:29" ht="15">
      <c r="A5" s="404"/>
      <c r="B5" s="405"/>
      <c r="C5" s="3276" t="s">
        <v>2538</v>
      </c>
      <c r="D5" s="3187"/>
      <c r="E5" s="3275" t="s">
        <v>2539</v>
      </c>
      <c r="F5" s="3185"/>
      <c r="G5" s="3276" t="s">
        <v>2540</v>
      </c>
      <c r="H5" s="3187"/>
      <c r="I5" s="3276" t="s">
        <v>2541</v>
      </c>
      <c r="J5" s="3187"/>
      <c r="K5" s="610"/>
      <c r="L5" s="1130"/>
      <c r="M5" s="1131"/>
      <c r="N5" s="1131"/>
      <c r="O5" s="1131"/>
      <c r="P5" s="3199"/>
      <c r="Q5" s="3200"/>
      <c r="R5" s="3182"/>
      <c r="S5" s="3183"/>
      <c r="T5" s="3182"/>
      <c r="U5" s="3183"/>
      <c r="V5" s="3205"/>
      <c r="W5" s="3205"/>
      <c r="X5" s="1813"/>
      <c r="Y5" s="3182"/>
      <c r="Z5" s="3183"/>
      <c r="AA5" s="3176"/>
      <c r="AB5" s="3176"/>
      <c r="AC5" s="3176"/>
    </row>
    <row r="6" spans="1:29" ht="15.75" thickBot="1">
      <c r="A6" s="406"/>
      <c r="B6" s="407"/>
      <c r="C6" s="3277" t="s">
        <v>2542</v>
      </c>
      <c r="D6" s="3189"/>
      <c r="E6" s="3278" t="s">
        <v>2542</v>
      </c>
      <c r="F6" s="3191"/>
      <c r="G6" s="3277" t="s">
        <v>2542</v>
      </c>
      <c r="H6" s="3189"/>
      <c r="I6" s="3277" t="s">
        <v>2542</v>
      </c>
      <c r="J6" s="3189"/>
      <c r="K6" s="610" t="s">
        <v>2543</v>
      </c>
      <c r="L6" s="1130"/>
      <c r="M6" s="1131"/>
      <c r="N6" s="1131"/>
      <c r="O6" s="1131"/>
      <c r="P6" s="3201"/>
      <c r="Q6" s="3202"/>
      <c r="R6" s="3182"/>
      <c r="S6" s="3183"/>
      <c r="T6" s="3203"/>
      <c r="U6" s="3204"/>
      <c r="V6" s="3205"/>
      <c r="W6" s="3205"/>
      <c r="X6" s="1813"/>
      <c r="Y6" s="3203"/>
      <c r="Z6" s="3204"/>
      <c r="AA6" s="3177"/>
      <c r="AB6" s="3177"/>
      <c r="AC6" s="3177"/>
    </row>
    <row r="7" spans="1:29" s="117" customFormat="1" ht="15.75" thickBot="1">
      <c r="A7" s="408" t="s">
        <v>2544</v>
      </c>
      <c r="B7" s="409"/>
      <c r="C7" s="410">
        <f>'数据-取费表'!B2</f>
        <v>43111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8" t="s">
        <v>2545</v>
      </c>
      <c r="Q7" s="3206"/>
      <c r="R7" s="770" t="s">
        <v>17</v>
      </c>
      <c r="S7" s="771">
        <f t="shared" ref="S7:S15" si="0">F7</f>
        <v>0</v>
      </c>
      <c r="T7" s="770" t="s">
        <v>17</v>
      </c>
      <c r="U7" s="771">
        <f t="shared" ref="U7:U15" si="1">H7</f>
        <v>0</v>
      </c>
      <c r="V7" s="770" t="s">
        <v>17</v>
      </c>
      <c r="W7" s="771">
        <f t="shared" ref="W7:W15" si="2">J7</f>
        <v>0</v>
      </c>
      <c r="X7" s="772"/>
      <c r="Y7" s="3178" t="s">
        <v>2545</v>
      </c>
      <c r="Z7" s="3179"/>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8" t="s">
        <v>2548</v>
      </c>
      <c r="Q8" s="3179"/>
      <c r="R8" s="770" t="s">
        <v>17</v>
      </c>
      <c r="S8" s="771">
        <f t="shared" si="0"/>
        <v>0</v>
      </c>
      <c r="T8" s="770" t="s">
        <v>17</v>
      </c>
      <c r="U8" s="771">
        <f t="shared" si="1"/>
        <v>0</v>
      </c>
      <c r="V8" s="770" t="s">
        <v>17</v>
      </c>
      <c r="W8" s="771">
        <f t="shared" si="2"/>
        <v>0</v>
      </c>
      <c r="X8" s="772"/>
      <c r="Y8" s="3178" t="s">
        <v>2548</v>
      </c>
      <c r="Z8" s="3179"/>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2" t="s">
        <v>2551</v>
      </c>
      <c r="Q9" s="1795" t="str">
        <f t="shared" ref="Q9:Q15" si="6">B9</f>
        <v>用途</v>
      </c>
      <c r="R9" s="770" t="s">
        <v>17</v>
      </c>
      <c r="S9" s="771">
        <f t="shared" si="0"/>
        <v>100</v>
      </c>
      <c r="T9" s="770" t="s">
        <v>17</v>
      </c>
      <c r="U9" s="771">
        <f t="shared" si="1"/>
        <v>100</v>
      </c>
      <c r="V9" s="770" t="s">
        <v>17</v>
      </c>
      <c r="W9" s="771">
        <f t="shared" si="2"/>
        <v>100</v>
      </c>
      <c r="X9" s="772"/>
      <c r="Y9" s="305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2"/>
      <c r="Q10" s="1795"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2"/>
      <c r="Q11" s="1795"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192"/>
      <c r="Q12" s="1795">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192"/>
      <c r="Q13" s="1795">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192"/>
      <c r="Q14" s="1795">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57">
      <c r="A15" s="440" t="s">
        <v>2555</v>
      </c>
      <c r="B15" s="69" t="s">
        <v>2699</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7" t="s">
        <v>2556</v>
      </c>
      <c r="Q15" s="1810" t="str">
        <f t="shared" si="6"/>
        <v>产业集聚程度</v>
      </c>
      <c r="R15" s="774" t="s">
        <v>17</v>
      </c>
      <c r="S15" s="775">
        <f t="shared" si="0"/>
        <v>100</v>
      </c>
      <c r="T15" s="774" t="s">
        <v>17</v>
      </c>
      <c r="U15" s="775">
        <f t="shared" si="1"/>
        <v>100</v>
      </c>
      <c r="V15" s="774" t="s">
        <v>17</v>
      </c>
      <c r="W15" s="775">
        <f t="shared" si="2"/>
        <v>100</v>
      </c>
      <c r="X15" s="1813"/>
      <c r="Y15" s="3207"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8"/>
      <c r="Q16" s="1810"/>
      <c r="R16" s="774"/>
      <c r="S16" s="775"/>
      <c r="T16" s="774"/>
      <c r="U16" s="775"/>
      <c r="V16" s="774"/>
      <c r="W16" s="775"/>
      <c r="X16" s="1813"/>
      <c r="Y16" s="3208"/>
      <c r="Z16" s="1814"/>
      <c r="AA16" s="1811">
        <v>1</v>
      </c>
      <c r="AB16" s="1811">
        <v>1</v>
      </c>
      <c r="AC16" s="1811">
        <v>1</v>
      </c>
    </row>
    <row r="17" spans="1:29" ht="85.5">
      <c r="A17" s="428"/>
      <c r="B17" s="451" t="s">
        <v>2095</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8"/>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9"/>
      <c r="P18" s="3208"/>
      <c r="Q18" s="1810"/>
      <c r="R18" s="774"/>
      <c r="S18" s="775"/>
      <c r="T18" s="774"/>
      <c r="U18" s="775"/>
      <c r="V18" s="774"/>
      <c r="W18" s="775"/>
      <c r="X18" s="1813"/>
      <c r="Y18" s="3208"/>
      <c r="Z18" s="1814"/>
      <c r="AA18" s="1811">
        <v>1</v>
      </c>
      <c r="AB18" s="1811">
        <v>1</v>
      </c>
      <c r="AC18" s="1811">
        <v>1</v>
      </c>
    </row>
    <row r="19" spans="1:29" ht="42.75">
      <c r="A19" s="428"/>
      <c r="B19" s="451" t="s">
        <v>2684</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8"/>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9"/>
      <c r="P20" s="3208"/>
      <c r="Q20" s="1810"/>
      <c r="R20" s="774"/>
      <c r="S20" s="775"/>
      <c r="T20" s="774"/>
      <c r="U20" s="775"/>
      <c r="V20" s="774"/>
      <c r="W20" s="775"/>
      <c r="X20" s="1813"/>
      <c r="Y20" s="3208"/>
      <c r="Z20" s="1814"/>
      <c r="AA20" s="1811">
        <v>1</v>
      </c>
      <c r="AB20" s="1811">
        <v>1</v>
      </c>
      <c r="AC20" s="1811">
        <v>1</v>
      </c>
    </row>
    <row r="21" spans="1:29" ht="28.5">
      <c r="A21" s="428"/>
      <c r="B21" s="1384" t="s">
        <v>2685</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8"/>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9"/>
      <c r="P22" s="3208"/>
      <c r="Q22" s="1810"/>
      <c r="R22" s="774"/>
      <c r="S22" s="775"/>
      <c r="T22" s="774"/>
      <c r="U22" s="775"/>
      <c r="V22" s="774"/>
      <c r="W22" s="775"/>
      <c r="X22" s="1813"/>
      <c r="Y22" s="3208"/>
      <c r="Z22" s="1814"/>
      <c r="AA22" s="1811">
        <v>1</v>
      </c>
      <c r="AB22" s="1811">
        <v>1</v>
      </c>
      <c r="AC22" s="1811">
        <v>1</v>
      </c>
    </row>
    <row r="23" spans="1:29" ht="71.25">
      <c r="A23" s="428"/>
      <c r="B23" s="451" t="s">
        <v>2686</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8"/>
      <c r="Q23" s="1810" t="str">
        <f>B23</f>
        <v>环境质量</v>
      </c>
      <c r="R23" s="774" t="s">
        <v>17</v>
      </c>
      <c r="S23" s="775">
        <f>F23</f>
        <v>100</v>
      </c>
      <c r="T23" s="774" t="s">
        <v>17</v>
      </c>
      <c r="U23" s="775">
        <f>H23</f>
        <v>100</v>
      </c>
      <c r="V23" s="774" t="s">
        <v>17</v>
      </c>
      <c r="W23" s="775">
        <f>J23</f>
        <v>100</v>
      </c>
      <c r="X23" s="1813"/>
      <c r="Y23" s="3208"/>
      <c r="Z23" s="1814" t="str">
        <f>Q23</f>
        <v>环境质量</v>
      </c>
      <c r="AA23" s="1811">
        <f t="shared" si="3"/>
        <v>1</v>
      </c>
      <c r="AB23" s="1811">
        <f t="shared" si="4"/>
        <v>1</v>
      </c>
      <c r="AC23" s="1811">
        <f t="shared" si="5"/>
        <v>1</v>
      </c>
    </row>
    <row r="24" spans="1:29" ht="15">
      <c r="A24" s="428"/>
      <c r="B24" s="1384"/>
      <c r="C24" s="447"/>
      <c r="D24" s="448"/>
      <c r="E24" s="2601"/>
      <c r="F24" s="449"/>
      <c r="G24" s="2600"/>
      <c r="H24" s="448"/>
      <c r="I24" s="2601"/>
      <c r="J24" s="448"/>
      <c r="K24" s="615"/>
      <c r="L24" s="1140"/>
      <c r="M24" s="1131"/>
      <c r="N24" s="1131"/>
      <c r="O24" s="1139"/>
      <c r="P24" s="3208"/>
      <c r="Q24" s="1810"/>
      <c r="R24" s="774"/>
      <c r="S24" s="775"/>
      <c r="T24" s="774"/>
      <c r="U24" s="775"/>
      <c r="V24" s="774"/>
      <c r="W24" s="775"/>
      <c r="X24" s="1813"/>
      <c r="Y24" s="320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8"/>
      <c r="Q25" s="1810">
        <f>B25</f>
        <v>111</v>
      </c>
      <c r="R25" s="774" t="s">
        <v>17</v>
      </c>
      <c r="S25" s="775">
        <f>F25</f>
        <v>100</v>
      </c>
      <c r="T25" s="774" t="s">
        <v>17</v>
      </c>
      <c r="U25" s="775">
        <f>H25</f>
        <v>100</v>
      </c>
      <c r="V25" s="774" t="s">
        <v>17</v>
      </c>
      <c r="W25" s="775">
        <f>J25</f>
        <v>100</v>
      </c>
      <c r="X25" s="1813"/>
      <c r="Y25" s="320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8"/>
      <c r="Q26" s="1810">
        <f t="shared" ref="Q26:Q40" si="11">B26</f>
        <v>111</v>
      </c>
      <c r="R26" s="774" t="s">
        <v>17</v>
      </c>
      <c r="S26" s="775">
        <f>F26</f>
        <v>100</v>
      </c>
      <c r="T26" s="774" t="s">
        <v>17</v>
      </c>
      <c r="U26" s="775">
        <f>H26</f>
        <v>100</v>
      </c>
      <c r="V26" s="774" t="s">
        <v>17</v>
      </c>
      <c r="W26" s="775">
        <f>J26</f>
        <v>100</v>
      </c>
      <c r="X26" s="1813"/>
      <c r="Y26" s="320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8"/>
      <c r="Q27" s="1795">
        <f t="shared" si="11"/>
        <v>111</v>
      </c>
      <c r="R27" s="770" t="s">
        <v>17</v>
      </c>
      <c r="S27" s="771">
        <f>F27</f>
        <v>100</v>
      </c>
      <c r="T27" s="770" t="s">
        <v>17</v>
      </c>
      <c r="U27" s="771">
        <f>H27</f>
        <v>100</v>
      </c>
      <c r="V27" s="770" t="s">
        <v>17</v>
      </c>
      <c r="W27" s="771">
        <f>J27</f>
        <v>100</v>
      </c>
      <c r="X27" s="772"/>
      <c r="Y27" s="320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8"/>
      <c r="Q28" s="1810">
        <f t="shared" si="11"/>
        <v>111</v>
      </c>
      <c r="R28" s="774" t="s">
        <v>17</v>
      </c>
      <c r="S28" s="775">
        <f t="shared" ref="S28:S40" si="12">F28</f>
        <v>100</v>
      </c>
      <c r="T28" s="774" t="s">
        <v>17</v>
      </c>
      <c r="U28" s="775">
        <f t="shared" ref="U28:U40" si="13">H28</f>
        <v>100</v>
      </c>
      <c r="V28" s="774" t="s">
        <v>17</v>
      </c>
      <c r="W28" s="775">
        <f t="shared" ref="W28:W40" si="14">J28</f>
        <v>100</v>
      </c>
      <c r="X28" s="1813"/>
      <c r="Y28" s="3208"/>
      <c r="Z28" s="1814">
        <f t="shared" ref="Z28:Z40" si="15">Q28</f>
        <v>111</v>
      </c>
      <c r="AA28" s="1811">
        <f t="shared" si="3"/>
        <v>1</v>
      </c>
      <c r="AB28" s="1811">
        <f t="shared" si="4"/>
        <v>1</v>
      </c>
      <c r="AC28" s="1811">
        <f t="shared" si="5"/>
        <v>1</v>
      </c>
    </row>
    <row r="29" spans="1:29" ht="15">
      <c r="A29" s="466" t="s">
        <v>2559</v>
      </c>
      <c r="B29" s="71" t="s">
        <v>2689</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09" t="s">
        <v>2561</v>
      </c>
      <c r="Q29" s="1810" t="str">
        <f t="shared" si="11"/>
        <v>建筑类型</v>
      </c>
      <c r="R29" s="774" t="s">
        <v>17</v>
      </c>
      <c r="S29" s="775">
        <f t="shared" si="12"/>
        <v>100</v>
      </c>
      <c r="T29" s="774" t="s">
        <v>17</v>
      </c>
      <c r="U29" s="775">
        <f t="shared" si="13"/>
        <v>100</v>
      </c>
      <c r="V29" s="774" t="s">
        <v>17</v>
      </c>
      <c r="W29" s="775">
        <f t="shared" si="14"/>
        <v>100</v>
      </c>
      <c r="X29" s="1813"/>
      <c r="Y29" s="3210"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0"/>
      <c r="Q30" s="776" t="str">
        <f t="shared" si="11"/>
        <v>项目建筑规模</v>
      </c>
      <c r="R30" s="777" t="s">
        <v>17</v>
      </c>
      <c r="S30" s="778" t="e">
        <f t="shared" si="12"/>
        <v>#N/A</v>
      </c>
      <c r="T30" s="777" t="s">
        <v>17</v>
      </c>
      <c r="U30" s="778" t="e">
        <f t="shared" si="13"/>
        <v>#N/A</v>
      </c>
      <c r="V30" s="777" t="s">
        <v>17</v>
      </c>
      <c r="W30" s="778" t="e">
        <f t="shared" si="14"/>
        <v>#N/A</v>
      </c>
      <c r="X30" s="779"/>
      <c r="Y30" s="3210"/>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0"/>
      <c r="Q31" s="1810" t="str">
        <f t="shared" si="11"/>
        <v>建筑结构</v>
      </c>
      <c r="R31" s="774" t="s">
        <v>17</v>
      </c>
      <c r="S31" s="775">
        <f t="shared" si="12"/>
        <v>100</v>
      </c>
      <c r="T31" s="774" t="s">
        <v>17</v>
      </c>
      <c r="U31" s="775">
        <f t="shared" si="13"/>
        <v>100</v>
      </c>
      <c r="V31" s="774" t="s">
        <v>17</v>
      </c>
      <c r="W31" s="775">
        <f t="shared" si="14"/>
        <v>100</v>
      </c>
      <c r="X31" s="1813"/>
      <c r="Y31" s="3210"/>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0"/>
      <c r="Q32" s="1810" t="str">
        <f t="shared" si="11"/>
        <v>公共部分装修</v>
      </c>
      <c r="R32" s="774" t="s">
        <v>17</v>
      </c>
      <c r="S32" s="775">
        <f t="shared" si="12"/>
        <v>100</v>
      </c>
      <c r="T32" s="774" t="s">
        <v>17</v>
      </c>
      <c r="U32" s="775">
        <f t="shared" si="13"/>
        <v>100</v>
      </c>
      <c r="V32" s="774" t="s">
        <v>17</v>
      </c>
      <c r="W32" s="775">
        <f t="shared" si="14"/>
        <v>100</v>
      </c>
      <c r="X32" s="1813"/>
      <c r="Y32" s="3210"/>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0"/>
      <c r="Q33" s="1810" t="str">
        <f t="shared" si="11"/>
        <v>成新度</v>
      </c>
      <c r="R33" s="774" t="s">
        <v>17</v>
      </c>
      <c r="S33" s="775" t="e">
        <f t="shared" si="12"/>
        <v>#N/A</v>
      </c>
      <c r="T33" s="774" t="s">
        <v>17</v>
      </c>
      <c r="U33" s="775" t="e">
        <f t="shared" si="13"/>
        <v>#N/A</v>
      </c>
      <c r="V33" s="774" t="s">
        <v>17</v>
      </c>
      <c r="W33" s="775" t="e">
        <f t="shared" si="14"/>
        <v>#N/A</v>
      </c>
      <c r="X33" s="1813"/>
      <c r="Y33" s="3210"/>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0"/>
      <c r="Q34" s="1795" t="str">
        <f t="shared" si="11"/>
        <v>物业管理</v>
      </c>
      <c r="R34" s="770" t="s">
        <v>17</v>
      </c>
      <c r="S34" s="771">
        <f t="shared" si="12"/>
        <v>100</v>
      </c>
      <c r="T34" s="770" t="s">
        <v>17</v>
      </c>
      <c r="U34" s="771">
        <f t="shared" si="13"/>
        <v>100</v>
      </c>
      <c r="V34" s="770" t="s">
        <v>17</v>
      </c>
      <c r="W34" s="771">
        <f t="shared" si="14"/>
        <v>100</v>
      </c>
      <c r="X34" s="772"/>
      <c r="Y34" s="3210"/>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0" t="s">
        <v>2561</v>
      </c>
      <c r="Q35" s="1810" t="str">
        <f t="shared" si="11"/>
        <v>市政基础设施</v>
      </c>
      <c r="R35" s="774" t="s">
        <v>17</v>
      </c>
      <c r="S35" s="775">
        <f t="shared" si="12"/>
        <v>100</v>
      </c>
      <c r="T35" s="774" t="s">
        <v>17</v>
      </c>
      <c r="U35" s="775">
        <f t="shared" si="13"/>
        <v>100</v>
      </c>
      <c r="V35" s="774" t="s">
        <v>17</v>
      </c>
      <c r="W35" s="775">
        <f t="shared" si="14"/>
        <v>100</v>
      </c>
      <c r="X35" s="1813"/>
      <c r="Y35" s="3210"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0"/>
      <c r="Q36" s="1810" t="str">
        <f t="shared" si="11"/>
        <v>内部装修</v>
      </c>
      <c r="R36" s="774" t="s">
        <v>17</v>
      </c>
      <c r="S36" s="775">
        <f t="shared" si="12"/>
        <v>100</v>
      </c>
      <c r="T36" s="774" t="s">
        <v>17</v>
      </c>
      <c r="U36" s="775">
        <f t="shared" si="13"/>
        <v>100</v>
      </c>
      <c r="V36" s="774" t="s">
        <v>17</v>
      </c>
      <c r="W36" s="775">
        <f t="shared" si="14"/>
        <v>100</v>
      </c>
      <c r="X36" s="1813"/>
      <c r="Y36" s="3210"/>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0"/>
      <c r="Q37" s="1810" t="str">
        <f t="shared" si="11"/>
        <v>内部装修状况</v>
      </c>
      <c r="R37" s="774" t="s">
        <v>17</v>
      </c>
      <c r="S37" s="775">
        <f t="shared" si="12"/>
        <v>100</v>
      </c>
      <c r="T37" s="774" t="s">
        <v>17</v>
      </c>
      <c r="U37" s="775">
        <f t="shared" si="13"/>
        <v>100</v>
      </c>
      <c r="V37" s="774" t="s">
        <v>17</v>
      </c>
      <c r="W37" s="775">
        <f t="shared" si="14"/>
        <v>100</v>
      </c>
      <c r="X37" s="1813"/>
      <c r="Y37" s="321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0"/>
      <c r="Q38" s="776">
        <f t="shared" si="11"/>
        <v>111</v>
      </c>
      <c r="R38" s="777" t="s">
        <v>17</v>
      </c>
      <c r="S38" s="778">
        <f t="shared" si="12"/>
        <v>100</v>
      </c>
      <c r="T38" s="777" t="s">
        <v>17</v>
      </c>
      <c r="U38" s="778">
        <f t="shared" si="13"/>
        <v>100</v>
      </c>
      <c r="V38" s="777" t="s">
        <v>17</v>
      </c>
      <c r="W38" s="778">
        <f t="shared" si="14"/>
        <v>100</v>
      </c>
      <c r="X38" s="779"/>
      <c r="Y38" s="321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0"/>
      <c r="Q39" s="1810">
        <f t="shared" si="11"/>
        <v>111</v>
      </c>
      <c r="R39" s="774" t="s">
        <v>17</v>
      </c>
      <c r="S39" s="775">
        <f t="shared" si="12"/>
        <v>100</v>
      </c>
      <c r="T39" s="774" t="s">
        <v>17</v>
      </c>
      <c r="U39" s="775">
        <f t="shared" si="13"/>
        <v>100</v>
      </c>
      <c r="V39" s="774" t="s">
        <v>17</v>
      </c>
      <c r="W39" s="775">
        <f t="shared" si="14"/>
        <v>100</v>
      </c>
      <c r="X39" s="1813"/>
      <c r="Y39" s="3210"/>
      <c r="Z39" s="1814">
        <f t="shared" si="15"/>
        <v>111</v>
      </c>
      <c r="AA39" s="1811">
        <f t="shared" si="3"/>
        <v>1</v>
      </c>
      <c r="AB39" s="1811">
        <f t="shared" si="4"/>
        <v>1</v>
      </c>
      <c r="AC39" s="1811">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84"/>
      <c r="Q40" s="1810">
        <f t="shared" si="11"/>
        <v>111</v>
      </c>
      <c r="R40" s="774" t="s">
        <v>17</v>
      </c>
      <c r="S40" s="775">
        <f t="shared" si="12"/>
        <v>100</v>
      </c>
      <c r="T40" s="774" t="s">
        <v>17</v>
      </c>
      <c r="U40" s="775">
        <f t="shared" si="13"/>
        <v>100</v>
      </c>
      <c r="V40" s="774" t="s">
        <v>17</v>
      </c>
      <c r="W40" s="775">
        <f t="shared" si="14"/>
        <v>100</v>
      </c>
      <c r="X40" s="1813"/>
      <c r="Y40" s="3284"/>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192" t="str">
        <f>A41</f>
        <v>成交单价（元/平方米）</v>
      </c>
      <c r="Q41" s="3192"/>
      <c r="R41" s="3280">
        <f>E41</f>
        <v>0</v>
      </c>
      <c r="S41" s="3280"/>
      <c r="T41" s="3280">
        <f>G41</f>
        <v>0</v>
      </c>
      <c r="U41" s="3280"/>
      <c r="V41" s="3280">
        <f>I41</f>
        <v>0</v>
      </c>
      <c r="W41" s="3280"/>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192" t="str">
        <f>A42</f>
        <v>比较价值（元/平方米）</v>
      </c>
      <c r="Q42" s="3192"/>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12" t="str">
        <f>A43</f>
        <v>估价对象XX用房的比较价值（楼面单价，元/平方米）</v>
      </c>
      <c r="Q43" s="3213"/>
      <c r="R43" s="3279" t="e">
        <f>IF(F1="售价",ROUND(AVERAGE(R42:V42),0),ROUND(AVERAGE(R42:V42),1))</f>
        <v>#DIV/0!</v>
      </c>
      <c r="S43" s="3279"/>
      <c r="T43" s="3279"/>
      <c r="U43" s="3279"/>
      <c r="V43" s="3279"/>
      <c r="W43" s="327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2018-1</v>
      </c>
      <c r="D52" s="1575">
        <f>EDATE(C52,-1)</f>
        <v>43070</v>
      </c>
      <c r="E52" s="1575">
        <f t="shared" ref="E52:O52" si="16">EDATE(D52,-1)</f>
        <v>43040</v>
      </c>
      <c r="F52" s="1575">
        <f t="shared" si="16"/>
        <v>43009</v>
      </c>
      <c r="G52" s="1575">
        <f t="shared" si="16"/>
        <v>42979</v>
      </c>
      <c r="H52" s="1575">
        <f t="shared" si="16"/>
        <v>42948</v>
      </c>
      <c r="I52" s="1575">
        <f t="shared" si="16"/>
        <v>42917</v>
      </c>
      <c r="J52" s="1575">
        <f t="shared" si="16"/>
        <v>42887</v>
      </c>
      <c r="K52" s="1575">
        <f t="shared" si="16"/>
        <v>42856</v>
      </c>
      <c r="L52" s="1575">
        <f t="shared" si="16"/>
        <v>42826</v>
      </c>
      <c r="M52" s="1575">
        <f t="shared" si="16"/>
        <v>42795</v>
      </c>
      <c r="N52" s="1575">
        <f t="shared" si="16"/>
        <v>42767</v>
      </c>
      <c r="O52" s="1575">
        <f t="shared" si="16"/>
        <v>42736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0"/>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2"/>
      <c r="D2" s="1124" t="e">
        <f ca="1">SUMIF(INDIRECT("'"&amp;F2&amp;"'"&amp;"!A:A"),"承租人权益价值",INDIRECT("'"&amp;F2&amp;"'"&amp;"!c:c"))</f>
        <v>#REF!</v>
      </c>
      <c r="E2" s="2583" t="s">
        <v>2327</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193" t="s">
        <v>2642</v>
      </c>
      <c r="D4" s="3194"/>
      <c r="E4" s="3195" t="s">
        <v>2643</v>
      </c>
      <c r="F4" s="3196"/>
      <c r="G4" s="3193" t="s">
        <v>2644</v>
      </c>
      <c r="H4" s="3194"/>
      <c r="I4" s="3193" t="s">
        <v>2645</v>
      </c>
      <c r="J4" s="3194"/>
      <c r="K4" s="610" t="s">
        <v>2646</v>
      </c>
      <c r="L4" s="1130"/>
      <c r="M4" s="1131"/>
      <c r="N4" s="1131"/>
      <c r="O4" s="1131"/>
      <c r="P4" s="3197" t="s">
        <v>2647</v>
      </c>
      <c r="Q4" s="3198"/>
      <c r="R4" s="3180" t="s">
        <v>2643</v>
      </c>
      <c r="S4" s="3181"/>
      <c r="T4" s="3180" t="s">
        <v>2644</v>
      </c>
      <c r="U4" s="3181"/>
      <c r="V4" s="3205" t="s">
        <v>2645</v>
      </c>
      <c r="W4" s="3205"/>
      <c r="X4" s="1813"/>
      <c r="Y4" s="3180" t="s">
        <v>2647</v>
      </c>
      <c r="Z4" s="3181"/>
      <c r="AA4" s="3175" t="s">
        <v>2643</v>
      </c>
      <c r="AB4" s="3176" t="s">
        <v>2644</v>
      </c>
      <c r="AC4" s="3175" t="s">
        <v>2645</v>
      </c>
    </row>
    <row r="5" spans="1:29" ht="15">
      <c r="A5" s="404"/>
      <c r="B5" s="405"/>
      <c r="C5" s="3276" t="s">
        <v>2538</v>
      </c>
      <c r="D5" s="3187"/>
      <c r="E5" s="3275" t="s">
        <v>2539</v>
      </c>
      <c r="F5" s="3185"/>
      <c r="G5" s="3276" t="s">
        <v>2540</v>
      </c>
      <c r="H5" s="3187"/>
      <c r="I5" s="3276" t="s">
        <v>2541</v>
      </c>
      <c r="J5" s="3187"/>
      <c r="K5" s="610"/>
      <c r="L5" s="1130"/>
      <c r="M5" s="1131"/>
      <c r="N5" s="1131"/>
      <c r="O5" s="1131"/>
      <c r="P5" s="3199"/>
      <c r="Q5" s="3200"/>
      <c r="R5" s="3182"/>
      <c r="S5" s="3183"/>
      <c r="T5" s="3182"/>
      <c r="U5" s="3183"/>
      <c r="V5" s="3205"/>
      <c r="W5" s="3205"/>
      <c r="X5" s="1813"/>
      <c r="Y5" s="3182"/>
      <c r="Z5" s="3183"/>
      <c r="AA5" s="3176"/>
      <c r="AB5" s="3176"/>
      <c r="AC5" s="3176"/>
    </row>
    <row r="6" spans="1:29" ht="15.75" thickBot="1">
      <c r="A6" s="406"/>
      <c r="B6" s="407"/>
      <c r="C6" s="3277" t="s">
        <v>2542</v>
      </c>
      <c r="D6" s="3189"/>
      <c r="E6" s="3278" t="s">
        <v>2542</v>
      </c>
      <c r="F6" s="3191"/>
      <c r="G6" s="3277" t="s">
        <v>2542</v>
      </c>
      <c r="H6" s="3189"/>
      <c r="I6" s="3277" t="s">
        <v>2542</v>
      </c>
      <c r="J6" s="3189"/>
      <c r="K6" s="610" t="s">
        <v>2543</v>
      </c>
      <c r="L6" s="1130"/>
      <c r="M6" s="1131"/>
      <c r="N6" s="1131"/>
      <c r="O6" s="1131"/>
      <c r="P6" s="3201"/>
      <c r="Q6" s="3202"/>
      <c r="R6" s="3182"/>
      <c r="S6" s="3183"/>
      <c r="T6" s="3203"/>
      <c r="U6" s="3204"/>
      <c r="V6" s="3205"/>
      <c r="W6" s="3205"/>
      <c r="X6" s="1813"/>
      <c r="Y6" s="3203"/>
      <c r="Z6" s="3204"/>
      <c r="AA6" s="3177"/>
      <c r="AB6" s="3177"/>
      <c r="AC6" s="3177"/>
    </row>
    <row r="7" spans="1:29" s="117" customFormat="1" ht="15.75" thickBot="1">
      <c r="A7" s="408" t="s">
        <v>2544</v>
      </c>
      <c r="B7" s="409"/>
      <c r="C7" s="410">
        <f>'数据-取费表'!B2</f>
        <v>43111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8" t="s">
        <v>2545</v>
      </c>
      <c r="Q7" s="3206"/>
      <c r="R7" s="770" t="s">
        <v>17</v>
      </c>
      <c r="S7" s="771">
        <f t="shared" ref="S7:S14" si="0">F7</f>
        <v>0</v>
      </c>
      <c r="T7" s="770" t="s">
        <v>17</v>
      </c>
      <c r="U7" s="771">
        <f t="shared" ref="U7:U14" si="1">H7</f>
        <v>0</v>
      </c>
      <c r="V7" s="770" t="s">
        <v>17</v>
      </c>
      <c r="W7" s="771">
        <f t="shared" ref="W7:W14" si="2">J7</f>
        <v>0</v>
      </c>
      <c r="X7" s="772"/>
      <c r="Y7" s="3178" t="s">
        <v>2545</v>
      </c>
      <c r="Z7" s="3179"/>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8" t="s">
        <v>2548</v>
      </c>
      <c r="Q8" s="3179"/>
      <c r="R8" s="770" t="s">
        <v>17</v>
      </c>
      <c r="S8" s="771">
        <f t="shared" si="0"/>
        <v>0</v>
      </c>
      <c r="T8" s="770" t="s">
        <v>17</v>
      </c>
      <c r="U8" s="771">
        <f t="shared" si="1"/>
        <v>0</v>
      </c>
      <c r="V8" s="770" t="s">
        <v>17</v>
      </c>
      <c r="W8" s="771">
        <f t="shared" si="2"/>
        <v>0</v>
      </c>
      <c r="X8" s="772"/>
      <c r="Y8" s="3178" t="s">
        <v>2548</v>
      </c>
      <c r="Z8" s="3179"/>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2" t="s">
        <v>2551</v>
      </c>
      <c r="Q9" s="1795" t="str">
        <f t="shared" ref="Q9:Q14" si="6">B9</f>
        <v>用途</v>
      </c>
      <c r="R9" s="770" t="s">
        <v>17</v>
      </c>
      <c r="S9" s="771">
        <f t="shared" si="0"/>
        <v>100</v>
      </c>
      <c r="T9" s="770" t="s">
        <v>17</v>
      </c>
      <c r="U9" s="771">
        <f t="shared" si="1"/>
        <v>100</v>
      </c>
      <c r="V9" s="770" t="s">
        <v>17</v>
      </c>
      <c r="W9" s="771">
        <f t="shared" si="2"/>
        <v>100</v>
      </c>
      <c r="X9" s="772"/>
      <c r="Y9" s="3052"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2"/>
      <c r="Q10" s="1795"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2"/>
      <c r="Q11" s="1795">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2"/>
      <c r="Q12" s="1795">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2"/>
      <c r="Q13" s="1795">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28.25">
      <c r="A14" s="401" t="s">
        <v>2555</v>
      </c>
      <c r="B14" s="629" t="s">
        <v>2705</v>
      </c>
      <c r="C14" s="2689" t="str">
        <f>IF(B1="工业",估价对象房地状况!G4,估价对象房地状况!C6)</f>
        <v>估价对象多面临街，周边道路路网较为密集，公共交通通达情况较好，有417、533路等、停车便捷程度较好，综合评价交通便捷度较好。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7" t="s">
        <v>2556</v>
      </c>
      <c r="Q14" s="1810" t="str">
        <f t="shared" si="6"/>
        <v>交通便捷度</v>
      </c>
      <c r="R14" s="774" t="s">
        <v>17</v>
      </c>
      <c r="S14" s="775">
        <f t="shared" si="0"/>
        <v>100</v>
      </c>
      <c r="T14" s="774" t="s">
        <v>17</v>
      </c>
      <c r="U14" s="775">
        <f t="shared" si="1"/>
        <v>100</v>
      </c>
      <c r="V14" s="774" t="s">
        <v>17</v>
      </c>
      <c r="W14" s="775">
        <f t="shared" si="2"/>
        <v>100</v>
      </c>
      <c r="X14" s="1813"/>
      <c r="Y14" s="3207"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8"/>
      <c r="Q15" s="1810"/>
      <c r="R15" s="774"/>
      <c r="S15" s="775"/>
      <c r="T15" s="774"/>
      <c r="U15" s="775"/>
      <c r="V15" s="774"/>
      <c r="W15" s="775"/>
      <c r="X15" s="1813"/>
      <c r="Y15" s="3208"/>
      <c r="Z15" s="1814"/>
      <c r="AA15" s="1811">
        <v>1</v>
      </c>
      <c r="AB15" s="1811">
        <v>1</v>
      </c>
      <c r="AC15" s="1811">
        <v>1</v>
      </c>
    </row>
    <row r="16" spans="1:29" ht="213.75">
      <c r="A16" s="404"/>
      <c r="B16" s="631" t="s">
        <v>2684</v>
      </c>
      <c r="C16" s="2603" t="str">
        <f>IF(B1="工业",估价对象房地状况!G5,估价对象房地状况!C7)</f>
        <v>估价对象所在区域2公里范围内有：银行（中国银行、北京农村商业银行），购物（物联隆超市、超市发超市）、医院（北七家社区卫生服务中心），学校（北京市晨星学校、伊顿双语幼儿园），餐饮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8"/>
      <c r="Q16" s="1810" t="str">
        <f>B16</f>
        <v>公共配套设施</v>
      </c>
      <c r="R16" s="774" t="s">
        <v>17</v>
      </c>
      <c r="S16" s="775">
        <f>F16</f>
        <v>100</v>
      </c>
      <c r="T16" s="774" t="s">
        <v>17</v>
      </c>
      <c r="U16" s="775">
        <f>H16</f>
        <v>100</v>
      </c>
      <c r="V16" s="774" t="s">
        <v>17</v>
      </c>
      <c r="W16" s="775">
        <f>J16</f>
        <v>100</v>
      </c>
      <c r="X16" s="1813"/>
      <c r="Y16" s="3208"/>
      <c r="Z16" s="1814" t="str">
        <f>Q16</f>
        <v>公共配套设施</v>
      </c>
      <c r="AA16" s="1811">
        <f t="shared" si="3"/>
        <v>1</v>
      </c>
      <c r="AB16" s="1811">
        <f t="shared" si="4"/>
        <v>1</v>
      </c>
      <c r="AC16" s="1811">
        <f t="shared" si="5"/>
        <v>1</v>
      </c>
    </row>
    <row r="17" spans="1:29" ht="15">
      <c r="A17" s="404"/>
      <c r="B17" s="632"/>
      <c r="C17" s="2604"/>
      <c r="D17" s="448"/>
      <c r="E17" s="447"/>
      <c r="F17" s="449"/>
      <c r="G17" s="447"/>
      <c r="H17" s="448"/>
      <c r="I17" s="447"/>
      <c r="J17" s="448"/>
      <c r="K17" s="615"/>
      <c r="L17" s="1140"/>
      <c r="M17" s="1131"/>
      <c r="N17" s="1131"/>
      <c r="O17" s="1131"/>
      <c r="P17" s="3208"/>
      <c r="Q17" s="1810"/>
      <c r="R17" s="774"/>
      <c r="S17" s="775"/>
      <c r="T17" s="774"/>
      <c r="U17" s="775"/>
      <c r="V17" s="774"/>
      <c r="W17" s="775"/>
      <c r="X17" s="1813"/>
      <c r="Y17" s="3208"/>
      <c r="Z17" s="1814"/>
      <c r="AA17" s="1811">
        <v>1</v>
      </c>
      <c r="AB17" s="1811">
        <v>1</v>
      </c>
      <c r="AC17" s="1811">
        <v>1</v>
      </c>
    </row>
    <row r="18" spans="1:29" ht="42.75">
      <c r="A18" s="404"/>
      <c r="B18" s="633" t="s">
        <v>2685</v>
      </c>
      <c r="C18" s="2603"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8"/>
      <c r="Q18" s="1810" t="str">
        <f>B18</f>
        <v>基础设施水平</v>
      </c>
      <c r="R18" s="774" t="s">
        <v>17</v>
      </c>
      <c r="S18" s="775">
        <f>F18</f>
        <v>100</v>
      </c>
      <c r="T18" s="774" t="s">
        <v>17</v>
      </c>
      <c r="U18" s="775">
        <f>H18</f>
        <v>100</v>
      </c>
      <c r="V18" s="774" t="s">
        <v>17</v>
      </c>
      <c r="W18" s="775">
        <f>J18</f>
        <v>100</v>
      </c>
      <c r="X18" s="1813"/>
      <c r="Y18" s="3208"/>
      <c r="Z18" s="1814" t="str">
        <f>Q18</f>
        <v>基础设施水平</v>
      </c>
      <c r="AA18" s="1811">
        <f t="shared" ref="AA18" si="8">D18/F18</f>
        <v>1</v>
      </c>
      <c r="AB18" s="1811">
        <f t="shared" ref="AB18" si="9">D18/H18</f>
        <v>1</v>
      </c>
      <c r="AC18" s="1811">
        <f t="shared" ref="AC18" si="10">D18/J18</f>
        <v>1</v>
      </c>
    </row>
    <row r="19" spans="1:29" ht="15">
      <c r="A19" s="404"/>
      <c r="B19" s="633"/>
      <c r="C19" s="2604"/>
      <c r="D19" s="450"/>
      <c r="E19" s="2604"/>
      <c r="F19" s="453"/>
      <c r="G19" s="2604"/>
      <c r="H19" s="448"/>
      <c r="I19" s="447"/>
      <c r="J19" s="448"/>
      <c r="K19" s="1383"/>
      <c r="L19" s="1140"/>
      <c r="M19" s="1131"/>
      <c r="N19" s="1131"/>
      <c r="O19" s="1131"/>
      <c r="P19" s="3208"/>
      <c r="Q19" s="1810"/>
      <c r="R19" s="774"/>
      <c r="S19" s="775"/>
      <c r="T19" s="774"/>
      <c r="U19" s="775"/>
      <c r="V19" s="774"/>
      <c r="W19" s="775"/>
      <c r="X19" s="1813"/>
      <c r="Y19" s="3208"/>
      <c r="Z19" s="1814"/>
      <c r="AA19" s="1811">
        <v>1</v>
      </c>
      <c r="AB19" s="1811">
        <v>1</v>
      </c>
      <c r="AC19" s="1811">
        <v>1</v>
      </c>
    </row>
    <row r="20" spans="1:29" ht="99.75">
      <c r="A20" s="404"/>
      <c r="B20" s="631" t="s">
        <v>2706</v>
      </c>
      <c r="C20" s="2603" t="str">
        <f>IF(B1="工业",估价对象房地状况!G7,估价对象房地状况!C9)</f>
        <v>区域自然环境：未来科技城滨河公园；人文环境：无展览馆、博物馆等；综合评价环境状况一般。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8"/>
      <c r="Q20" s="1810" t="str">
        <f>B20</f>
        <v>自然及人文环境</v>
      </c>
      <c r="R20" s="774" t="s">
        <v>17</v>
      </c>
      <c r="S20" s="775">
        <f>F20</f>
        <v>100</v>
      </c>
      <c r="T20" s="774" t="s">
        <v>17</v>
      </c>
      <c r="U20" s="775">
        <f>H20</f>
        <v>100</v>
      </c>
      <c r="V20" s="774" t="s">
        <v>17</v>
      </c>
      <c r="W20" s="775">
        <f>J20</f>
        <v>100</v>
      </c>
      <c r="X20" s="1813"/>
      <c r="Y20" s="320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8"/>
      <c r="Q21" s="1810"/>
      <c r="R21" s="774"/>
      <c r="S21" s="775"/>
      <c r="T21" s="774"/>
      <c r="U21" s="775"/>
      <c r="V21" s="774"/>
      <c r="W21" s="775"/>
      <c r="X21" s="1813"/>
      <c r="Y21" s="3208"/>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8"/>
      <c r="Q22" s="1810" t="str">
        <f>B22</f>
        <v>楼层</v>
      </c>
      <c r="R22" s="774" t="s">
        <v>17</v>
      </c>
      <c r="S22" s="775">
        <f>F22</f>
        <v>100</v>
      </c>
      <c r="T22" s="774" t="s">
        <v>17</v>
      </c>
      <c r="U22" s="775">
        <f>H22</f>
        <v>100</v>
      </c>
      <c r="V22" s="774" t="s">
        <v>17</v>
      </c>
      <c r="W22" s="775">
        <f>J22</f>
        <v>100</v>
      </c>
      <c r="X22" s="1813"/>
      <c r="Y22" s="320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8"/>
      <c r="Q23" s="1810">
        <f>B23</f>
        <v>111</v>
      </c>
      <c r="R23" s="774" t="s">
        <v>17</v>
      </c>
      <c r="S23" s="775">
        <f>F23</f>
        <v>100</v>
      </c>
      <c r="T23" s="774" t="s">
        <v>17</v>
      </c>
      <c r="U23" s="775">
        <f>H23</f>
        <v>100</v>
      </c>
      <c r="V23" s="774" t="s">
        <v>17</v>
      </c>
      <c r="W23" s="775">
        <f>J23</f>
        <v>100</v>
      </c>
      <c r="X23" s="1813"/>
      <c r="Y23" s="320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8"/>
      <c r="Q24" s="1810">
        <f t="shared" ref="Q24:Q36" si="11">B24</f>
        <v>111</v>
      </c>
      <c r="R24" s="774" t="s">
        <v>17</v>
      </c>
      <c r="S24" s="775">
        <f>F24</f>
        <v>100</v>
      </c>
      <c r="T24" s="774" t="s">
        <v>17</v>
      </c>
      <c r="U24" s="775">
        <f>H24</f>
        <v>100</v>
      </c>
      <c r="V24" s="774" t="s">
        <v>17</v>
      </c>
      <c r="W24" s="775">
        <f>J24</f>
        <v>100</v>
      </c>
      <c r="X24" s="1813"/>
      <c r="Y24" s="320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8"/>
      <c r="Q25" s="1795">
        <f t="shared" si="11"/>
        <v>111</v>
      </c>
      <c r="R25" s="770" t="s">
        <v>17</v>
      </c>
      <c r="S25" s="771">
        <f>F25</f>
        <v>100</v>
      </c>
      <c r="T25" s="770" t="s">
        <v>17</v>
      </c>
      <c r="U25" s="771">
        <f>H25</f>
        <v>100</v>
      </c>
      <c r="V25" s="770" t="s">
        <v>17</v>
      </c>
      <c r="W25" s="771">
        <f>J25</f>
        <v>100</v>
      </c>
      <c r="X25" s="772"/>
      <c r="Y25" s="3208"/>
      <c r="Z25" s="55">
        <f>Q25</f>
        <v>111</v>
      </c>
      <c r="AA25" s="1811">
        <f>D25/F25</f>
        <v>1</v>
      </c>
      <c r="AB25" s="1811">
        <f>D25/H25</f>
        <v>1</v>
      </c>
      <c r="AC25" s="1811">
        <f>D25/J25</f>
        <v>1</v>
      </c>
    </row>
    <row r="26" spans="1:29" ht="15">
      <c r="A26" s="652" t="s">
        <v>2559</v>
      </c>
      <c r="B26" s="70" t="s">
        <v>2708</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9"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0"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0"/>
      <c r="Q27" s="776" t="str">
        <f t="shared" si="11"/>
        <v>项目停车位配比</v>
      </c>
      <c r="R27" s="777" t="s">
        <v>17</v>
      </c>
      <c r="S27" s="778">
        <f t="shared" si="12"/>
        <v>100</v>
      </c>
      <c r="T27" s="777" t="s">
        <v>17</v>
      </c>
      <c r="U27" s="778">
        <f t="shared" si="13"/>
        <v>100</v>
      </c>
      <c r="V27" s="777" t="s">
        <v>17</v>
      </c>
      <c r="W27" s="778">
        <f t="shared" si="14"/>
        <v>100</v>
      </c>
      <c r="X27" s="779"/>
      <c r="Y27" s="3210"/>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0"/>
      <c r="Q28" s="1810" t="str">
        <f t="shared" si="11"/>
        <v>公共部分装修</v>
      </c>
      <c r="R28" s="774" t="s">
        <v>17</v>
      </c>
      <c r="S28" s="775">
        <f t="shared" si="12"/>
        <v>100</v>
      </c>
      <c r="T28" s="774" t="s">
        <v>17</v>
      </c>
      <c r="U28" s="775">
        <f t="shared" si="13"/>
        <v>100</v>
      </c>
      <c r="V28" s="774" t="s">
        <v>17</v>
      </c>
      <c r="W28" s="775">
        <f t="shared" si="14"/>
        <v>100</v>
      </c>
      <c r="X28" s="1813"/>
      <c r="Y28" s="3210"/>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0"/>
      <c r="Q29" s="1810" t="str">
        <f t="shared" si="11"/>
        <v>成新率</v>
      </c>
      <c r="R29" s="774" t="s">
        <v>17</v>
      </c>
      <c r="S29" s="775" t="e">
        <f t="shared" si="12"/>
        <v>#N/A</v>
      </c>
      <c r="T29" s="774" t="s">
        <v>17</v>
      </c>
      <c r="U29" s="775" t="e">
        <f t="shared" si="13"/>
        <v>#N/A</v>
      </c>
      <c r="V29" s="774" t="s">
        <v>17</v>
      </c>
      <c r="W29" s="775" t="e">
        <f t="shared" si="14"/>
        <v>#N/A</v>
      </c>
      <c r="X29" s="1813"/>
      <c r="Y29" s="3210"/>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0"/>
      <c r="Q30" s="1810" t="str">
        <f t="shared" si="11"/>
        <v>物业等级</v>
      </c>
      <c r="R30" s="774" t="s">
        <v>17</v>
      </c>
      <c r="S30" s="775">
        <f t="shared" si="12"/>
        <v>100</v>
      </c>
      <c r="T30" s="774" t="s">
        <v>17</v>
      </c>
      <c r="U30" s="775">
        <f t="shared" si="13"/>
        <v>100</v>
      </c>
      <c r="V30" s="774" t="s">
        <v>17</v>
      </c>
      <c r="W30" s="775">
        <f t="shared" si="14"/>
        <v>100</v>
      </c>
      <c r="X30" s="1813"/>
      <c r="Y30" s="3210"/>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0"/>
      <c r="Q31" s="1795" t="str">
        <f t="shared" si="11"/>
        <v>停车位面积</v>
      </c>
      <c r="R31" s="770" t="s">
        <v>17</v>
      </c>
      <c r="S31" s="771" t="e">
        <f t="shared" si="12"/>
        <v>#N/A</v>
      </c>
      <c r="T31" s="770" t="s">
        <v>17</v>
      </c>
      <c r="U31" s="771" t="e">
        <f t="shared" si="13"/>
        <v>#N/A</v>
      </c>
      <c r="V31" s="770" t="s">
        <v>17</v>
      </c>
      <c r="W31" s="771" t="e">
        <f t="shared" si="14"/>
        <v>#N/A</v>
      </c>
      <c r="X31" s="772"/>
      <c r="Y31" s="3210"/>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0" t="s">
        <v>2561</v>
      </c>
      <c r="Q32" s="1810" t="str">
        <f t="shared" si="11"/>
        <v>车位类型</v>
      </c>
      <c r="R32" s="774" t="s">
        <v>17</v>
      </c>
      <c r="S32" s="775">
        <f t="shared" si="12"/>
        <v>100</v>
      </c>
      <c r="T32" s="774" t="s">
        <v>17</v>
      </c>
      <c r="U32" s="775">
        <f t="shared" si="13"/>
        <v>100</v>
      </c>
      <c r="V32" s="774" t="s">
        <v>17</v>
      </c>
      <c r="W32" s="775">
        <f t="shared" si="14"/>
        <v>100</v>
      </c>
      <c r="X32" s="1813"/>
      <c r="Y32" s="3210"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0"/>
      <c r="Q33" s="1810" t="str">
        <f t="shared" si="11"/>
        <v>是否直接入户</v>
      </c>
      <c r="R33" s="774" t="s">
        <v>17</v>
      </c>
      <c r="S33" s="775">
        <f t="shared" si="12"/>
        <v>100</v>
      </c>
      <c r="T33" s="774" t="s">
        <v>17</v>
      </c>
      <c r="U33" s="775">
        <f t="shared" si="13"/>
        <v>100</v>
      </c>
      <c r="V33" s="774" t="s">
        <v>17</v>
      </c>
      <c r="W33" s="775">
        <f t="shared" si="14"/>
        <v>100</v>
      </c>
      <c r="X33" s="1813"/>
      <c r="Y33" s="321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0"/>
      <c r="Q34" s="1810">
        <f t="shared" si="11"/>
        <v>111</v>
      </c>
      <c r="R34" s="774" t="s">
        <v>17</v>
      </c>
      <c r="S34" s="775">
        <f t="shared" si="12"/>
        <v>100</v>
      </c>
      <c r="T34" s="774" t="s">
        <v>17</v>
      </c>
      <c r="U34" s="775">
        <f t="shared" si="13"/>
        <v>100</v>
      </c>
      <c r="V34" s="774" t="s">
        <v>17</v>
      </c>
      <c r="W34" s="775">
        <f t="shared" si="14"/>
        <v>100</v>
      </c>
      <c r="X34" s="1813"/>
      <c r="Y34" s="321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0"/>
      <c r="Q35" s="776">
        <f t="shared" si="11"/>
        <v>111</v>
      </c>
      <c r="R35" s="777" t="s">
        <v>17</v>
      </c>
      <c r="S35" s="778">
        <f t="shared" si="12"/>
        <v>100</v>
      </c>
      <c r="T35" s="777" t="s">
        <v>17</v>
      </c>
      <c r="U35" s="778">
        <f t="shared" si="13"/>
        <v>100</v>
      </c>
      <c r="V35" s="777" t="s">
        <v>17</v>
      </c>
      <c r="W35" s="778">
        <f t="shared" si="14"/>
        <v>100</v>
      </c>
      <c r="X35" s="779"/>
      <c r="Y35" s="321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0"/>
      <c r="Q36" s="1810">
        <f t="shared" si="11"/>
        <v>111</v>
      </c>
      <c r="R36" s="774" t="s">
        <v>17</v>
      </c>
      <c r="S36" s="775">
        <f t="shared" si="12"/>
        <v>100</v>
      </c>
      <c r="T36" s="774" t="s">
        <v>17</v>
      </c>
      <c r="U36" s="775">
        <f t="shared" si="13"/>
        <v>100</v>
      </c>
      <c r="V36" s="774" t="s">
        <v>17</v>
      </c>
      <c r="W36" s="775">
        <f t="shared" si="14"/>
        <v>100</v>
      </c>
      <c r="X36" s="1813"/>
      <c r="Y36" s="3210"/>
      <c r="Z36" s="1814">
        <f t="shared" si="15"/>
        <v>111</v>
      </c>
      <c r="AA36" s="1811">
        <f t="shared" si="3"/>
        <v>1</v>
      </c>
      <c r="AB36" s="1811">
        <f t="shared" si="4"/>
        <v>1</v>
      </c>
      <c r="AC36" s="1811">
        <f t="shared" si="5"/>
        <v>1</v>
      </c>
    </row>
    <row r="37" spans="1:29" ht="15">
      <c r="A37" s="479" t="s">
        <v>2716</v>
      </c>
      <c r="B37" s="2691" t="s">
        <v>2717</v>
      </c>
      <c r="C37" s="1407" t="s">
        <v>1</v>
      </c>
      <c r="D37" s="1408"/>
      <c r="E37" s="1409"/>
      <c r="F37" s="1410"/>
      <c r="G37" s="1411"/>
      <c r="H37" s="1412"/>
      <c r="I37" s="1409"/>
      <c r="J37" s="1412"/>
      <c r="K37" s="619"/>
      <c r="L37" s="1143"/>
      <c r="M37" s="1144"/>
      <c r="N37" s="1131"/>
      <c r="O37" s="1144"/>
      <c r="P37" s="3192" t="str">
        <f>A37</f>
        <v>成交单价</v>
      </c>
      <c r="Q37" s="3192"/>
      <c r="R37" s="3280">
        <f>E37</f>
        <v>0</v>
      </c>
      <c r="S37" s="3280"/>
      <c r="T37" s="3280">
        <f>G37</f>
        <v>0</v>
      </c>
      <c r="U37" s="3280"/>
      <c r="V37" s="3280">
        <f>I37</f>
        <v>0</v>
      </c>
      <c r="W37" s="3280"/>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2" t="str">
        <f>A38</f>
        <v>比较价值（元/平方米）</v>
      </c>
      <c r="Q38" s="3192"/>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12" t="str">
        <f>A39</f>
        <v>估价对象XX用房的比较价值（楼面单价，元/平方米）</v>
      </c>
      <c r="Q39" s="3213"/>
      <c r="R39" s="3279" t="e">
        <f>IF(F1="售价",ROUND(AVERAGE(R38:V38),0),ROUND(AVERAGE(R38:V38),1))</f>
        <v>#DIV/0!</v>
      </c>
      <c r="S39" s="3279"/>
      <c r="T39" s="3279"/>
      <c r="U39" s="3279"/>
      <c r="V39" s="3279"/>
      <c r="W39" s="327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2018-1</v>
      </c>
      <c r="D48" s="1575">
        <f>EDATE(C48,-1)</f>
        <v>43070</v>
      </c>
      <c r="E48" s="1575">
        <f t="shared" ref="E48:O48" si="16">EDATE(D48,-1)</f>
        <v>43040</v>
      </c>
      <c r="F48" s="1575">
        <f t="shared" si="16"/>
        <v>43009</v>
      </c>
      <c r="G48" s="1575">
        <f t="shared" si="16"/>
        <v>42979</v>
      </c>
      <c r="H48" s="1575">
        <f t="shared" si="16"/>
        <v>42948</v>
      </c>
      <c r="I48" s="1575">
        <f t="shared" si="16"/>
        <v>42917</v>
      </c>
      <c r="J48" s="1575">
        <f t="shared" si="16"/>
        <v>42887</v>
      </c>
      <c r="K48" s="1575">
        <f t="shared" si="16"/>
        <v>42856</v>
      </c>
      <c r="L48" s="1575">
        <f t="shared" si="16"/>
        <v>42826</v>
      </c>
      <c r="M48" s="1575">
        <f t="shared" si="16"/>
        <v>42795</v>
      </c>
      <c r="N48" s="1575">
        <f t="shared" si="16"/>
        <v>42767</v>
      </c>
      <c r="O48" s="1575">
        <f t="shared" si="16"/>
        <v>42736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0"/>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2"/>
      <c r="D2" s="1124" t="e">
        <f ca="1">SUMIF(INDIRECT("'"&amp;F2&amp;"'"&amp;"!A:A"),"承租人权益价值",INDIRECT("'"&amp;F2&amp;"'"&amp;"!c:c"))</f>
        <v>#REF!</v>
      </c>
      <c r="E2" s="2583" t="s">
        <v>2327</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3" t="s">
        <v>2642</v>
      </c>
      <c r="D4" s="3194"/>
      <c r="E4" s="3195" t="s">
        <v>2643</v>
      </c>
      <c r="F4" s="3196"/>
      <c r="G4" s="3193" t="s">
        <v>2644</v>
      </c>
      <c r="H4" s="3194"/>
      <c r="I4" s="3193" t="s">
        <v>2645</v>
      </c>
      <c r="J4" s="3194"/>
      <c r="K4" s="610" t="s">
        <v>2646</v>
      </c>
      <c r="L4" s="1130"/>
      <c r="M4" s="1131"/>
      <c r="N4" s="1131"/>
      <c r="O4" s="1131"/>
      <c r="P4" s="3197" t="s">
        <v>2647</v>
      </c>
      <c r="Q4" s="3198"/>
      <c r="R4" s="3180" t="s">
        <v>2643</v>
      </c>
      <c r="S4" s="3181"/>
      <c r="T4" s="3180" t="s">
        <v>2644</v>
      </c>
      <c r="U4" s="3181"/>
      <c r="V4" s="3205" t="s">
        <v>2645</v>
      </c>
      <c r="W4" s="3205"/>
      <c r="X4" s="1813"/>
      <c r="Y4" s="3180" t="s">
        <v>2647</v>
      </c>
      <c r="Z4" s="3181"/>
      <c r="AA4" s="3175" t="s">
        <v>2643</v>
      </c>
      <c r="AB4" s="3176" t="s">
        <v>2644</v>
      </c>
      <c r="AC4" s="3175" t="s">
        <v>2645</v>
      </c>
    </row>
    <row r="5" spans="1:29" ht="15">
      <c r="A5" s="404"/>
      <c r="B5" s="405"/>
      <c r="C5" s="3276" t="s">
        <v>2538</v>
      </c>
      <c r="D5" s="3187"/>
      <c r="E5" s="3275" t="s">
        <v>2539</v>
      </c>
      <c r="F5" s="3185"/>
      <c r="G5" s="3276" t="s">
        <v>2540</v>
      </c>
      <c r="H5" s="3187"/>
      <c r="I5" s="3276" t="s">
        <v>2541</v>
      </c>
      <c r="J5" s="3187"/>
      <c r="K5" s="610"/>
      <c r="L5" s="1130"/>
      <c r="M5" s="1131"/>
      <c r="N5" s="1131"/>
      <c r="O5" s="1131"/>
      <c r="P5" s="3199"/>
      <c r="Q5" s="3200"/>
      <c r="R5" s="3182"/>
      <c r="S5" s="3183"/>
      <c r="T5" s="3182"/>
      <c r="U5" s="3183"/>
      <c r="V5" s="3205"/>
      <c r="W5" s="3205"/>
      <c r="X5" s="1813"/>
      <c r="Y5" s="3182"/>
      <c r="Z5" s="3183"/>
      <c r="AA5" s="3176"/>
      <c r="AB5" s="3176"/>
      <c r="AC5" s="3176"/>
    </row>
    <row r="6" spans="1:29" ht="15.75" thickBot="1">
      <c r="A6" s="406"/>
      <c r="B6" s="407"/>
      <c r="C6" s="3277" t="s">
        <v>2542</v>
      </c>
      <c r="D6" s="3189"/>
      <c r="E6" s="3278" t="s">
        <v>2542</v>
      </c>
      <c r="F6" s="3191"/>
      <c r="G6" s="3277" t="s">
        <v>2542</v>
      </c>
      <c r="H6" s="3189"/>
      <c r="I6" s="3277" t="s">
        <v>2542</v>
      </c>
      <c r="J6" s="3189"/>
      <c r="K6" s="610" t="s">
        <v>2543</v>
      </c>
      <c r="L6" s="1130"/>
      <c r="M6" s="1131"/>
      <c r="N6" s="1131"/>
      <c r="O6" s="1131"/>
      <c r="P6" s="3201"/>
      <c r="Q6" s="3202"/>
      <c r="R6" s="3182"/>
      <c r="S6" s="3183"/>
      <c r="T6" s="3203"/>
      <c r="U6" s="3204"/>
      <c r="V6" s="3205"/>
      <c r="W6" s="3205"/>
      <c r="X6" s="1813"/>
      <c r="Y6" s="3203"/>
      <c r="Z6" s="3204"/>
      <c r="AA6" s="3177"/>
      <c r="AB6" s="3177"/>
      <c r="AC6" s="3177"/>
    </row>
    <row r="7" spans="1:29" s="117" customFormat="1" ht="15.75" thickBot="1">
      <c r="A7" s="408" t="s">
        <v>2544</v>
      </c>
      <c r="B7" s="409"/>
      <c r="C7" s="410">
        <f>'数据-取费表'!B2</f>
        <v>43111</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178" t="s">
        <v>2545</v>
      </c>
      <c r="Q7" s="3206"/>
      <c r="R7" s="770" t="s">
        <v>17</v>
      </c>
      <c r="S7" s="771">
        <f t="shared" ref="S7:S14" si="0">F7</f>
        <v>0</v>
      </c>
      <c r="T7" s="770" t="s">
        <v>17</v>
      </c>
      <c r="U7" s="771">
        <f t="shared" ref="U7:U14" si="1">H7</f>
        <v>0</v>
      </c>
      <c r="V7" s="770" t="s">
        <v>17</v>
      </c>
      <c r="W7" s="771">
        <f t="shared" ref="W7:W14" si="2">J7</f>
        <v>0</v>
      </c>
      <c r="X7" s="772"/>
      <c r="Y7" s="3178" t="s">
        <v>2545</v>
      </c>
      <c r="Z7" s="3179"/>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8" t="s">
        <v>2548</v>
      </c>
      <c r="Q8" s="3179"/>
      <c r="R8" s="770" t="s">
        <v>17</v>
      </c>
      <c r="S8" s="771">
        <f t="shared" si="0"/>
        <v>0</v>
      </c>
      <c r="T8" s="770" t="s">
        <v>17</v>
      </c>
      <c r="U8" s="771">
        <f t="shared" si="1"/>
        <v>0</v>
      </c>
      <c r="V8" s="770" t="s">
        <v>17</v>
      </c>
      <c r="W8" s="771">
        <f t="shared" si="2"/>
        <v>0</v>
      </c>
      <c r="X8" s="772"/>
      <c r="Y8" s="3178" t="s">
        <v>2548</v>
      </c>
      <c r="Z8" s="3179"/>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2" t="s">
        <v>2551</v>
      </c>
      <c r="Q9" s="1795" t="str">
        <f t="shared" ref="Q9:Q14" si="6">B9</f>
        <v>用途</v>
      </c>
      <c r="R9" s="770" t="s">
        <v>17</v>
      </c>
      <c r="S9" s="771">
        <f t="shared" si="0"/>
        <v>100</v>
      </c>
      <c r="T9" s="770" t="s">
        <v>17</v>
      </c>
      <c r="U9" s="771">
        <f t="shared" si="1"/>
        <v>100</v>
      </c>
      <c r="V9" s="770" t="s">
        <v>17</v>
      </c>
      <c r="W9" s="771">
        <f t="shared" si="2"/>
        <v>100</v>
      </c>
      <c r="X9" s="772"/>
      <c r="Y9" s="3052"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2"/>
      <c r="Q10" s="1795"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2"/>
      <c r="Q11" s="1795">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2"/>
      <c r="Q12" s="1795">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192"/>
      <c r="Q13" s="1795">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28.25">
      <c r="A14" s="440" t="s">
        <v>2555</v>
      </c>
      <c r="B14" s="69" t="s">
        <v>2705</v>
      </c>
      <c r="C14" s="2689" t="str">
        <f>IF(B1="工业",估价对象房地状况!G4,估价对象房地状况!C6)</f>
        <v>估价对象多面临街，周边道路路网较为密集，公共交通通达情况较好，有417、533路等、停车便捷程度较好，综合评价交通便捷度较好。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7" t="s">
        <v>2556</v>
      </c>
      <c r="Q14" s="1810" t="str">
        <f t="shared" si="6"/>
        <v>交通便捷度</v>
      </c>
      <c r="R14" s="774" t="s">
        <v>17</v>
      </c>
      <c r="S14" s="775">
        <f t="shared" si="0"/>
        <v>100</v>
      </c>
      <c r="T14" s="774" t="s">
        <v>17</v>
      </c>
      <c r="U14" s="775">
        <f t="shared" si="1"/>
        <v>100</v>
      </c>
      <c r="V14" s="774" t="s">
        <v>17</v>
      </c>
      <c r="W14" s="775">
        <f t="shared" si="2"/>
        <v>100</v>
      </c>
      <c r="X14" s="1813"/>
      <c r="Y14" s="3207"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8"/>
      <c r="Q15" s="1810"/>
      <c r="R15" s="774"/>
      <c r="S15" s="775"/>
      <c r="T15" s="774"/>
      <c r="U15" s="775"/>
      <c r="V15" s="774"/>
      <c r="W15" s="775"/>
      <c r="X15" s="1813"/>
      <c r="Y15" s="3208"/>
      <c r="Z15" s="1814"/>
      <c r="AA15" s="1811">
        <v>1</v>
      </c>
      <c r="AB15" s="1811">
        <v>1</v>
      </c>
      <c r="AC15" s="1811">
        <v>1</v>
      </c>
    </row>
    <row r="16" spans="1:29" ht="213.75">
      <c r="A16" s="428"/>
      <c r="B16" s="451" t="s">
        <v>2684</v>
      </c>
      <c r="C16" s="2603" t="str">
        <f>IF(B1="工业",估价对象房地状况!G5,估价对象房地状况!C7)</f>
        <v>估价对象所在区域2公里范围内有：银行（中国银行、北京农村商业银行），购物（物联隆超市、超市发超市）、医院（北七家社区卫生服务中心），学校（北京市晨星学校、伊顿双语幼儿园），餐饮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8"/>
      <c r="Q16" s="1810" t="str">
        <f>B16</f>
        <v>公共配套设施</v>
      </c>
      <c r="R16" s="774" t="s">
        <v>17</v>
      </c>
      <c r="S16" s="775">
        <f>F16</f>
        <v>100</v>
      </c>
      <c r="T16" s="774" t="s">
        <v>17</v>
      </c>
      <c r="U16" s="775">
        <f>H16</f>
        <v>100</v>
      </c>
      <c r="V16" s="774" t="s">
        <v>17</v>
      </c>
      <c r="W16" s="775">
        <f>J16</f>
        <v>100</v>
      </c>
      <c r="X16" s="1813"/>
      <c r="Y16" s="3208"/>
      <c r="Z16" s="1814" t="str">
        <f>Q16</f>
        <v>公共配套设施</v>
      </c>
      <c r="AA16" s="1811">
        <f t="shared" si="3"/>
        <v>1</v>
      </c>
      <c r="AB16" s="1811">
        <f t="shared" si="4"/>
        <v>1</v>
      </c>
      <c r="AC16" s="1811">
        <f t="shared" si="5"/>
        <v>1</v>
      </c>
    </row>
    <row r="17" spans="1:29" ht="15">
      <c r="A17" s="428"/>
      <c r="B17" s="456"/>
      <c r="C17" s="2604"/>
      <c r="D17" s="448"/>
      <c r="E17" s="447"/>
      <c r="F17" s="449"/>
      <c r="G17" s="447"/>
      <c r="H17" s="448"/>
      <c r="I17" s="447"/>
      <c r="J17" s="448"/>
      <c r="K17" s="615"/>
      <c r="L17" s="1140"/>
      <c r="M17" s="1131"/>
      <c r="N17" s="1131"/>
      <c r="O17" s="1139"/>
      <c r="P17" s="3208"/>
      <c r="Q17" s="1810"/>
      <c r="R17" s="774"/>
      <c r="S17" s="775"/>
      <c r="T17" s="774"/>
      <c r="U17" s="775"/>
      <c r="V17" s="774"/>
      <c r="W17" s="775"/>
      <c r="X17" s="1813"/>
      <c r="Y17" s="3208"/>
      <c r="Z17" s="1814"/>
      <c r="AA17" s="1811">
        <v>1</v>
      </c>
      <c r="AB17" s="1811">
        <v>1</v>
      </c>
      <c r="AC17" s="1811">
        <v>1</v>
      </c>
    </row>
    <row r="18" spans="1:29" ht="42.75">
      <c r="A18" s="428"/>
      <c r="B18" s="1384" t="s">
        <v>2685</v>
      </c>
      <c r="C18" s="2603"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8"/>
      <c r="Q18" s="1810" t="str">
        <f>B18</f>
        <v>基础设施水平</v>
      </c>
      <c r="R18" s="774" t="s">
        <v>17</v>
      </c>
      <c r="S18" s="775">
        <f>F18</f>
        <v>100</v>
      </c>
      <c r="T18" s="774" t="s">
        <v>17</v>
      </c>
      <c r="U18" s="775">
        <f>H18</f>
        <v>100</v>
      </c>
      <c r="V18" s="774" t="s">
        <v>17</v>
      </c>
      <c r="W18" s="775">
        <f>J18</f>
        <v>100</v>
      </c>
      <c r="X18" s="1813"/>
      <c r="Y18" s="3208"/>
      <c r="Z18" s="1814" t="str">
        <f>Q18</f>
        <v>基础设施水平</v>
      </c>
      <c r="AA18" s="1811">
        <f t="shared" ref="AA18" si="8">D18/F18</f>
        <v>1</v>
      </c>
      <c r="AB18" s="1811">
        <f t="shared" ref="AB18" si="9">D18/H18</f>
        <v>1</v>
      </c>
      <c r="AC18" s="1811">
        <f t="shared" ref="AC18" si="10">D18/J18</f>
        <v>1</v>
      </c>
    </row>
    <row r="19" spans="1:29" ht="15">
      <c r="A19" s="428"/>
      <c r="B19" s="1384"/>
      <c r="C19" s="2604"/>
      <c r="D19" s="450"/>
      <c r="E19" s="2604"/>
      <c r="F19" s="453"/>
      <c r="G19" s="2604"/>
      <c r="H19" s="448"/>
      <c r="I19" s="447"/>
      <c r="J19" s="448"/>
      <c r="K19" s="1383"/>
      <c r="L19" s="1140"/>
      <c r="M19" s="1131"/>
      <c r="N19" s="1131"/>
      <c r="O19" s="1139"/>
      <c r="P19" s="3208"/>
      <c r="Q19" s="1810"/>
      <c r="R19" s="774"/>
      <c r="S19" s="775"/>
      <c r="T19" s="774"/>
      <c r="U19" s="775"/>
      <c r="V19" s="774"/>
      <c r="W19" s="775"/>
      <c r="X19" s="1813"/>
      <c r="Y19" s="3208"/>
      <c r="Z19" s="1814"/>
      <c r="AA19" s="1811">
        <v>1</v>
      </c>
      <c r="AB19" s="1811">
        <v>1</v>
      </c>
      <c r="AC19" s="1811">
        <v>1</v>
      </c>
    </row>
    <row r="20" spans="1:29" ht="99.75">
      <c r="A20" s="428"/>
      <c r="B20" s="451" t="s">
        <v>2706</v>
      </c>
      <c r="C20" s="2603" t="str">
        <f>IF(B1="工业",估价对象房地状况!G7,估价对象房地状况!C9)</f>
        <v>区域自然环境：未来科技城滨河公园；人文环境：无展览馆、博物馆等；综合评价环境状况一般。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8"/>
      <c r="Q20" s="1810" t="str">
        <f>B20</f>
        <v>自然及人文环境</v>
      </c>
      <c r="R20" s="774" t="s">
        <v>17</v>
      </c>
      <c r="S20" s="775">
        <f>F20</f>
        <v>100</v>
      </c>
      <c r="T20" s="774" t="s">
        <v>17</v>
      </c>
      <c r="U20" s="775">
        <f>H20</f>
        <v>100</v>
      </c>
      <c r="V20" s="774" t="s">
        <v>17</v>
      </c>
      <c r="W20" s="775">
        <f>J20</f>
        <v>100</v>
      </c>
      <c r="X20" s="1813"/>
      <c r="Y20" s="320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8"/>
      <c r="Q21" s="1810"/>
      <c r="R21" s="774"/>
      <c r="S21" s="775"/>
      <c r="T21" s="774"/>
      <c r="U21" s="775"/>
      <c r="V21" s="774"/>
      <c r="W21" s="775"/>
      <c r="X21" s="1813"/>
      <c r="Y21" s="3208"/>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8"/>
      <c r="Q22" s="1810" t="str">
        <f>B22</f>
        <v>楼层</v>
      </c>
      <c r="R22" s="774" t="s">
        <v>17</v>
      </c>
      <c r="S22" s="775">
        <f>F22</f>
        <v>100</v>
      </c>
      <c r="T22" s="774" t="s">
        <v>17</v>
      </c>
      <c r="U22" s="775">
        <f>H22</f>
        <v>100</v>
      </c>
      <c r="V22" s="774" t="s">
        <v>17</v>
      </c>
      <c r="W22" s="775">
        <f>J22</f>
        <v>100</v>
      </c>
      <c r="X22" s="1813"/>
      <c r="Y22" s="3208"/>
      <c r="Z22" s="1814" t="str">
        <f>Q22</f>
        <v>楼层</v>
      </c>
      <c r="AA22" s="1811">
        <f t="shared" si="3"/>
        <v>1</v>
      </c>
      <c r="AB22" s="1811">
        <f t="shared" si="4"/>
        <v>1</v>
      </c>
      <c r="AC22" s="1811">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8"/>
      <c r="Q23" s="1810">
        <f>B23</f>
        <v>111</v>
      </c>
      <c r="R23" s="774" t="s">
        <v>17</v>
      </c>
      <c r="S23" s="775">
        <f>F23</f>
        <v>100</v>
      </c>
      <c r="T23" s="774" t="s">
        <v>17</v>
      </c>
      <c r="U23" s="775">
        <f>H23</f>
        <v>100</v>
      </c>
      <c r="V23" s="774" t="s">
        <v>17</v>
      </c>
      <c r="W23" s="775">
        <f>J23</f>
        <v>100</v>
      </c>
      <c r="X23" s="1813"/>
      <c r="Y23" s="3208"/>
      <c r="Z23" s="1814">
        <f>Q23</f>
        <v>111</v>
      </c>
      <c r="AA23" s="1811">
        <f t="shared" si="3"/>
        <v>1</v>
      </c>
      <c r="AB23" s="1811">
        <f t="shared" si="4"/>
        <v>1</v>
      </c>
      <c r="AC23" s="1811">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8"/>
      <c r="Q24" s="1810">
        <f t="shared" ref="Q24:Q34" si="11">B24</f>
        <v>111</v>
      </c>
      <c r="R24" s="774" t="s">
        <v>17</v>
      </c>
      <c r="S24" s="775">
        <f>F24</f>
        <v>100</v>
      </c>
      <c r="T24" s="774" t="s">
        <v>17</v>
      </c>
      <c r="U24" s="775">
        <f>H24</f>
        <v>100</v>
      </c>
      <c r="V24" s="774" t="s">
        <v>17</v>
      </c>
      <c r="W24" s="775">
        <f>J24</f>
        <v>100</v>
      </c>
      <c r="X24" s="1813"/>
      <c r="Y24" s="3208"/>
      <c r="Z24" s="1814">
        <f>Q24</f>
        <v>111</v>
      </c>
      <c r="AA24" s="1811">
        <f t="shared" si="3"/>
        <v>1</v>
      </c>
      <c r="AB24" s="1811">
        <f t="shared" si="4"/>
        <v>1</v>
      </c>
      <c r="AC24" s="1811">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208"/>
      <c r="Q25" s="1795">
        <f t="shared" si="11"/>
        <v>111</v>
      </c>
      <c r="R25" s="770" t="s">
        <v>17</v>
      </c>
      <c r="S25" s="771">
        <f>F25</f>
        <v>100</v>
      </c>
      <c r="T25" s="770" t="s">
        <v>17</v>
      </c>
      <c r="U25" s="771">
        <f>H25</f>
        <v>100</v>
      </c>
      <c r="V25" s="770" t="s">
        <v>17</v>
      </c>
      <c r="W25" s="771">
        <f>J25</f>
        <v>100</v>
      </c>
      <c r="X25" s="772"/>
      <c r="Y25" s="3208"/>
      <c r="Z25" s="55">
        <f>Q25</f>
        <v>111</v>
      </c>
      <c r="AA25" s="1811">
        <f>D25/F25</f>
        <v>1</v>
      </c>
      <c r="AB25" s="1811">
        <f>D25/H25</f>
        <v>1</v>
      </c>
      <c r="AC25" s="1811">
        <f>D25/J25</f>
        <v>1</v>
      </c>
    </row>
    <row r="26" spans="1:29" ht="15">
      <c r="A26" s="466" t="s">
        <v>2559</v>
      </c>
      <c r="B26" s="71" t="s">
        <v>2710</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09"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0"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0"/>
      <c r="Q27" s="776" t="str">
        <f t="shared" si="11"/>
        <v>成新率</v>
      </c>
      <c r="R27" s="777" t="s">
        <v>17</v>
      </c>
      <c r="S27" s="778" t="e">
        <f t="shared" si="12"/>
        <v>#N/A</v>
      </c>
      <c r="T27" s="777" t="s">
        <v>17</v>
      </c>
      <c r="U27" s="778" t="e">
        <f t="shared" si="13"/>
        <v>#N/A</v>
      </c>
      <c r="V27" s="777" t="s">
        <v>17</v>
      </c>
      <c r="W27" s="778" t="e">
        <f t="shared" si="14"/>
        <v>#N/A</v>
      </c>
      <c r="X27" s="779"/>
      <c r="Y27" s="3210"/>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0"/>
      <c r="Q28" s="1810" t="str">
        <f t="shared" si="11"/>
        <v>物业等级</v>
      </c>
      <c r="R28" s="774" t="s">
        <v>17</v>
      </c>
      <c r="S28" s="775">
        <f t="shared" si="12"/>
        <v>100</v>
      </c>
      <c r="T28" s="774" t="s">
        <v>17</v>
      </c>
      <c r="U28" s="775">
        <f t="shared" si="13"/>
        <v>100</v>
      </c>
      <c r="V28" s="774" t="s">
        <v>17</v>
      </c>
      <c r="W28" s="775">
        <f t="shared" si="14"/>
        <v>100</v>
      </c>
      <c r="X28" s="1813"/>
      <c r="Y28" s="3210"/>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0"/>
      <c r="Q29" s="1810" t="str">
        <f t="shared" si="11"/>
        <v>有无电梯</v>
      </c>
      <c r="R29" s="774" t="s">
        <v>17</v>
      </c>
      <c r="S29" s="775">
        <f t="shared" si="12"/>
        <v>100</v>
      </c>
      <c r="T29" s="774" t="s">
        <v>17</v>
      </c>
      <c r="U29" s="775">
        <f t="shared" si="13"/>
        <v>100</v>
      </c>
      <c r="V29" s="774" t="s">
        <v>17</v>
      </c>
      <c r="W29" s="775">
        <f t="shared" si="14"/>
        <v>100</v>
      </c>
      <c r="X29" s="1813"/>
      <c r="Y29" s="3210"/>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0"/>
      <c r="Q30" s="1810" t="str">
        <f t="shared" si="11"/>
        <v>建筑面积</v>
      </c>
      <c r="R30" s="774" t="s">
        <v>17</v>
      </c>
      <c r="S30" s="775" t="e">
        <f t="shared" si="12"/>
        <v>#N/A</v>
      </c>
      <c r="T30" s="774" t="s">
        <v>17</v>
      </c>
      <c r="U30" s="775" t="e">
        <f t="shared" si="13"/>
        <v>#N/A</v>
      </c>
      <c r="V30" s="774" t="s">
        <v>17</v>
      </c>
      <c r="W30" s="775" t="e">
        <f t="shared" si="14"/>
        <v>#N/A</v>
      </c>
      <c r="X30" s="1813"/>
      <c r="Y30" s="3210"/>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0"/>
      <c r="Q31" s="1795" t="str">
        <f t="shared" si="11"/>
        <v>是否封闭</v>
      </c>
      <c r="R31" s="770" t="s">
        <v>17</v>
      </c>
      <c r="S31" s="771">
        <f t="shared" si="12"/>
        <v>100</v>
      </c>
      <c r="T31" s="770" t="s">
        <v>17</v>
      </c>
      <c r="U31" s="771">
        <f t="shared" si="13"/>
        <v>100</v>
      </c>
      <c r="V31" s="770" t="s">
        <v>17</v>
      </c>
      <c r="W31" s="771">
        <f t="shared" si="14"/>
        <v>100</v>
      </c>
      <c r="X31" s="772"/>
      <c r="Y31" s="3210"/>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0" t="s">
        <v>2561</v>
      </c>
      <c r="Q32" s="1810">
        <f t="shared" si="11"/>
        <v>111</v>
      </c>
      <c r="R32" s="774" t="s">
        <v>17</v>
      </c>
      <c r="S32" s="775">
        <f t="shared" si="12"/>
        <v>100</v>
      </c>
      <c r="T32" s="774" t="s">
        <v>17</v>
      </c>
      <c r="U32" s="775">
        <f t="shared" si="13"/>
        <v>100</v>
      </c>
      <c r="V32" s="774" t="s">
        <v>17</v>
      </c>
      <c r="W32" s="775">
        <f t="shared" si="14"/>
        <v>100</v>
      </c>
      <c r="X32" s="1813"/>
      <c r="Y32" s="3210" t="s">
        <v>2561</v>
      </c>
      <c r="Z32" s="1814">
        <f t="shared" si="15"/>
        <v>111</v>
      </c>
      <c r="AA32" s="1811">
        <f t="shared" si="3"/>
        <v>1</v>
      </c>
      <c r="AB32" s="1811">
        <f t="shared" si="4"/>
        <v>1</v>
      </c>
      <c r="AC32" s="1811">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0"/>
      <c r="Q33" s="1810">
        <f t="shared" si="11"/>
        <v>111</v>
      </c>
      <c r="R33" s="774" t="s">
        <v>17</v>
      </c>
      <c r="S33" s="775">
        <f t="shared" si="12"/>
        <v>100</v>
      </c>
      <c r="T33" s="774" t="s">
        <v>17</v>
      </c>
      <c r="U33" s="775">
        <f t="shared" si="13"/>
        <v>100</v>
      </c>
      <c r="V33" s="774" t="s">
        <v>17</v>
      </c>
      <c r="W33" s="775">
        <f t="shared" si="14"/>
        <v>100</v>
      </c>
      <c r="X33" s="1813"/>
      <c r="Y33" s="3210"/>
      <c r="Z33" s="1814">
        <f t="shared" si="15"/>
        <v>111</v>
      </c>
      <c r="AA33" s="1811">
        <f t="shared" si="3"/>
        <v>1</v>
      </c>
      <c r="AB33" s="1811">
        <f t="shared" si="4"/>
        <v>1</v>
      </c>
      <c r="AC33" s="1811">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10"/>
      <c r="Q34" s="1810">
        <f t="shared" si="11"/>
        <v>111</v>
      </c>
      <c r="R34" s="774" t="s">
        <v>17</v>
      </c>
      <c r="S34" s="775">
        <f t="shared" si="12"/>
        <v>100</v>
      </c>
      <c r="T34" s="774" t="s">
        <v>17</v>
      </c>
      <c r="U34" s="775">
        <f t="shared" si="13"/>
        <v>100</v>
      </c>
      <c r="V34" s="774" t="s">
        <v>17</v>
      </c>
      <c r="W34" s="775">
        <f t="shared" si="14"/>
        <v>100</v>
      </c>
      <c r="X34" s="1813"/>
      <c r="Y34" s="3210"/>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192" t="str">
        <f>A35</f>
        <v>成交单价（元/平方米）</v>
      </c>
      <c r="Q35" s="3192"/>
      <c r="R35" s="3280">
        <f>E35</f>
        <v>0</v>
      </c>
      <c r="S35" s="3280"/>
      <c r="T35" s="3280">
        <f>G35</f>
        <v>0</v>
      </c>
      <c r="U35" s="3280"/>
      <c r="V35" s="3280">
        <f>I35</f>
        <v>0</v>
      </c>
      <c r="W35" s="3280"/>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192" t="str">
        <f>A36</f>
        <v>比较价值（元/平方米）</v>
      </c>
      <c r="Q36" s="3192"/>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12" t="str">
        <f>A37</f>
        <v>估价对象XX用房的比较价值（楼面单价，元/平方米）</v>
      </c>
      <c r="Q37" s="3213"/>
      <c r="R37" s="3279" t="e">
        <f>IF(F1="售价",ROUND(AVERAGE(R36:V36),0),ROUND(AVERAGE(R36:V36),1))</f>
        <v>#DIV/0!</v>
      </c>
      <c r="S37" s="3279"/>
      <c r="T37" s="3279"/>
      <c r="U37" s="3279"/>
      <c r="V37" s="3279"/>
      <c r="W37" s="327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2018-1</v>
      </c>
      <c r="D46" s="1575">
        <f>EDATE(C46,-1)</f>
        <v>43070</v>
      </c>
      <c r="E46" s="1575">
        <f t="shared" ref="E46:O46" si="16">EDATE(D46,-1)</f>
        <v>43040</v>
      </c>
      <c r="F46" s="1575">
        <f t="shared" si="16"/>
        <v>43009</v>
      </c>
      <c r="G46" s="1575">
        <f t="shared" si="16"/>
        <v>42979</v>
      </c>
      <c r="H46" s="1575">
        <f t="shared" si="16"/>
        <v>42948</v>
      </c>
      <c r="I46" s="1575">
        <f t="shared" si="16"/>
        <v>42917</v>
      </c>
      <c r="J46" s="1575">
        <f t="shared" si="16"/>
        <v>42887</v>
      </c>
      <c r="K46" s="1575">
        <f t="shared" si="16"/>
        <v>42856</v>
      </c>
      <c r="L46" s="1575">
        <f t="shared" si="16"/>
        <v>42826</v>
      </c>
      <c r="M46" s="1575">
        <f t="shared" si="16"/>
        <v>42795</v>
      </c>
      <c r="N46" s="1575">
        <f t="shared" si="16"/>
        <v>42767</v>
      </c>
      <c r="O46" s="1575">
        <f t="shared" si="16"/>
        <v>42736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3" t="s">
        <v>2642</v>
      </c>
      <c r="D4" s="3194"/>
      <c r="E4" s="3195" t="s">
        <v>2643</v>
      </c>
      <c r="F4" s="3196"/>
      <c r="G4" s="3193" t="s">
        <v>2644</v>
      </c>
      <c r="H4" s="3194"/>
      <c r="I4" s="3193" t="s">
        <v>2645</v>
      </c>
      <c r="J4" s="3194"/>
      <c r="K4" s="610" t="s">
        <v>2646</v>
      </c>
      <c r="L4" s="1130"/>
      <c r="M4" s="1131"/>
      <c r="N4" s="1131"/>
      <c r="O4" s="1131"/>
      <c r="P4" s="3197" t="s">
        <v>2647</v>
      </c>
      <c r="Q4" s="3198"/>
      <c r="R4" s="3180" t="s">
        <v>2643</v>
      </c>
      <c r="S4" s="3181"/>
      <c r="T4" s="3180" t="s">
        <v>2644</v>
      </c>
      <c r="U4" s="3181"/>
      <c r="V4" s="3205" t="s">
        <v>2645</v>
      </c>
      <c r="W4" s="3205"/>
      <c r="X4" s="1813"/>
      <c r="Y4" s="3180" t="s">
        <v>2647</v>
      </c>
      <c r="Z4" s="3181"/>
      <c r="AA4" s="3175" t="s">
        <v>2643</v>
      </c>
      <c r="AB4" s="3176" t="s">
        <v>2644</v>
      </c>
      <c r="AC4" s="3175" t="s">
        <v>2645</v>
      </c>
    </row>
    <row r="5" spans="1:29" ht="15">
      <c r="A5" s="404"/>
      <c r="B5" s="405"/>
      <c r="C5" s="3276" t="s">
        <v>2538</v>
      </c>
      <c r="D5" s="3187"/>
      <c r="E5" s="3275" t="s">
        <v>2539</v>
      </c>
      <c r="F5" s="3185"/>
      <c r="G5" s="3276" t="s">
        <v>2540</v>
      </c>
      <c r="H5" s="3187"/>
      <c r="I5" s="3276" t="s">
        <v>2541</v>
      </c>
      <c r="J5" s="3187"/>
      <c r="K5" s="610"/>
      <c r="L5" s="1130"/>
      <c r="M5" s="1131"/>
      <c r="N5" s="1131"/>
      <c r="O5" s="1131"/>
      <c r="P5" s="3199"/>
      <c r="Q5" s="3200"/>
      <c r="R5" s="3182"/>
      <c r="S5" s="3183"/>
      <c r="T5" s="3182"/>
      <c r="U5" s="3183"/>
      <c r="V5" s="3205"/>
      <c r="W5" s="3205"/>
      <c r="X5" s="1813"/>
      <c r="Y5" s="3182"/>
      <c r="Z5" s="3183"/>
      <c r="AA5" s="3176"/>
      <c r="AB5" s="3176"/>
      <c r="AC5" s="3176"/>
    </row>
    <row r="6" spans="1:29" ht="15.75" thickBot="1">
      <c r="A6" s="406"/>
      <c r="B6" s="407"/>
      <c r="C6" s="3302" t="s">
        <v>2792</v>
      </c>
      <c r="D6" s="3303"/>
      <c r="E6" s="3304" t="s">
        <v>2792</v>
      </c>
      <c r="F6" s="3305"/>
      <c r="G6" s="3302" t="s">
        <v>2792</v>
      </c>
      <c r="H6" s="3303"/>
      <c r="I6" s="3302" t="s">
        <v>2792</v>
      </c>
      <c r="J6" s="3303"/>
      <c r="K6" s="610" t="s">
        <v>2543</v>
      </c>
      <c r="L6" s="1130"/>
      <c r="M6" s="1131"/>
      <c r="N6" s="1131"/>
      <c r="O6" s="1131"/>
      <c r="P6" s="3201"/>
      <c r="Q6" s="3202"/>
      <c r="R6" s="3182"/>
      <c r="S6" s="3183"/>
      <c r="T6" s="3203"/>
      <c r="U6" s="3204"/>
      <c r="V6" s="3205"/>
      <c r="W6" s="3205"/>
      <c r="X6" s="1813"/>
      <c r="Y6" s="3203"/>
      <c r="Z6" s="3204"/>
      <c r="AA6" s="3177"/>
      <c r="AB6" s="3177"/>
      <c r="AC6" s="3177"/>
    </row>
    <row r="7" spans="1:29" s="117" customFormat="1" ht="15.75" thickBot="1">
      <c r="A7" s="408" t="s">
        <v>2544</v>
      </c>
      <c r="B7" s="409"/>
      <c r="C7" s="410">
        <f>'数据-取费表'!B2</f>
        <v>43111</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178" t="s">
        <v>2545</v>
      </c>
      <c r="Q7" s="3206"/>
      <c r="R7" s="770" t="s">
        <v>17</v>
      </c>
      <c r="S7" s="771">
        <f t="shared" ref="S7:S15" si="0">F7</f>
        <v>0</v>
      </c>
      <c r="T7" s="770" t="s">
        <v>17</v>
      </c>
      <c r="U7" s="771">
        <f t="shared" ref="U7:U15" si="1">H7</f>
        <v>0</v>
      </c>
      <c r="V7" s="770" t="s">
        <v>17</v>
      </c>
      <c r="W7" s="771">
        <f t="shared" ref="W7:W15" si="2">J7</f>
        <v>0</v>
      </c>
      <c r="X7" s="772"/>
      <c r="Y7" s="3178" t="s">
        <v>2545</v>
      </c>
      <c r="Z7" s="3179"/>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8" t="s">
        <v>2548</v>
      </c>
      <c r="Q8" s="3179"/>
      <c r="R8" s="770" t="s">
        <v>17</v>
      </c>
      <c r="S8" s="771">
        <f t="shared" si="0"/>
        <v>0</v>
      </c>
      <c r="T8" s="770" t="s">
        <v>17</v>
      </c>
      <c r="U8" s="771">
        <f t="shared" si="1"/>
        <v>0</v>
      </c>
      <c r="V8" s="770" t="s">
        <v>17</v>
      </c>
      <c r="W8" s="771">
        <f t="shared" si="2"/>
        <v>0</v>
      </c>
      <c r="X8" s="772"/>
      <c r="Y8" s="3178" t="s">
        <v>2548</v>
      </c>
      <c r="Z8" s="3179"/>
      <c r="AA8" s="773" t="e">
        <f t="shared" ref="AA8:AA40" si="3">D8/F8</f>
        <v>#DIV/0!</v>
      </c>
      <c r="AB8" s="773" t="e">
        <f t="shared" ref="AB8:AB40" si="4">D8/H8</f>
        <v>#DIV/0!</v>
      </c>
      <c r="AC8" s="773" t="e">
        <f t="shared" ref="AC8:AC40" si="5">D8/J8</f>
        <v>#DIV/0!</v>
      </c>
    </row>
    <row r="9" spans="1:29" s="117" customFormat="1">
      <c r="A9" s="415" t="s">
        <v>2549</v>
      </c>
      <c r="B9" s="71" t="s">
        <v>2550</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192" t="s">
        <v>2551</v>
      </c>
      <c r="Q9" s="1795" t="str">
        <f t="shared" ref="Q9:Q15" si="6">B9</f>
        <v>用途</v>
      </c>
      <c r="R9" s="770" t="s">
        <v>17</v>
      </c>
      <c r="S9" s="771">
        <f t="shared" si="0"/>
        <v>100</v>
      </c>
      <c r="T9" s="770" t="s">
        <v>17</v>
      </c>
      <c r="U9" s="771">
        <f t="shared" si="1"/>
        <v>100</v>
      </c>
      <c r="V9" s="770" t="s">
        <v>17</v>
      </c>
      <c r="W9" s="771">
        <f t="shared" si="2"/>
        <v>100</v>
      </c>
      <c r="X9" s="772"/>
      <c r="Y9" s="3052"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192"/>
      <c r="Q10" s="1795" t="str">
        <f t="shared" si="6"/>
        <v>土地使用年限（年）</v>
      </c>
      <c r="R10" s="770" t="s">
        <v>17</v>
      </c>
      <c r="S10" s="771">
        <f t="shared" si="0"/>
        <v>101</v>
      </c>
      <c r="T10" s="770" t="s">
        <v>17</v>
      </c>
      <c r="U10" s="771">
        <f t="shared" si="1"/>
        <v>101</v>
      </c>
      <c r="V10" s="770" t="s">
        <v>17</v>
      </c>
      <c r="W10" s="771">
        <f t="shared" si="2"/>
        <v>101</v>
      </c>
      <c r="X10" s="772"/>
      <c r="Y10" s="3052"/>
      <c r="Z10" s="55" t="str">
        <f t="shared" si="7"/>
        <v>土地使用年限（年）</v>
      </c>
      <c r="AA10" s="773">
        <f t="shared" si="3"/>
        <v>0.99009900990099009</v>
      </c>
      <c r="AB10" s="773">
        <f t="shared" si="4"/>
        <v>0.99009900990099009</v>
      </c>
      <c r="AC10" s="773">
        <f t="shared" si="5"/>
        <v>0.99009900990099009</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2"/>
      <c r="Q11" s="1795"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2"/>
      <c r="Q12" s="1795">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2"/>
      <c r="Q13" s="1795">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2"/>
      <c r="Q14" s="1795">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57">
      <c r="A15" s="440" t="s">
        <v>2555</v>
      </c>
      <c r="B15" s="629" t="s">
        <v>2793</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7" t="s">
        <v>2556</v>
      </c>
      <c r="Q15" s="1810" t="str">
        <f t="shared" si="6"/>
        <v>产业集聚程度</v>
      </c>
      <c r="R15" s="774" t="s">
        <v>17</v>
      </c>
      <c r="S15" s="775">
        <f t="shared" si="0"/>
        <v>100</v>
      </c>
      <c r="T15" s="774" t="s">
        <v>17</v>
      </c>
      <c r="U15" s="775">
        <f t="shared" si="1"/>
        <v>100</v>
      </c>
      <c r="V15" s="774" t="s">
        <v>17</v>
      </c>
      <c r="W15" s="775">
        <f t="shared" si="2"/>
        <v>100</v>
      </c>
      <c r="X15" s="1813"/>
      <c r="Y15" s="3207" t="s">
        <v>2556</v>
      </c>
      <c r="Z15" s="1814" t="str">
        <f t="shared" si="7"/>
        <v>产业集聚程度</v>
      </c>
      <c r="AA15" s="1811">
        <f t="shared" si="3"/>
        <v>1</v>
      </c>
      <c r="AB15" s="1811">
        <f t="shared" si="4"/>
        <v>1</v>
      </c>
      <c r="AC15" s="1811">
        <f t="shared" si="5"/>
        <v>1</v>
      </c>
    </row>
    <row r="16" spans="1:29" ht="15">
      <c r="A16" s="428"/>
      <c r="B16" s="630"/>
      <c r="C16" s="447"/>
      <c r="D16" s="448"/>
      <c r="E16" s="2607"/>
      <c r="F16" s="448"/>
      <c r="G16" s="2607"/>
      <c r="H16" s="450"/>
      <c r="I16" s="2607"/>
      <c r="J16" s="448"/>
      <c r="K16" s="672"/>
      <c r="L16" s="1140"/>
      <c r="M16" s="1131"/>
      <c r="N16" s="1131"/>
      <c r="O16" s="1139"/>
      <c r="P16" s="3208"/>
      <c r="Q16" s="1810"/>
      <c r="R16" s="774"/>
      <c r="S16" s="775"/>
      <c r="T16" s="774"/>
      <c r="U16" s="775"/>
      <c r="V16" s="774"/>
      <c r="W16" s="775"/>
      <c r="X16" s="1813"/>
      <c r="Y16" s="3208"/>
      <c r="Z16" s="1814"/>
      <c r="AA16" s="1811">
        <v>1</v>
      </c>
      <c r="AB16" s="1811">
        <v>1</v>
      </c>
      <c r="AC16" s="1811">
        <v>1</v>
      </c>
    </row>
    <row r="17" spans="1:29" ht="85.5">
      <c r="A17" s="428"/>
      <c r="B17" s="631" t="s">
        <v>2705</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8"/>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632"/>
      <c r="C18" s="447"/>
      <c r="D18" s="448"/>
      <c r="E18" s="2601"/>
      <c r="F18" s="448"/>
      <c r="G18" s="2601"/>
      <c r="H18" s="448"/>
      <c r="I18" s="2600"/>
      <c r="J18" s="448"/>
      <c r="K18" s="672"/>
      <c r="L18" s="1140"/>
      <c r="M18" s="1131"/>
      <c r="N18" s="1131"/>
      <c r="O18" s="1139"/>
      <c r="P18" s="3208"/>
      <c r="Q18" s="1810"/>
      <c r="R18" s="774"/>
      <c r="S18" s="775"/>
      <c r="T18" s="774"/>
      <c r="U18" s="775"/>
      <c r="V18" s="774"/>
      <c r="W18" s="775"/>
      <c r="X18" s="1813"/>
      <c r="Y18" s="3208"/>
      <c r="Z18" s="1814"/>
      <c r="AA18" s="1811">
        <v>1</v>
      </c>
      <c r="AB18" s="1811">
        <v>1</v>
      </c>
      <c r="AC18" s="1811">
        <v>1</v>
      </c>
    </row>
    <row r="19" spans="1:29" ht="15">
      <c r="A19" s="428"/>
      <c r="B19" s="631" t="s">
        <v>2743</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8"/>
      <c r="Q19" s="1810" t="str">
        <f t="shared" ref="Q19:Q33" si="8">B19</f>
        <v>区域土地利用方向</v>
      </c>
      <c r="R19" s="774" t="s">
        <v>17</v>
      </c>
      <c r="S19" s="775">
        <f>F19</f>
        <v>100</v>
      </c>
      <c r="T19" s="774" t="s">
        <v>17</v>
      </c>
      <c r="U19" s="775">
        <f>H19</f>
        <v>100</v>
      </c>
      <c r="V19" s="774" t="s">
        <v>17</v>
      </c>
      <c r="W19" s="775">
        <f>J19</f>
        <v>100</v>
      </c>
      <c r="X19" s="1813"/>
      <c r="Y19" s="3208"/>
      <c r="Z19" s="1814" t="str">
        <f>Q19</f>
        <v>区域土地利用方向</v>
      </c>
      <c r="AA19" s="1811">
        <f t="shared" si="3"/>
        <v>1</v>
      </c>
      <c r="AB19" s="1811">
        <f t="shared" si="4"/>
        <v>1</v>
      </c>
      <c r="AC19" s="1811">
        <f t="shared" si="5"/>
        <v>1</v>
      </c>
    </row>
    <row r="20" spans="1:29" ht="15">
      <c r="A20" s="404"/>
      <c r="B20" s="632"/>
      <c r="C20" s="447"/>
      <c r="D20" s="448"/>
      <c r="E20" s="2601"/>
      <c r="F20" s="448"/>
      <c r="G20" s="2601"/>
      <c r="H20" s="448"/>
      <c r="I20" s="2601"/>
      <c r="J20" s="448"/>
      <c r="K20" s="809"/>
      <c r="L20" s="1140"/>
      <c r="M20" s="1131"/>
      <c r="N20" s="1131"/>
      <c r="O20" s="1139"/>
      <c r="P20" s="3208"/>
      <c r="Q20" s="1810"/>
      <c r="R20" s="774"/>
      <c r="S20" s="775"/>
      <c r="T20" s="774"/>
      <c r="U20" s="775"/>
      <c r="V20" s="774"/>
      <c r="W20" s="775"/>
      <c r="X20" s="1813"/>
      <c r="Y20" s="3208"/>
      <c r="Z20" s="1814"/>
      <c r="AA20" s="1811"/>
      <c r="AB20" s="1811"/>
      <c r="AC20" s="1811"/>
    </row>
    <row r="21" spans="1:29" ht="71.25">
      <c r="A21" s="404"/>
      <c r="B21" s="631" t="s">
        <v>2794</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8"/>
      <c r="Q21" s="1810" t="str">
        <f t="shared" si="8"/>
        <v>环境状况</v>
      </c>
      <c r="R21" s="774" t="s">
        <v>17</v>
      </c>
      <c r="S21" s="775">
        <f>F21</f>
        <v>100</v>
      </c>
      <c r="T21" s="774" t="s">
        <v>17</v>
      </c>
      <c r="U21" s="775">
        <f>H21</f>
        <v>100</v>
      </c>
      <c r="V21" s="774" t="s">
        <v>17</v>
      </c>
      <c r="W21" s="775">
        <f>J21</f>
        <v>100</v>
      </c>
      <c r="X21" s="1813"/>
      <c r="Y21" s="3208"/>
      <c r="Z21" s="1814" t="str">
        <f>Q21</f>
        <v>环境状况</v>
      </c>
      <c r="AA21" s="1811">
        <f t="shared" si="3"/>
        <v>1</v>
      </c>
      <c r="AB21" s="1811">
        <f t="shared" si="4"/>
        <v>1</v>
      </c>
      <c r="AC21" s="1811">
        <f t="shared" si="5"/>
        <v>1</v>
      </c>
    </row>
    <row r="22" spans="1:29" ht="15">
      <c r="A22" s="404"/>
      <c r="B22" s="632"/>
      <c r="C22" s="447"/>
      <c r="D22" s="448"/>
      <c r="E22" s="2607"/>
      <c r="F22" s="448"/>
      <c r="G22" s="2607"/>
      <c r="H22" s="448"/>
      <c r="I22" s="447"/>
      <c r="J22" s="448"/>
      <c r="K22" s="672"/>
      <c r="L22" s="1140"/>
      <c r="M22" s="1131"/>
      <c r="N22" s="1131"/>
      <c r="O22" s="1139"/>
      <c r="P22" s="3208"/>
      <c r="Q22" s="1810"/>
      <c r="R22" s="774"/>
      <c r="S22" s="775"/>
      <c r="T22" s="774"/>
      <c r="U22" s="775"/>
      <c r="V22" s="774"/>
      <c r="W22" s="775"/>
      <c r="X22" s="1813"/>
      <c r="Y22" s="3208"/>
      <c r="Z22" s="1814"/>
      <c r="AA22" s="1811">
        <v>1</v>
      </c>
      <c r="AB22" s="1811">
        <v>1</v>
      </c>
      <c r="AC22" s="1811">
        <v>1</v>
      </c>
    </row>
    <row r="23" spans="1:29" s="117" customFormat="1" ht="42.75">
      <c r="A23" s="649"/>
      <c r="B23" s="633" t="s">
        <v>2650</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8"/>
      <c r="Q23" s="1795" t="str">
        <f t="shared" si="8"/>
        <v>公共配套设施</v>
      </c>
      <c r="R23" s="770" t="s">
        <v>17</v>
      </c>
      <c r="S23" s="771">
        <f>F23</f>
        <v>100</v>
      </c>
      <c r="T23" s="770" t="s">
        <v>17</v>
      </c>
      <c r="U23" s="771">
        <f>H23</f>
        <v>100</v>
      </c>
      <c r="V23" s="770" t="s">
        <v>17</v>
      </c>
      <c r="W23" s="771">
        <f>J23</f>
        <v>100</v>
      </c>
      <c r="X23" s="772"/>
      <c r="Y23" s="3208"/>
      <c r="Z23" s="55" t="str">
        <f>Q23</f>
        <v>公共配套设施</v>
      </c>
      <c r="AA23" s="1811">
        <f>D23/F23</f>
        <v>1</v>
      </c>
      <c r="AB23" s="1811">
        <f>D23/H23</f>
        <v>1</v>
      </c>
      <c r="AC23" s="1811">
        <f>D23/J23</f>
        <v>1</v>
      </c>
    </row>
    <row r="24" spans="1:29" s="117" customFormat="1" ht="15">
      <c r="A24" s="649"/>
      <c r="B24" s="632"/>
      <c r="C24" s="2696"/>
      <c r="D24" s="448"/>
      <c r="E24" s="2607"/>
      <c r="F24" s="448"/>
      <c r="G24" s="2607"/>
      <c r="H24" s="448"/>
      <c r="I24" s="447"/>
      <c r="J24" s="448"/>
      <c r="K24" s="672"/>
      <c r="L24" s="1132"/>
      <c r="M24" s="1133"/>
      <c r="N24" s="1133"/>
      <c r="O24" s="1134"/>
      <c r="P24" s="3208"/>
      <c r="Q24" s="1795"/>
      <c r="R24" s="770"/>
      <c r="S24" s="771"/>
      <c r="T24" s="770"/>
      <c r="U24" s="771"/>
      <c r="V24" s="770"/>
      <c r="W24" s="771"/>
      <c r="X24" s="772"/>
      <c r="Y24" s="3208"/>
      <c r="Z24" s="55"/>
      <c r="AA24" s="773">
        <v>1</v>
      </c>
      <c r="AB24" s="773">
        <v>1</v>
      </c>
      <c r="AC24" s="773">
        <v>1</v>
      </c>
    </row>
    <row r="25" spans="1:29" s="117" customFormat="1" ht="28.5">
      <c r="A25" s="649"/>
      <c r="B25" s="633" t="s">
        <v>2651</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8"/>
      <c r="Q25" s="1795" t="str">
        <f t="shared" ref="Q25" si="9">B25</f>
        <v>基础设施水平</v>
      </c>
      <c r="R25" s="770" t="s">
        <v>17</v>
      </c>
      <c r="S25" s="771">
        <f>F25</f>
        <v>100</v>
      </c>
      <c r="T25" s="770" t="s">
        <v>17</v>
      </c>
      <c r="U25" s="771">
        <f>H25</f>
        <v>100</v>
      </c>
      <c r="V25" s="770" t="s">
        <v>17</v>
      </c>
      <c r="W25" s="771">
        <f>J25</f>
        <v>100</v>
      </c>
      <c r="X25" s="772"/>
      <c r="Y25" s="3208"/>
      <c r="Z25" s="55" t="str">
        <f>Q25</f>
        <v>基础设施水平</v>
      </c>
      <c r="AA25" s="1811">
        <f>D25/F25</f>
        <v>1</v>
      </c>
      <c r="AB25" s="1811">
        <f>D25/H25</f>
        <v>1</v>
      </c>
      <c r="AC25" s="1811">
        <f>D25/J25</f>
        <v>1</v>
      </c>
    </row>
    <row r="26" spans="1:29" s="117" customFormat="1" ht="15">
      <c r="A26" s="649"/>
      <c r="B26" s="632"/>
      <c r="C26" s="2696"/>
      <c r="D26" s="448"/>
      <c r="E26" s="2697"/>
      <c r="F26" s="448"/>
      <c r="G26" s="2697"/>
      <c r="H26" s="448"/>
      <c r="I26" s="2697"/>
      <c r="J26" s="448"/>
      <c r="K26" s="672"/>
      <c r="L26" s="1132"/>
      <c r="M26" s="1133"/>
      <c r="N26" s="1133"/>
      <c r="O26" s="1134"/>
      <c r="P26" s="3208"/>
      <c r="Q26" s="1795"/>
      <c r="R26" s="770"/>
      <c r="S26" s="771"/>
      <c r="T26" s="770"/>
      <c r="U26" s="771"/>
      <c r="V26" s="770"/>
      <c r="W26" s="771"/>
      <c r="X26" s="772"/>
      <c r="Y26" s="3208"/>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8"/>
      <c r="Z27" s="1814" t="str">
        <f t="shared" ref="Z27:Z40" si="13">Q27</f>
        <v>临街状况</v>
      </c>
      <c r="AA27" s="1811">
        <f t="shared" si="3"/>
        <v>1</v>
      </c>
      <c r="AB27" s="1811">
        <f t="shared" si="4"/>
        <v>1</v>
      </c>
      <c r="AC27" s="1811">
        <f t="shared" si="5"/>
        <v>1</v>
      </c>
    </row>
    <row r="28" spans="1:29" ht="27">
      <c r="A28" s="428"/>
      <c r="B28" s="633" t="s">
        <v>2687</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8"/>
      <c r="Q28" s="1810" t="str">
        <f t="shared" si="8"/>
        <v>毗邻道路的类型与等级</v>
      </c>
      <c r="R28" s="774" t="s">
        <v>17</v>
      </c>
      <c r="S28" s="775">
        <f t="shared" si="10"/>
        <v>100</v>
      </c>
      <c r="T28" s="774" t="s">
        <v>17</v>
      </c>
      <c r="U28" s="775">
        <f t="shared" si="11"/>
        <v>100</v>
      </c>
      <c r="V28" s="774" t="s">
        <v>17</v>
      </c>
      <c r="W28" s="775">
        <f t="shared" si="12"/>
        <v>100</v>
      </c>
      <c r="X28" s="1813"/>
      <c r="Y28" s="3208"/>
      <c r="Z28" s="1814" t="str">
        <f t="shared" si="13"/>
        <v>毗邻道路的类型与等级</v>
      </c>
      <c r="AA28" s="1811">
        <f t="shared" si="3"/>
        <v>1</v>
      </c>
      <c r="AB28" s="1811">
        <f t="shared" si="4"/>
        <v>1</v>
      </c>
      <c r="AC28" s="1811">
        <f t="shared" si="5"/>
        <v>1</v>
      </c>
    </row>
    <row r="29" spans="1:29" ht="15">
      <c r="A29" s="428"/>
      <c r="B29" s="632"/>
      <c r="C29" s="447"/>
      <c r="D29" s="448"/>
      <c r="E29" s="2607"/>
      <c r="F29" s="448"/>
      <c r="G29" s="2607"/>
      <c r="H29" s="448"/>
      <c r="I29" s="2607"/>
      <c r="J29" s="448"/>
      <c r="K29" s="613"/>
      <c r="L29" s="1140"/>
      <c r="M29" s="1131"/>
      <c r="N29" s="1131"/>
      <c r="O29" s="1139"/>
      <c r="P29" s="3208"/>
      <c r="Q29" s="1810"/>
      <c r="R29" s="774"/>
      <c r="S29" s="775"/>
      <c r="T29" s="774"/>
      <c r="U29" s="775"/>
      <c r="V29" s="774"/>
      <c r="W29" s="775"/>
      <c r="X29" s="1813"/>
      <c r="Y29" s="3208"/>
      <c r="Z29" s="1814"/>
      <c r="AA29" s="1811">
        <v>1</v>
      </c>
      <c r="AB29" s="1811">
        <v>1</v>
      </c>
      <c r="AC29" s="1811">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8"/>
      <c r="Q30" s="1810" t="str">
        <f t="shared" si="8"/>
        <v>土地级别</v>
      </c>
      <c r="R30" s="774" t="s">
        <v>17</v>
      </c>
      <c r="S30" s="775">
        <f t="shared" si="10"/>
        <v>100</v>
      </c>
      <c r="T30" s="774" t="s">
        <v>17</v>
      </c>
      <c r="U30" s="775">
        <f t="shared" si="11"/>
        <v>100</v>
      </c>
      <c r="V30" s="774" t="s">
        <v>17</v>
      </c>
      <c r="W30" s="775">
        <f t="shared" si="12"/>
        <v>100</v>
      </c>
      <c r="X30" s="1813"/>
      <c r="Y30" s="3208"/>
      <c r="Z30" s="1814" t="str">
        <f t="shared" si="13"/>
        <v>土地级别</v>
      </c>
      <c r="AA30" s="1811">
        <f t="shared" si="3"/>
        <v>1</v>
      </c>
      <c r="AB30" s="1811">
        <f t="shared" si="4"/>
        <v>1</v>
      </c>
      <c r="AC30" s="1811">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8"/>
      <c r="Q31" s="1810">
        <f t="shared" si="8"/>
        <v>111</v>
      </c>
      <c r="R31" s="774" t="s">
        <v>17</v>
      </c>
      <c r="S31" s="775">
        <f t="shared" si="10"/>
        <v>100</v>
      </c>
      <c r="T31" s="774" t="s">
        <v>17</v>
      </c>
      <c r="U31" s="775">
        <f t="shared" si="11"/>
        <v>100</v>
      </c>
      <c r="V31" s="774" t="s">
        <v>17</v>
      </c>
      <c r="W31" s="775">
        <f t="shared" si="12"/>
        <v>100</v>
      </c>
      <c r="X31" s="1813"/>
      <c r="Y31" s="3208"/>
      <c r="Z31" s="1814">
        <f t="shared" si="13"/>
        <v>111</v>
      </c>
      <c r="AA31" s="1811">
        <f t="shared" si="3"/>
        <v>1</v>
      </c>
      <c r="AB31" s="1811">
        <f t="shared" si="4"/>
        <v>1</v>
      </c>
      <c r="AC31" s="1811">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9" t="s">
        <v>2561</v>
      </c>
      <c r="Q32" s="1810">
        <f t="shared" si="8"/>
        <v>111</v>
      </c>
      <c r="R32" s="774" t="s">
        <v>17</v>
      </c>
      <c r="S32" s="775">
        <f t="shared" si="10"/>
        <v>100</v>
      </c>
      <c r="T32" s="774" t="s">
        <v>17</v>
      </c>
      <c r="U32" s="775">
        <f t="shared" si="11"/>
        <v>100</v>
      </c>
      <c r="V32" s="774" t="s">
        <v>17</v>
      </c>
      <c r="W32" s="775">
        <f t="shared" si="12"/>
        <v>100</v>
      </c>
      <c r="X32" s="1813"/>
      <c r="Y32" s="3210" t="s">
        <v>2561</v>
      </c>
      <c r="Z32" s="1814">
        <f t="shared" si="13"/>
        <v>111</v>
      </c>
      <c r="AA32" s="1811">
        <f t="shared" si="3"/>
        <v>1</v>
      </c>
      <c r="AB32" s="1811">
        <f t="shared" si="4"/>
        <v>1</v>
      </c>
      <c r="AC32" s="1811">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0"/>
      <c r="Q33" s="1810">
        <f t="shared" si="8"/>
        <v>111</v>
      </c>
      <c r="R33" s="777" t="s">
        <v>17</v>
      </c>
      <c r="S33" s="778">
        <f t="shared" si="10"/>
        <v>100</v>
      </c>
      <c r="T33" s="777" t="s">
        <v>17</v>
      </c>
      <c r="U33" s="778">
        <f t="shared" si="11"/>
        <v>100</v>
      </c>
      <c r="V33" s="777" t="s">
        <v>17</v>
      </c>
      <c r="W33" s="778">
        <f t="shared" si="12"/>
        <v>100</v>
      </c>
      <c r="X33" s="779"/>
      <c r="Y33" s="3210"/>
      <c r="Z33" s="780">
        <f t="shared" si="13"/>
        <v>111</v>
      </c>
      <c r="AA33" s="1811">
        <f t="shared" si="3"/>
        <v>1</v>
      </c>
      <c r="AB33" s="1811">
        <f t="shared" si="4"/>
        <v>1</v>
      </c>
      <c r="AC33" s="1811">
        <f t="shared" si="5"/>
        <v>1</v>
      </c>
    </row>
    <row r="34" spans="1:29" ht="15">
      <c r="A34" s="440" t="s">
        <v>2559</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0"/>
      <c r="Q34" s="1810" t="str">
        <f>B34</f>
        <v>宗地面积</v>
      </c>
      <c r="R34" s="774" t="s">
        <v>17</v>
      </c>
      <c r="S34" s="775" t="e">
        <f t="shared" si="10"/>
        <v>#N/A</v>
      </c>
      <c r="T34" s="774" t="s">
        <v>17</v>
      </c>
      <c r="U34" s="775" t="e">
        <f t="shared" si="11"/>
        <v>#N/A</v>
      </c>
      <c r="V34" s="774" t="s">
        <v>17</v>
      </c>
      <c r="W34" s="775" t="e">
        <f t="shared" si="12"/>
        <v>#N/A</v>
      </c>
      <c r="X34" s="1813"/>
      <c r="Y34" s="3210"/>
      <c r="Z34" s="1814" t="str">
        <f t="shared" si="13"/>
        <v>宗地面积</v>
      </c>
      <c r="AA34" s="1811" t="e">
        <f t="shared" si="3"/>
        <v>#N/A</v>
      </c>
      <c r="AB34" s="1811" t="e">
        <f t="shared" si="4"/>
        <v>#N/A</v>
      </c>
      <c r="AC34" s="1811" t="e">
        <f t="shared" si="5"/>
        <v>#N/A</v>
      </c>
    </row>
    <row r="35" spans="1:29" ht="15">
      <c r="A35" s="472"/>
      <c r="B35" s="422" t="s">
        <v>2747</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10"/>
      <c r="Q35" s="1810" t="str">
        <f t="shared" ref="Q35:Q40" si="14">B35</f>
        <v>宗地形状</v>
      </c>
      <c r="R35" s="774" t="s">
        <v>17</v>
      </c>
      <c r="S35" s="775">
        <f t="shared" si="10"/>
        <v>100</v>
      </c>
      <c r="T35" s="774" t="s">
        <v>17</v>
      </c>
      <c r="U35" s="775">
        <f t="shared" si="11"/>
        <v>100</v>
      </c>
      <c r="V35" s="774" t="s">
        <v>17</v>
      </c>
      <c r="W35" s="775">
        <f t="shared" si="12"/>
        <v>100</v>
      </c>
      <c r="X35" s="1813"/>
      <c r="Y35" s="3210"/>
      <c r="Z35" s="1814" t="str">
        <f t="shared" si="13"/>
        <v>宗地形状</v>
      </c>
      <c r="AA35" s="1811">
        <f t="shared" si="3"/>
        <v>1</v>
      </c>
      <c r="AB35" s="1811">
        <f t="shared" si="4"/>
        <v>1</v>
      </c>
      <c r="AC35" s="1811">
        <f t="shared" si="5"/>
        <v>1</v>
      </c>
    </row>
    <row r="36" spans="1:29" s="117" customFormat="1" ht="15">
      <c r="A36" s="473"/>
      <c r="B36" s="422" t="s">
        <v>2749</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10"/>
      <c r="Q36" s="1810" t="str">
        <f t="shared" si="14"/>
        <v>宗地开发程度</v>
      </c>
      <c r="R36" s="770" t="s">
        <v>17</v>
      </c>
      <c r="S36" s="771">
        <f t="shared" si="10"/>
        <v>100</v>
      </c>
      <c r="T36" s="770" t="s">
        <v>17</v>
      </c>
      <c r="U36" s="771">
        <f t="shared" si="11"/>
        <v>100</v>
      </c>
      <c r="V36" s="770" t="s">
        <v>17</v>
      </c>
      <c r="W36" s="771">
        <f t="shared" si="12"/>
        <v>100</v>
      </c>
      <c r="X36" s="772"/>
      <c r="Y36" s="3210"/>
      <c r="Z36" s="55" t="str">
        <f t="shared" si="13"/>
        <v>宗地开发程度</v>
      </c>
      <c r="AA36" s="773">
        <f t="shared" si="3"/>
        <v>1</v>
      </c>
      <c r="AB36" s="773">
        <f t="shared" si="4"/>
        <v>1</v>
      </c>
      <c r="AC36" s="773">
        <f t="shared" si="5"/>
        <v>1</v>
      </c>
    </row>
    <row r="37" spans="1:29" ht="15">
      <c r="A37" s="472"/>
      <c r="B37" s="422" t="s">
        <v>2750</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10" t="s">
        <v>2561</v>
      </c>
      <c r="Q37" s="1810" t="str">
        <f t="shared" si="14"/>
        <v>工程地质条件</v>
      </c>
      <c r="R37" s="774" t="s">
        <v>17</v>
      </c>
      <c r="S37" s="775">
        <f t="shared" si="10"/>
        <v>100</v>
      </c>
      <c r="T37" s="774" t="s">
        <v>17</v>
      </c>
      <c r="U37" s="775">
        <f t="shared" si="11"/>
        <v>100</v>
      </c>
      <c r="V37" s="774" t="s">
        <v>17</v>
      </c>
      <c r="W37" s="775">
        <f t="shared" si="12"/>
        <v>100</v>
      </c>
      <c r="X37" s="1813"/>
      <c r="Y37" s="3210"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0"/>
      <c r="Q38" s="1810">
        <f t="shared" si="14"/>
        <v>111</v>
      </c>
      <c r="R38" s="774" t="s">
        <v>17</v>
      </c>
      <c r="S38" s="775">
        <f t="shared" si="10"/>
        <v>100</v>
      </c>
      <c r="T38" s="774" t="s">
        <v>17</v>
      </c>
      <c r="U38" s="775">
        <f t="shared" si="11"/>
        <v>100</v>
      </c>
      <c r="V38" s="774" t="s">
        <v>17</v>
      </c>
      <c r="W38" s="775">
        <f t="shared" si="12"/>
        <v>100</v>
      </c>
      <c r="X38" s="1813"/>
      <c r="Y38" s="321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0"/>
      <c r="Q39" s="1810">
        <f t="shared" si="14"/>
        <v>111</v>
      </c>
      <c r="R39" s="774" t="s">
        <v>17</v>
      </c>
      <c r="S39" s="775">
        <f t="shared" si="10"/>
        <v>100</v>
      </c>
      <c r="T39" s="774" t="s">
        <v>17</v>
      </c>
      <c r="U39" s="775">
        <f t="shared" si="11"/>
        <v>100</v>
      </c>
      <c r="V39" s="774" t="s">
        <v>17</v>
      </c>
      <c r="W39" s="775">
        <f t="shared" si="12"/>
        <v>100</v>
      </c>
      <c r="X39" s="1813"/>
      <c r="Y39" s="3210"/>
      <c r="Z39" s="1814">
        <f t="shared" si="13"/>
        <v>111</v>
      </c>
      <c r="AA39" s="1811">
        <f t="shared" si="3"/>
        <v>1</v>
      </c>
      <c r="AB39" s="1811">
        <f t="shared" si="4"/>
        <v>1</v>
      </c>
      <c r="AC39" s="1811">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0"/>
      <c r="Q40" s="1810">
        <f t="shared" si="14"/>
        <v>111</v>
      </c>
      <c r="R40" s="777" t="s">
        <v>17</v>
      </c>
      <c r="S40" s="778">
        <f t="shared" si="10"/>
        <v>100</v>
      </c>
      <c r="T40" s="777" t="s">
        <v>17</v>
      </c>
      <c r="U40" s="778">
        <f t="shared" si="11"/>
        <v>100</v>
      </c>
      <c r="V40" s="777" t="s">
        <v>17</v>
      </c>
      <c r="W40" s="778">
        <f t="shared" si="12"/>
        <v>100</v>
      </c>
      <c r="X40" s="779"/>
      <c r="Y40" s="3210"/>
      <c r="Z40" s="780">
        <f t="shared" si="13"/>
        <v>111</v>
      </c>
      <c r="AA40" s="1811">
        <f t="shared" si="3"/>
        <v>1</v>
      </c>
      <c r="AB40" s="1811">
        <f t="shared" si="4"/>
        <v>1</v>
      </c>
      <c r="AC40" s="1811">
        <f t="shared" si="5"/>
        <v>1</v>
      </c>
    </row>
    <row r="41" spans="1:29" ht="15">
      <c r="A41" s="479" t="s">
        <v>2716</v>
      </c>
      <c r="B41" s="2700" t="s">
        <v>2795</v>
      </c>
      <c r="C41" s="682" t="s">
        <v>1</v>
      </c>
      <c r="D41" s="481"/>
      <c r="E41" s="482"/>
      <c r="F41" s="483"/>
      <c r="G41" s="484"/>
      <c r="H41" s="485"/>
      <c r="I41" s="482"/>
      <c r="J41" s="485"/>
      <c r="K41" s="783"/>
      <c r="L41" s="1143"/>
      <c r="M41" s="1131"/>
      <c r="N41" s="1131"/>
      <c r="O41" s="1144"/>
      <c r="P41" s="3192" t="str">
        <f>A41</f>
        <v>成交单价</v>
      </c>
      <c r="Q41" s="3192"/>
      <c r="R41" s="3205">
        <f>E41</f>
        <v>0</v>
      </c>
      <c r="S41" s="3205"/>
      <c r="T41" s="3205">
        <f>G41</f>
        <v>0</v>
      </c>
      <c r="U41" s="3205"/>
      <c r="V41" s="3205">
        <f>I41</f>
        <v>0</v>
      </c>
      <c r="W41" s="3205"/>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192" t="str">
        <f>A42</f>
        <v>比较价值（元/平方米）</v>
      </c>
      <c r="Q42" s="3192"/>
      <c r="R42" s="3211" t="e">
        <f>ROUND(PRODUCT(R41,AA7:AA40),0)</f>
        <v>#DIV/0!</v>
      </c>
      <c r="S42" s="3211"/>
      <c r="T42" s="3211" t="e">
        <f>ROUND(PRODUCT(T41,AB7:AB40),0)</f>
        <v>#DIV/0!</v>
      </c>
      <c r="U42" s="3211"/>
      <c r="V42" s="3211" t="e">
        <f>ROUND(PRODUCT(V41,AC7:AC40),0)</f>
        <v>#DIV/0!</v>
      </c>
      <c r="W42" s="3211"/>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12" t="str">
        <f>A43</f>
        <v>估价对象XX用房的比较价值（楼面单价，元/平方米）</v>
      </c>
      <c r="Q43" s="3213"/>
      <c r="R43" s="3214" t="e">
        <f>ROUND(AVERAGE(R42:V42),0)</f>
        <v>#DIV/0!</v>
      </c>
      <c r="S43" s="3214"/>
      <c r="T43" s="3214"/>
      <c r="U43" s="3214"/>
      <c r="V43" s="3214"/>
      <c r="W43" s="321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701" t="s">
        <v>2755</v>
      </c>
      <c r="D50" s="2702" t="s">
        <v>2756</v>
      </c>
      <c r="E50" s="686" t="s">
        <v>2757</v>
      </c>
      <c r="F50" s="687" t="s">
        <v>2758</v>
      </c>
      <c r="G50" s="3193" t="s">
        <v>2759</v>
      </c>
      <c r="H50" s="3215"/>
      <c r="I50" s="1814" t="s">
        <v>2796</v>
      </c>
      <c r="J50" s="1814">
        <f>项目基本情况!F35</f>
        <v>0</v>
      </c>
      <c r="K50" s="2704" t="s">
        <v>2761</v>
      </c>
      <c r="L50" s="1106"/>
      <c r="M50" s="1144"/>
      <c r="N50" s="1144"/>
      <c r="O50" s="1144"/>
    </row>
    <row r="51" spans="1:17" s="692" customFormat="1">
      <c r="A51" s="688" t="s">
        <v>2762</v>
      </c>
      <c r="B51" s="689" t="e">
        <f>C43</f>
        <v>#DIV/0!</v>
      </c>
      <c r="C51" s="690">
        <v>1</v>
      </c>
      <c r="D51" s="1163">
        <v>1</v>
      </c>
      <c r="E51" s="690">
        <f>'数据-汇总表'!E8+'数据-汇总表'!E9</f>
        <v>37976.329999999965</v>
      </c>
      <c r="F51" s="691" t="e">
        <f t="shared" ref="F51:F60" si="15">ROUND(B51*E51/10000,0)</f>
        <v>#DIV/0!</v>
      </c>
      <c r="G51" s="3216"/>
      <c r="H51" s="3192"/>
      <c r="I51" s="942">
        <v>1</v>
      </c>
      <c r="J51" s="942">
        <v>1</v>
      </c>
      <c r="K51" s="1145"/>
      <c r="L51" s="941"/>
      <c r="M51" s="941"/>
      <c r="N51" s="941"/>
      <c r="O51" s="941"/>
    </row>
    <row r="52" spans="1:17" s="692" customFormat="1">
      <c r="A52" s="693" t="s">
        <v>2763</v>
      </c>
      <c r="B52" s="262" t="e">
        <f>ROUND($C$43*C52*D52,0)</f>
        <v>#DIV/0!</v>
      </c>
      <c r="C52" s="200">
        <f t="shared" ref="C52:C60" si="16">IF($C$50="北京市系数",I52,J52)</f>
        <v>0.7</v>
      </c>
      <c r="D52" s="1164">
        <v>0.25</v>
      </c>
      <c r="E52" s="694"/>
      <c r="F52" s="691" t="e">
        <f t="shared" si="15"/>
        <v>#DIV/0!</v>
      </c>
      <c r="G52" s="3217" t="s">
        <v>2764</v>
      </c>
      <c r="H52" s="1104" t="str">
        <f>项目基本情况!B37</f>
        <v>七级</v>
      </c>
      <c r="I52" s="942">
        <f>SUMIF(修正!A45:A56,H52,修正!B45:B56)</f>
        <v>0.7</v>
      </c>
      <c r="J52" s="943"/>
      <c r="K52" s="1144"/>
      <c r="L52" s="941"/>
      <c r="M52" s="941"/>
      <c r="N52" s="941"/>
      <c r="O52" s="941"/>
    </row>
    <row r="53" spans="1:17" s="692" customFormat="1">
      <c r="A53" s="693" t="s">
        <v>2765</v>
      </c>
      <c r="B53" s="262" t="e">
        <f t="shared" ref="B53:B60" si="17">ROUND($C$43*C53*D53,0)</f>
        <v>#DIV/0!</v>
      </c>
      <c r="C53" s="200">
        <f t="shared" si="16"/>
        <v>0.4</v>
      </c>
      <c r="D53" s="1164">
        <v>0.25</v>
      </c>
      <c r="E53" s="694"/>
      <c r="F53" s="691" t="e">
        <f t="shared" si="15"/>
        <v>#DIV/0!</v>
      </c>
      <c r="G53" s="3217"/>
      <c r="H53" s="1104" t="str">
        <f>项目基本情况!B37</f>
        <v>七级</v>
      </c>
      <c r="I53" s="942">
        <f>SUMIF(修正!A45:A56,H53,修正!C45:C56)</f>
        <v>0.4</v>
      </c>
      <c r="J53" s="943"/>
      <c r="K53" s="1145"/>
      <c r="L53" s="941"/>
      <c r="M53" s="941"/>
      <c r="N53" s="941"/>
      <c r="O53" s="941"/>
    </row>
    <row r="54" spans="1:17" s="692" customFormat="1">
      <c r="A54" s="693" t="s">
        <v>2766</v>
      </c>
      <c r="B54" s="262" t="e">
        <f t="shared" si="17"/>
        <v>#DIV/0!</v>
      </c>
      <c r="C54" s="200">
        <f t="shared" si="16"/>
        <v>0.28000000000000003</v>
      </c>
      <c r="D54" s="1164">
        <v>0.25</v>
      </c>
      <c r="E54" s="694"/>
      <c r="F54" s="691" t="e">
        <f t="shared" si="15"/>
        <v>#DIV/0!</v>
      </c>
      <c r="G54" s="3217"/>
      <c r="H54" s="1104" t="str">
        <f>项目基本情况!B37</f>
        <v>七级</v>
      </c>
      <c r="I54" s="942">
        <f>SUMIF(修正!A45:A56,H54,修正!D45:D56)</f>
        <v>0.28000000000000003</v>
      </c>
      <c r="J54" s="943"/>
      <c r="K54" s="1144"/>
      <c r="L54" s="941"/>
      <c r="M54" s="941"/>
      <c r="N54" s="941"/>
      <c r="O54" s="941"/>
    </row>
    <row r="55" spans="1:17" s="692" customFormat="1">
      <c r="A55" s="693" t="s">
        <v>2767</v>
      </c>
      <c r="B55" s="262" t="e">
        <f t="shared" si="17"/>
        <v>#DIV/0!</v>
      </c>
      <c r="C55" s="200">
        <f t="shared" si="16"/>
        <v>0.25</v>
      </c>
      <c r="D55" s="1164">
        <v>0.25</v>
      </c>
      <c r="E55" s="694"/>
      <c r="F55" s="691" t="e">
        <f t="shared" si="15"/>
        <v>#DIV/0!</v>
      </c>
      <c r="G55" s="3217"/>
      <c r="H55" s="1104" t="str">
        <f>项目基本情况!B37</f>
        <v>七级</v>
      </c>
      <c r="I55" s="942">
        <f>SUMIF(修正!A45:A56,H55,修正!E45:E56)</f>
        <v>0.25</v>
      </c>
      <c r="J55" s="943"/>
      <c r="K55" s="1145"/>
      <c r="L55" s="941"/>
      <c r="M55" s="941"/>
      <c r="N55" s="941"/>
      <c r="O55" s="941"/>
    </row>
    <row r="56" spans="1:17" s="692" customFormat="1">
      <c r="A56" s="693" t="s">
        <v>2768</v>
      </c>
      <c r="B56" s="262" t="e">
        <f t="shared" si="17"/>
        <v>#DIV/0!</v>
      </c>
      <c r="C56" s="200">
        <f t="shared" si="16"/>
        <v>0.25</v>
      </c>
      <c r="D56" s="1164">
        <v>0.25</v>
      </c>
      <c r="E56" s="261">
        <f>'数据-汇总表'!E11</f>
        <v>0</v>
      </c>
      <c r="F56" s="691" t="e">
        <f t="shared" si="15"/>
        <v>#DIV/0!</v>
      </c>
      <c r="G56" s="2705" t="s">
        <v>2769</v>
      </c>
      <c r="H56" s="1104" t="str">
        <f>项目基本情况!C37</f>
        <v>七级</v>
      </c>
      <c r="I56" s="942">
        <f>SUMIF(修正!A45:A56,H56,修正!F45:F56)</f>
        <v>0.25</v>
      </c>
      <c r="J56" s="943"/>
      <c r="K56" s="1144"/>
      <c r="L56" s="941"/>
      <c r="M56" s="941"/>
      <c r="N56" s="941"/>
      <c r="O56" s="941"/>
    </row>
    <row r="57" spans="1:17" s="692" customFormat="1">
      <c r="A57" s="693" t="s">
        <v>2770</v>
      </c>
      <c r="B57" s="262" t="e">
        <f t="shared" si="17"/>
        <v>#DIV/0!</v>
      </c>
      <c r="C57" s="200">
        <f t="shared" si="16"/>
        <v>0.25</v>
      </c>
      <c r="D57" s="1164">
        <v>0.25</v>
      </c>
      <c r="E57" s="261">
        <f>'数据-汇总表'!E12</f>
        <v>0</v>
      </c>
      <c r="F57" s="691" t="e">
        <f t="shared" si="15"/>
        <v>#DIV/0!</v>
      </c>
      <c r="G57" s="1109" t="s">
        <v>2771</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2772</v>
      </c>
      <c r="B58" s="262" t="e">
        <f t="shared" si="17"/>
        <v>#DIV/0!</v>
      </c>
      <c r="C58" s="200">
        <f t="shared" si="16"/>
        <v>0.2</v>
      </c>
      <c r="D58" s="1164">
        <v>0.25</v>
      </c>
      <c r="E58" s="261">
        <f>'数据-汇总表'!E13</f>
        <v>26679.599999999999</v>
      </c>
      <c r="F58" s="691" t="e">
        <f t="shared" si="15"/>
        <v>#DIV/0!</v>
      </c>
      <c r="G58" s="1109" t="s">
        <v>2773</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2774</v>
      </c>
      <c r="B59" s="262" t="e">
        <f t="shared" si="17"/>
        <v>#DIV/0!</v>
      </c>
      <c r="C59" s="200">
        <f t="shared" si="16"/>
        <v>0.2</v>
      </c>
      <c r="D59" s="1164">
        <v>0.25</v>
      </c>
      <c r="E59" s="261">
        <f>'数据-汇总表'!E14</f>
        <v>0</v>
      </c>
      <c r="F59" s="691" t="e">
        <f t="shared" si="15"/>
        <v>#DIV/0!</v>
      </c>
      <c r="G59" s="2705" t="s">
        <v>2764</v>
      </c>
      <c r="H59" s="1104" t="str">
        <f>项目基本情况!B37</f>
        <v>七级</v>
      </c>
      <c r="I59" s="942">
        <f>SUMIF(修正!A45:A56,H59,修正!H45:H56)</f>
        <v>0.2</v>
      </c>
      <c r="J59" s="943"/>
      <c r="K59" s="1145"/>
      <c r="L59" s="941"/>
      <c r="M59" s="941"/>
      <c r="N59" s="941"/>
      <c r="O59" s="941"/>
    </row>
    <row r="60" spans="1:17" s="692" customFormat="1" ht="15" thickBot="1">
      <c r="A60" s="693" t="s">
        <v>2775</v>
      </c>
      <c r="B60" s="262" t="e">
        <f t="shared" si="17"/>
        <v>#DIV/0!</v>
      </c>
      <c r="C60" s="200">
        <f t="shared" si="16"/>
        <v>0.2</v>
      </c>
      <c r="D60" s="1164">
        <v>0.25</v>
      </c>
      <c r="E60" s="261">
        <f>'数据-汇总表'!E15</f>
        <v>0</v>
      </c>
      <c r="F60" s="691" t="e">
        <f t="shared" si="15"/>
        <v>#DIV/0!</v>
      </c>
      <c r="G60" s="2706" t="s">
        <v>2769</v>
      </c>
      <c r="H60" s="1114" t="str">
        <f>项目基本情况!C37</f>
        <v>七级</v>
      </c>
      <c r="I60" s="942">
        <f>SUMIF(修正!A45:A56,H60,修正!H45:H56)</f>
        <v>0.2</v>
      </c>
      <c r="J60" s="943"/>
      <c r="K60" s="1144"/>
      <c r="L60" s="941"/>
      <c r="M60" s="941"/>
      <c r="N60" s="941"/>
      <c r="O60" s="941"/>
    </row>
    <row r="61" spans="1:17" s="692" customFormat="1" ht="15" thickBot="1">
      <c r="A61" s="695" t="s">
        <v>2776</v>
      </c>
      <c r="B61" s="696" t="s">
        <v>28</v>
      </c>
      <c r="C61" s="696" t="s">
        <v>29</v>
      </c>
      <c r="D61" s="696" t="s">
        <v>1029</v>
      </c>
      <c r="E61" s="696">
        <f>IF(B41="楼面地价",SUM(E51:E60),'数据-汇总表'!D3)</f>
        <v>22955.7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07" t="s">
        <v>2777</v>
      </c>
      <c r="B65" s="1359"/>
      <c r="C65" s="1572" t="str">
        <f>YEAR(C63)&amp;"-"&amp;ROUNDUP(MONTH(C63)/3,0)</f>
        <v>2018-1</v>
      </c>
      <c r="D65" s="1572" t="str">
        <f t="shared" ref="D65:O65" si="19">YEAR(D63)&amp;"-"&amp;ROUNDUP(MONTH(D63)/3,0)</f>
        <v>2017-4</v>
      </c>
      <c r="E65" s="1572" t="str">
        <f t="shared" si="19"/>
        <v>2017-3</v>
      </c>
      <c r="F65" s="1572" t="str">
        <f t="shared" si="19"/>
        <v>2017-2</v>
      </c>
      <c r="G65" s="1572" t="str">
        <f t="shared" si="19"/>
        <v>2017-1</v>
      </c>
      <c r="H65" s="1572" t="str">
        <f t="shared" si="19"/>
        <v>2016-4</v>
      </c>
      <c r="I65" s="1572" t="str">
        <f t="shared" si="19"/>
        <v>2016-3</v>
      </c>
      <c r="J65" s="1572" t="str">
        <f t="shared" si="19"/>
        <v>2016-2</v>
      </c>
      <c r="K65" s="1572" t="str">
        <f t="shared" si="19"/>
        <v>2016-1</v>
      </c>
      <c r="L65" s="1572" t="str">
        <f t="shared" si="19"/>
        <v>2015-4</v>
      </c>
      <c r="M65" s="1572" t="str">
        <f t="shared" si="19"/>
        <v>2015-3</v>
      </c>
      <c r="N65" s="1572" t="str">
        <f t="shared" si="19"/>
        <v>2015-2</v>
      </c>
      <c r="O65" s="1572" t="str">
        <f t="shared" si="19"/>
        <v>2015-1</v>
      </c>
      <c r="P65" s="507"/>
    </row>
    <row r="66" spans="1:17" s="117" customFormat="1" ht="30.75" customHeight="1">
      <c r="A66" s="2712" t="s">
        <v>2797</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6" t="s">
        <v>183</v>
      </c>
      <c r="B18" s="879" t="s">
        <v>560</v>
      </c>
      <c r="C18" s="880" t="s">
        <v>561</v>
      </c>
      <c r="D18" s="881"/>
      <c r="E18" s="879">
        <v>1</v>
      </c>
      <c r="F18" s="882" t="s">
        <v>562</v>
      </c>
      <c r="G18" s="883"/>
      <c r="H18" s="875"/>
      <c r="I18" s="875"/>
    </row>
    <row r="19" spans="1:9" s="884" customFormat="1" ht="19.5" customHeight="1">
      <c r="A19" s="3306"/>
      <c r="B19" s="3306" t="s">
        <v>563</v>
      </c>
      <c r="C19" s="880" t="s">
        <v>564</v>
      </c>
      <c r="D19" s="881"/>
      <c r="E19" s="879">
        <v>0.9</v>
      </c>
      <c r="F19" s="882" t="s">
        <v>565</v>
      </c>
      <c r="G19" s="883"/>
      <c r="H19" s="875"/>
      <c r="I19" s="875"/>
    </row>
    <row r="20" spans="1:9" s="884" customFormat="1" ht="19.5" customHeight="1">
      <c r="A20" s="3306"/>
      <c r="B20" s="3306"/>
      <c r="C20" s="880" t="s">
        <v>566</v>
      </c>
      <c r="D20" s="881"/>
      <c r="E20" s="879">
        <v>1.1000000000000001</v>
      </c>
      <c r="F20" s="882" t="s">
        <v>567</v>
      </c>
      <c r="G20" s="883"/>
      <c r="H20" s="875"/>
      <c r="I20" s="875"/>
    </row>
    <row r="21" spans="1:9" s="884" customFormat="1" ht="19.5" customHeight="1">
      <c r="A21" s="3306"/>
      <c r="B21" s="3306"/>
      <c r="C21" s="880" t="s">
        <v>568</v>
      </c>
      <c r="D21" s="881"/>
      <c r="E21" s="879">
        <v>0.8</v>
      </c>
      <c r="F21" s="882" t="s">
        <v>569</v>
      </c>
      <c r="G21" s="883"/>
      <c r="H21" s="875"/>
      <c r="I21" s="875"/>
    </row>
    <row r="22" spans="1:9" s="884" customFormat="1" ht="19.5" customHeight="1">
      <c r="A22" s="3306"/>
      <c r="B22" s="3306"/>
      <c r="C22" s="880" t="s">
        <v>570</v>
      </c>
      <c r="D22" s="881"/>
      <c r="E22" s="879">
        <v>0.5</v>
      </c>
      <c r="F22" s="882"/>
      <c r="G22" s="883"/>
      <c r="H22" s="875"/>
      <c r="I22" s="875"/>
    </row>
    <row r="23" spans="1:9" s="884" customFormat="1" ht="19.5" customHeight="1">
      <c r="A23" s="3306" t="s">
        <v>184</v>
      </c>
      <c r="B23" s="879" t="s">
        <v>560</v>
      </c>
      <c r="C23" s="880" t="s">
        <v>571</v>
      </c>
      <c r="D23" s="881"/>
      <c r="E23" s="879">
        <v>1</v>
      </c>
      <c r="F23" s="882" t="s">
        <v>572</v>
      </c>
      <c r="G23" s="883"/>
      <c r="H23" s="875"/>
      <c r="I23" s="875"/>
    </row>
    <row r="24" spans="1:9" s="884" customFormat="1" ht="19.5" customHeight="1">
      <c r="A24" s="3306"/>
      <c r="B24" s="3306" t="s">
        <v>563</v>
      </c>
      <c r="C24" s="880" t="s">
        <v>573</v>
      </c>
      <c r="D24" s="881"/>
      <c r="E24" s="879">
        <v>0.5</v>
      </c>
      <c r="F24" s="882"/>
      <c r="G24" s="883"/>
      <c r="H24" s="875"/>
      <c r="I24" s="875"/>
    </row>
    <row r="25" spans="1:9" s="884" customFormat="1" ht="19.5" customHeight="1">
      <c r="A25" s="3306"/>
      <c r="B25" s="3306"/>
      <c r="C25" s="880" t="s">
        <v>574</v>
      </c>
      <c r="D25" s="881"/>
      <c r="E25" s="879">
        <v>1.1000000000000001</v>
      </c>
      <c r="F25" s="882"/>
      <c r="G25" s="883"/>
      <c r="H25" s="875"/>
      <c r="I25" s="875"/>
    </row>
    <row r="26" spans="1:9" s="884" customFormat="1" ht="19.5" customHeight="1">
      <c r="A26" s="3306"/>
      <c r="B26" s="3306"/>
      <c r="C26" s="880" t="s">
        <v>575</v>
      </c>
      <c r="D26" s="881"/>
      <c r="E26" s="879">
        <v>1.1000000000000001</v>
      </c>
      <c r="F26" s="882"/>
      <c r="G26" s="883"/>
      <c r="H26" s="875"/>
      <c r="I26" s="875"/>
    </row>
    <row r="27" spans="1:9" s="884" customFormat="1" ht="19.5" customHeight="1">
      <c r="A27" s="3306"/>
      <c r="B27" s="3306"/>
      <c r="C27" s="880" t="s">
        <v>576</v>
      </c>
      <c r="D27" s="881"/>
      <c r="E27" s="879">
        <v>0.9</v>
      </c>
      <c r="F27" s="882" t="s">
        <v>577</v>
      </c>
      <c r="G27" s="883"/>
      <c r="H27" s="875"/>
      <c r="I27" s="875"/>
    </row>
    <row r="28" spans="1:9" s="884" customFormat="1" ht="19.5" customHeight="1">
      <c r="A28" s="3306"/>
      <c r="B28" s="3306"/>
      <c r="C28" s="880" t="s">
        <v>578</v>
      </c>
      <c r="D28" s="881"/>
      <c r="E28" s="879">
        <v>0.9</v>
      </c>
      <c r="F28" s="882" t="s">
        <v>579</v>
      </c>
      <c r="G28" s="883"/>
      <c r="H28" s="875"/>
      <c r="I28" s="875"/>
    </row>
    <row r="29" spans="1:9" s="884" customFormat="1" ht="19.5" customHeight="1">
      <c r="A29" s="3306"/>
      <c r="B29" s="3306"/>
      <c r="C29" s="880" t="s">
        <v>580</v>
      </c>
      <c r="D29" s="881"/>
      <c r="E29" s="879">
        <v>0.9</v>
      </c>
      <c r="F29" s="882" t="s">
        <v>581</v>
      </c>
      <c r="G29" s="883"/>
      <c r="H29" s="875"/>
      <c r="I29" s="875"/>
    </row>
    <row r="30" spans="1:9" s="884" customFormat="1" ht="19.5" customHeight="1">
      <c r="A30" s="3306"/>
      <c r="B30" s="3306"/>
      <c r="C30" s="880" t="s">
        <v>582</v>
      </c>
      <c r="D30" s="881"/>
      <c r="E30" s="879">
        <v>0.9</v>
      </c>
      <c r="F30" s="882" t="s">
        <v>583</v>
      </c>
      <c r="G30" s="883"/>
      <c r="H30" s="875"/>
      <c r="I30" s="875"/>
    </row>
    <row r="31" spans="1:9" s="884" customFormat="1" ht="19.5" customHeight="1">
      <c r="A31" s="3306"/>
      <c r="B31" s="3306"/>
      <c r="C31" s="880" t="s">
        <v>584</v>
      </c>
      <c r="D31" s="881"/>
      <c r="E31" s="879">
        <v>0.8</v>
      </c>
      <c r="F31" s="882" t="s">
        <v>585</v>
      </c>
      <c r="G31" s="883"/>
      <c r="H31" s="875"/>
      <c r="I31" s="875"/>
    </row>
    <row r="32" spans="1:9" s="884" customFormat="1" ht="19.5" customHeight="1">
      <c r="A32" s="3306"/>
      <c r="B32" s="3306"/>
      <c r="C32" s="880" t="s">
        <v>586</v>
      </c>
      <c r="D32" s="881"/>
      <c r="E32" s="879">
        <v>0.8</v>
      </c>
      <c r="F32" s="882" t="s">
        <v>587</v>
      </c>
      <c r="G32" s="883"/>
      <c r="H32" s="875"/>
      <c r="I32" s="875"/>
    </row>
    <row r="33" spans="1:9" s="884" customFormat="1" ht="19.5" customHeight="1">
      <c r="A33" s="3306" t="s">
        <v>185</v>
      </c>
      <c r="B33" s="879" t="s">
        <v>560</v>
      </c>
      <c r="C33" s="880" t="s">
        <v>588</v>
      </c>
      <c r="D33" s="881"/>
      <c r="E33" s="879">
        <v>1</v>
      </c>
      <c r="F33" s="882" t="s">
        <v>589</v>
      </c>
      <c r="G33" s="883"/>
      <c r="H33" s="875"/>
      <c r="I33" s="875"/>
    </row>
    <row r="34" spans="1:9" s="884" customFormat="1" ht="19.5" customHeight="1">
      <c r="A34" s="3306"/>
      <c r="B34" s="879" t="s">
        <v>563</v>
      </c>
      <c r="C34" s="880" t="s">
        <v>590</v>
      </c>
      <c r="D34" s="881"/>
      <c r="E34" s="879">
        <v>1.5</v>
      </c>
      <c r="F34" s="882" t="s">
        <v>591</v>
      </c>
      <c r="G34" s="883"/>
      <c r="H34" s="875"/>
      <c r="I34" s="875"/>
    </row>
    <row r="35" spans="1:9" s="884" customFormat="1" ht="19.5" customHeight="1">
      <c r="A35" s="3306" t="s">
        <v>186</v>
      </c>
      <c r="B35" s="879" t="s">
        <v>560</v>
      </c>
      <c r="C35" s="880" t="s">
        <v>592</v>
      </c>
      <c r="D35" s="881"/>
      <c r="E35" s="879">
        <v>1</v>
      </c>
      <c r="F35" s="882" t="s">
        <v>593</v>
      </c>
      <c r="G35" s="883"/>
      <c r="H35" s="875"/>
      <c r="I35" s="875"/>
    </row>
    <row r="36" spans="1:9" s="884" customFormat="1" ht="19.5" customHeight="1">
      <c r="A36" s="3306"/>
      <c r="B36" s="3306" t="s">
        <v>563</v>
      </c>
      <c r="C36" s="880" t="s">
        <v>594</v>
      </c>
      <c r="D36" s="881"/>
      <c r="E36" s="879">
        <v>1</v>
      </c>
      <c r="F36" s="882" t="s">
        <v>595</v>
      </c>
      <c r="G36" s="883"/>
      <c r="H36" s="875"/>
      <c r="I36" s="875"/>
    </row>
    <row r="37" spans="1:9" s="884" customFormat="1" ht="19.5" customHeight="1">
      <c r="A37" s="3306"/>
      <c r="B37" s="3306"/>
      <c r="C37" s="880" t="s">
        <v>596</v>
      </c>
      <c r="D37" s="881"/>
      <c r="E37" s="879">
        <v>1.5</v>
      </c>
      <c r="F37" s="882" t="s">
        <v>597</v>
      </c>
      <c r="G37" s="883"/>
      <c r="H37" s="875"/>
      <c r="I37" s="875"/>
    </row>
    <row r="38" spans="1:9" s="884" customFormat="1" ht="19.5" customHeight="1">
      <c r="A38" s="3306"/>
      <c r="B38" s="3306"/>
      <c r="C38" s="880" t="s">
        <v>598</v>
      </c>
      <c r="D38" s="881"/>
      <c r="E38" s="879">
        <v>1</v>
      </c>
      <c r="F38" s="882" t="s">
        <v>599</v>
      </c>
      <c r="G38" s="883"/>
      <c r="H38" s="875"/>
      <c r="I38" s="875"/>
    </row>
    <row r="39" spans="1:9" s="884" customFormat="1" ht="19.5" customHeight="1">
      <c r="A39" s="3306"/>
      <c r="B39" s="330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6" t="s">
        <v>614</v>
      </c>
      <c r="C61" s="815" t="s">
        <v>615</v>
      </c>
      <c r="D61" s="815" t="s">
        <v>616</v>
      </c>
      <c r="E61" s="892">
        <v>0.5</v>
      </c>
      <c r="F61" s="879">
        <v>80</v>
      </c>
    </row>
    <row r="62" spans="1:8" s="875" customFormat="1" ht="24">
      <c r="A62" s="879">
        <v>2</v>
      </c>
      <c r="B62" s="3306"/>
      <c r="C62" s="815" t="s">
        <v>617</v>
      </c>
      <c r="D62" s="815" t="s">
        <v>618</v>
      </c>
      <c r="E62" s="892">
        <v>0.5</v>
      </c>
      <c r="F62" s="879">
        <v>80</v>
      </c>
    </row>
    <row r="63" spans="1:8" s="875" customFormat="1" ht="36">
      <c r="A63" s="879">
        <v>3</v>
      </c>
      <c r="B63" s="3306"/>
      <c r="C63" s="815" t="s">
        <v>619</v>
      </c>
      <c r="D63" s="815" t="s">
        <v>620</v>
      </c>
      <c r="E63" s="892">
        <v>0.5</v>
      </c>
      <c r="F63" s="879">
        <v>80</v>
      </c>
    </row>
    <row r="64" spans="1:8" s="875" customFormat="1" ht="36">
      <c r="A64" s="879">
        <v>4</v>
      </c>
      <c r="B64" s="3306"/>
      <c r="C64" s="815" t="s">
        <v>621</v>
      </c>
      <c r="D64" s="815" t="s">
        <v>622</v>
      </c>
      <c r="E64" s="892">
        <v>0.4</v>
      </c>
      <c r="F64" s="879">
        <v>60</v>
      </c>
    </row>
    <row r="65" spans="1:6" s="875" customFormat="1" ht="36">
      <c r="A65" s="879">
        <v>5</v>
      </c>
      <c r="B65" s="3306"/>
      <c r="C65" s="815" t="s">
        <v>623</v>
      </c>
      <c r="D65" s="815" t="s">
        <v>624</v>
      </c>
      <c r="E65" s="892">
        <v>0.2</v>
      </c>
      <c r="F65" s="879">
        <v>30</v>
      </c>
    </row>
    <row r="66" spans="1:6" s="875" customFormat="1" ht="36">
      <c r="A66" s="879">
        <v>6</v>
      </c>
      <c r="B66" s="3306"/>
      <c r="C66" s="815" t="s">
        <v>625</v>
      </c>
      <c r="D66" s="815" t="s">
        <v>626</v>
      </c>
      <c r="E66" s="892">
        <v>0.3</v>
      </c>
      <c r="F66" s="879">
        <v>50</v>
      </c>
    </row>
    <row r="67" spans="1:6" s="875" customFormat="1" ht="36">
      <c r="A67" s="879">
        <v>7</v>
      </c>
      <c r="B67" s="3306"/>
      <c r="C67" s="815" t="s">
        <v>627</v>
      </c>
      <c r="D67" s="815" t="s">
        <v>628</v>
      </c>
      <c r="E67" s="892">
        <v>0.2</v>
      </c>
      <c r="F67" s="879">
        <v>30</v>
      </c>
    </row>
    <row r="68" spans="1:6" s="875" customFormat="1" ht="36">
      <c r="A68" s="879">
        <v>8</v>
      </c>
      <c r="B68" s="3306"/>
      <c r="C68" s="815" t="s">
        <v>629</v>
      </c>
      <c r="D68" s="815" t="s">
        <v>630</v>
      </c>
      <c r="E68" s="892">
        <v>0.2</v>
      </c>
      <c r="F68" s="879">
        <v>30</v>
      </c>
    </row>
    <row r="69" spans="1:6" s="875" customFormat="1" ht="36">
      <c r="A69" s="879">
        <v>9</v>
      </c>
      <c r="B69" s="3306"/>
      <c r="C69" s="815" t="s">
        <v>631</v>
      </c>
      <c r="D69" s="815" t="s">
        <v>632</v>
      </c>
      <c r="E69" s="892">
        <v>0.2</v>
      </c>
      <c r="F69" s="879">
        <v>30</v>
      </c>
    </row>
    <row r="70" spans="1:6" s="875" customFormat="1" ht="48">
      <c r="A70" s="879">
        <v>10</v>
      </c>
      <c r="B70" s="3306"/>
      <c r="C70" s="815" t="s">
        <v>633</v>
      </c>
      <c r="D70" s="815" t="s">
        <v>634</v>
      </c>
      <c r="E70" s="892">
        <v>0.2</v>
      </c>
      <c r="F70" s="879">
        <v>30</v>
      </c>
    </row>
    <row r="71" spans="1:6" s="875" customFormat="1" ht="48">
      <c r="A71" s="879">
        <v>11</v>
      </c>
      <c r="B71" s="3306"/>
      <c r="C71" s="815" t="s">
        <v>635</v>
      </c>
      <c r="D71" s="815" t="s">
        <v>636</v>
      </c>
      <c r="E71" s="892">
        <v>0.2</v>
      </c>
      <c r="F71" s="879">
        <v>30</v>
      </c>
    </row>
    <row r="72" spans="1:6" s="875" customFormat="1" ht="36">
      <c r="A72" s="879">
        <v>12</v>
      </c>
      <c r="B72" s="3306"/>
      <c r="C72" s="815" t="s">
        <v>637</v>
      </c>
      <c r="D72" s="815" t="s">
        <v>638</v>
      </c>
      <c r="E72" s="892">
        <v>0.5</v>
      </c>
      <c r="F72" s="879">
        <v>80</v>
      </c>
    </row>
    <row r="73" spans="1:6" s="875" customFormat="1" ht="24">
      <c r="A73" s="879">
        <v>13</v>
      </c>
      <c r="B73" s="3306"/>
      <c r="C73" s="815" t="s">
        <v>639</v>
      </c>
      <c r="D73" s="815" t="s">
        <v>640</v>
      </c>
      <c r="E73" s="892">
        <v>0.4</v>
      </c>
      <c r="F73" s="879">
        <v>60</v>
      </c>
    </row>
    <row r="74" spans="1:6" s="875" customFormat="1" ht="24">
      <c r="A74" s="879">
        <v>14</v>
      </c>
      <c r="B74" s="3306"/>
      <c r="C74" s="815" t="s">
        <v>641</v>
      </c>
      <c r="D74" s="815" t="s">
        <v>642</v>
      </c>
      <c r="E74" s="892">
        <v>0.2</v>
      </c>
      <c r="F74" s="879">
        <v>30</v>
      </c>
    </row>
    <row r="75" spans="1:6" s="875" customFormat="1" ht="24">
      <c r="A75" s="879">
        <v>15</v>
      </c>
      <c r="B75" s="3306"/>
      <c r="C75" s="815" t="s">
        <v>643</v>
      </c>
      <c r="D75" s="815" t="s">
        <v>644</v>
      </c>
      <c r="E75" s="892">
        <v>0.2</v>
      </c>
      <c r="F75" s="879">
        <v>30</v>
      </c>
    </row>
    <row r="76" spans="1:6" s="875" customFormat="1" ht="24">
      <c r="A76" s="879">
        <v>16</v>
      </c>
      <c r="B76" s="3306" t="s">
        <v>645</v>
      </c>
      <c r="C76" s="815" t="s">
        <v>646</v>
      </c>
      <c r="D76" s="815" t="s">
        <v>647</v>
      </c>
      <c r="E76" s="892">
        <v>0.5</v>
      </c>
      <c r="F76" s="879">
        <v>80</v>
      </c>
    </row>
    <row r="77" spans="1:6" s="875" customFormat="1" ht="24">
      <c r="A77" s="879">
        <v>17</v>
      </c>
      <c r="B77" s="3306"/>
      <c r="C77" s="815" t="s">
        <v>648</v>
      </c>
      <c r="D77" s="815" t="s">
        <v>649</v>
      </c>
      <c r="E77" s="892">
        <v>0.5</v>
      </c>
      <c r="F77" s="879">
        <v>80</v>
      </c>
    </row>
    <row r="78" spans="1:6" s="875" customFormat="1" ht="24">
      <c r="A78" s="879">
        <v>18</v>
      </c>
      <c r="B78" s="3306"/>
      <c r="C78" s="815" t="s">
        <v>650</v>
      </c>
      <c r="D78" s="815" t="s">
        <v>651</v>
      </c>
      <c r="E78" s="892">
        <v>0.2</v>
      </c>
      <c r="F78" s="879">
        <v>30</v>
      </c>
    </row>
    <row r="79" spans="1:6" s="875" customFormat="1" ht="24">
      <c r="A79" s="879">
        <v>19</v>
      </c>
      <c r="B79" s="3306"/>
      <c r="C79" s="815" t="s">
        <v>652</v>
      </c>
      <c r="D79" s="815" t="s">
        <v>653</v>
      </c>
      <c r="E79" s="892">
        <v>0.5</v>
      </c>
      <c r="F79" s="879">
        <v>80</v>
      </c>
    </row>
    <row r="80" spans="1:6" s="875" customFormat="1" ht="36">
      <c r="A80" s="879">
        <v>20</v>
      </c>
      <c r="B80" s="3306"/>
      <c r="C80" s="815" t="s">
        <v>654</v>
      </c>
      <c r="D80" s="815" t="s">
        <v>655</v>
      </c>
      <c r="E80" s="892">
        <v>0.2</v>
      </c>
      <c r="F80" s="879">
        <v>30</v>
      </c>
    </row>
    <row r="81" spans="1:6" s="875" customFormat="1" ht="36">
      <c r="A81" s="879">
        <v>21</v>
      </c>
      <c r="B81" s="3306"/>
      <c r="C81" s="815" t="s">
        <v>656</v>
      </c>
      <c r="D81" s="815" t="s">
        <v>657</v>
      </c>
      <c r="E81" s="892">
        <v>0.2</v>
      </c>
      <c r="F81" s="879">
        <v>30</v>
      </c>
    </row>
    <row r="82" spans="1:6" s="875" customFormat="1" ht="48">
      <c r="A82" s="879">
        <v>22</v>
      </c>
      <c r="B82" s="3306"/>
      <c r="C82" s="815" t="s">
        <v>658</v>
      </c>
      <c r="D82" s="815" t="s">
        <v>659</v>
      </c>
      <c r="E82" s="892">
        <v>0.2</v>
      </c>
      <c r="F82" s="879">
        <v>30</v>
      </c>
    </row>
    <row r="83" spans="1:6" s="875" customFormat="1" ht="48">
      <c r="A83" s="879">
        <v>23</v>
      </c>
      <c r="B83" s="3306"/>
      <c r="C83" s="815" t="s">
        <v>660</v>
      </c>
      <c r="D83" s="815" t="s">
        <v>661</v>
      </c>
      <c r="E83" s="892">
        <v>0.2</v>
      </c>
      <c r="F83" s="879">
        <v>30</v>
      </c>
    </row>
    <row r="84" spans="1:6" s="875" customFormat="1" ht="36">
      <c r="A84" s="879">
        <v>24</v>
      </c>
      <c r="B84" s="3306"/>
      <c r="C84" s="815" t="s">
        <v>662</v>
      </c>
      <c r="D84" s="815" t="s">
        <v>663</v>
      </c>
      <c r="E84" s="892">
        <v>0.2</v>
      </c>
      <c r="F84" s="879">
        <v>30</v>
      </c>
    </row>
    <row r="85" spans="1:6" s="875" customFormat="1" ht="36">
      <c r="A85" s="879">
        <v>25</v>
      </c>
      <c r="B85" s="3306"/>
      <c r="C85" s="815" t="s">
        <v>664</v>
      </c>
      <c r="D85" s="815" t="s">
        <v>665</v>
      </c>
      <c r="E85" s="892">
        <v>0.5</v>
      </c>
      <c r="F85" s="879">
        <v>80</v>
      </c>
    </row>
    <row r="86" spans="1:6" s="875" customFormat="1" ht="36">
      <c r="A86" s="879">
        <v>26</v>
      </c>
      <c r="B86" s="3306"/>
      <c r="C86" s="815" t="s">
        <v>666</v>
      </c>
      <c r="D86" s="815" t="s">
        <v>667</v>
      </c>
      <c r="E86" s="892">
        <v>0.2</v>
      </c>
      <c r="F86" s="879">
        <v>30</v>
      </c>
    </row>
    <row r="87" spans="1:6" s="875" customFormat="1" ht="36">
      <c r="A87" s="879">
        <v>27</v>
      </c>
      <c r="B87" s="3306"/>
      <c r="C87" s="815" t="s">
        <v>668</v>
      </c>
      <c r="D87" s="815" t="s">
        <v>669</v>
      </c>
      <c r="E87" s="892">
        <v>0.2</v>
      </c>
      <c r="F87" s="879">
        <v>30</v>
      </c>
    </row>
    <row r="88" spans="1:6" s="875" customFormat="1" ht="36">
      <c r="A88" s="879">
        <v>28</v>
      </c>
      <c r="B88" s="3306"/>
      <c r="C88" s="815" t="s">
        <v>670</v>
      </c>
      <c r="D88" s="815" t="s">
        <v>671</v>
      </c>
      <c r="E88" s="892">
        <v>0.2</v>
      </c>
      <c r="F88" s="879">
        <v>30</v>
      </c>
    </row>
    <row r="89" spans="1:6" s="875" customFormat="1" ht="24">
      <c r="A89" s="879">
        <v>29</v>
      </c>
      <c r="B89" s="3306"/>
      <c r="C89" s="815" t="s">
        <v>672</v>
      </c>
      <c r="D89" s="815" t="s">
        <v>673</v>
      </c>
      <c r="E89" s="892">
        <v>0.2</v>
      </c>
      <c r="F89" s="879">
        <v>30</v>
      </c>
    </row>
    <row r="90" spans="1:6" s="875" customFormat="1" ht="24">
      <c r="A90" s="879">
        <v>30</v>
      </c>
      <c r="B90" s="3306"/>
      <c r="C90" s="815" t="s">
        <v>674</v>
      </c>
      <c r="D90" s="815" t="s">
        <v>675</v>
      </c>
      <c r="E90" s="892">
        <v>0.2</v>
      </c>
      <c r="F90" s="879">
        <v>30</v>
      </c>
    </row>
    <row r="91" spans="1:6" s="875" customFormat="1" ht="36">
      <c r="A91" s="879">
        <v>31</v>
      </c>
      <c r="B91" s="3306"/>
      <c r="C91" s="815" t="s">
        <v>676</v>
      </c>
      <c r="D91" s="815" t="s">
        <v>677</v>
      </c>
      <c r="E91" s="892">
        <v>0.2</v>
      </c>
      <c r="F91" s="879">
        <v>30</v>
      </c>
    </row>
    <row r="92" spans="1:6" s="875" customFormat="1" ht="24">
      <c r="A92" s="879">
        <v>32</v>
      </c>
      <c r="B92" s="3306" t="s">
        <v>678</v>
      </c>
      <c r="C92" s="879" t="s">
        <v>679</v>
      </c>
      <c r="D92" s="815" t="s">
        <v>680</v>
      </c>
      <c r="E92" s="892">
        <v>0.2</v>
      </c>
      <c r="F92" s="879">
        <v>30</v>
      </c>
    </row>
    <row r="93" spans="1:6" s="875" customFormat="1" ht="36">
      <c r="A93" s="879">
        <v>33</v>
      </c>
      <c r="B93" s="3306"/>
      <c r="C93" s="879" t="s">
        <v>681</v>
      </c>
      <c r="D93" s="815" t="s">
        <v>682</v>
      </c>
      <c r="E93" s="892">
        <v>0.2</v>
      </c>
      <c r="F93" s="879">
        <v>30</v>
      </c>
    </row>
    <row r="94" spans="1:6" s="875" customFormat="1" ht="48">
      <c r="A94" s="879">
        <v>34</v>
      </c>
      <c r="B94" s="3306"/>
      <c r="C94" s="879" t="s">
        <v>683</v>
      </c>
      <c r="D94" s="815" t="s">
        <v>684</v>
      </c>
      <c r="E94" s="892">
        <v>0.2</v>
      </c>
      <c r="F94" s="879">
        <v>30</v>
      </c>
    </row>
    <row r="95" spans="1:6" s="875" customFormat="1" ht="36">
      <c r="A95" s="879">
        <v>35</v>
      </c>
      <c r="B95" s="3306"/>
      <c r="C95" s="879" t="s">
        <v>685</v>
      </c>
      <c r="D95" s="815" t="s">
        <v>686</v>
      </c>
      <c r="E95" s="892">
        <v>0.2</v>
      </c>
      <c r="F95" s="879">
        <v>30</v>
      </c>
    </row>
    <row r="96" spans="1:6" s="875" customFormat="1" ht="48">
      <c r="A96" s="879">
        <v>36</v>
      </c>
      <c r="B96" s="3306"/>
      <c r="C96" s="815" t="s">
        <v>687</v>
      </c>
      <c r="D96" s="815" t="s">
        <v>688</v>
      </c>
      <c r="E96" s="892">
        <v>0.2</v>
      </c>
      <c r="F96" s="879">
        <v>30</v>
      </c>
    </row>
    <row r="97" spans="1:6" s="875" customFormat="1" ht="36">
      <c r="A97" s="879">
        <v>37</v>
      </c>
      <c r="B97" s="3306"/>
      <c r="C97" s="879" t="s">
        <v>689</v>
      </c>
      <c r="D97" s="815" t="s">
        <v>690</v>
      </c>
      <c r="E97" s="892">
        <v>0.2</v>
      </c>
      <c r="F97" s="879">
        <v>30</v>
      </c>
    </row>
    <row r="98" spans="1:6" s="875" customFormat="1" ht="36">
      <c r="A98" s="879">
        <v>38</v>
      </c>
      <c r="B98" s="3306"/>
      <c r="C98" s="879" t="s">
        <v>691</v>
      </c>
      <c r="D98" s="815" t="s">
        <v>692</v>
      </c>
      <c r="E98" s="892">
        <v>0.2</v>
      </c>
      <c r="F98" s="879">
        <v>30</v>
      </c>
    </row>
    <row r="99" spans="1:6" s="875" customFormat="1" ht="36">
      <c r="A99" s="879">
        <v>39</v>
      </c>
      <c r="B99" s="3306" t="s">
        <v>693</v>
      </c>
      <c r="C99" s="879" t="s">
        <v>694</v>
      </c>
      <c r="D99" s="815" t="s">
        <v>695</v>
      </c>
      <c r="E99" s="892">
        <v>0.3</v>
      </c>
      <c r="F99" s="879">
        <v>50</v>
      </c>
    </row>
    <row r="100" spans="1:6" s="875" customFormat="1" ht="24">
      <c r="A100" s="879">
        <v>40</v>
      </c>
      <c r="B100" s="3306"/>
      <c r="C100" s="879" t="s">
        <v>696</v>
      </c>
      <c r="D100" s="815" t="s">
        <v>697</v>
      </c>
      <c r="E100" s="892">
        <v>0.2</v>
      </c>
      <c r="F100" s="879">
        <v>30</v>
      </c>
    </row>
    <row r="101" spans="1:6" s="875" customFormat="1" ht="36">
      <c r="A101" s="879">
        <v>41</v>
      </c>
      <c r="B101" s="3306"/>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6" t="s">
        <v>708</v>
      </c>
      <c r="C105" s="879" t="s">
        <v>709</v>
      </c>
      <c r="D105" s="815" t="s">
        <v>710</v>
      </c>
      <c r="E105" s="892">
        <v>0.2</v>
      </c>
      <c r="F105" s="879">
        <v>30</v>
      </c>
    </row>
    <row r="106" spans="1:6" s="875" customFormat="1" ht="36">
      <c r="A106" s="879">
        <v>46</v>
      </c>
      <c r="B106" s="3306"/>
      <c r="C106" s="879" t="s">
        <v>711</v>
      </c>
      <c r="D106" s="815" t="s">
        <v>712</v>
      </c>
      <c r="E106" s="892">
        <v>0.2</v>
      </c>
      <c r="F106" s="879">
        <v>30</v>
      </c>
    </row>
    <row r="107" spans="1:6" s="875" customFormat="1" ht="36">
      <c r="A107" s="879">
        <v>47</v>
      </c>
      <c r="B107" s="3306" t="s">
        <v>713</v>
      </c>
      <c r="C107" s="879" t="s">
        <v>714</v>
      </c>
      <c r="D107" s="815" t="s">
        <v>715</v>
      </c>
      <c r="E107" s="892">
        <v>0.3</v>
      </c>
      <c r="F107" s="879">
        <v>50</v>
      </c>
    </row>
    <row r="108" spans="1:6" s="875" customFormat="1" ht="36">
      <c r="A108" s="879">
        <v>48</v>
      </c>
      <c r="B108" s="330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6" t="s">
        <v>724</v>
      </c>
      <c r="C111" s="879" t="s">
        <v>725</v>
      </c>
      <c r="D111" s="815" t="s">
        <v>726</v>
      </c>
      <c r="E111" s="892">
        <v>0.2</v>
      </c>
      <c r="F111" s="879">
        <v>30</v>
      </c>
    </row>
    <row r="112" spans="1:6" s="875" customFormat="1" ht="24">
      <c r="A112" s="879">
        <v>52</v>
      </c>
      <c r="B112" s="3306"/>
      <c r="C112" s="879" t="s">
        <v>727</v>
      </c>
      <c r="D112" s="815" t="s">
        <v>728</v>
      </c>
      <c r="E112" s="892">
        <v>0.2</v>
      </c>
      <c r="F112" s="879">
        <v>30</v>
      </c>
    </row>
    <row r="113" spans="1:6" s="875" customFormat="1" ht="24">
      <c r="A113" s="879">
        <v>53</v>
      </c>
      <c r="B113" s="3306"/>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6" t="s">
        <v>737</v>
      </c>
      <c r="C116" s="879" t="s">
        <v>738</v>
      </c>
      <c r="D116" s="815" t="s">
        <v>739</v>
      </c>
      <c r="E116" s="892">
        <v>0.2</v>
      </c>
      <c r="F116" s="879">
        <v>30</v>
      </c>
    </row>
    <row r="117" spans="1:6" ht="36">
      <c r="A117" s="879">
        <v>57</v>
      </c>
      <c r="B117" s="3306"/>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1.1653</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7" t="s">
        <v>2998</v>
      </c>
    </row>
    <row r="2" spans="1:5" ht="15.75">
      <c r="A2" s="2906" t="s">
        <v>2990</v>
      </c>
      <c r="B2" s="2907">
        <f ca="1">SUMIF(B6:B13,"&lt;&gt;#ref!",B6:B13)</f>
        <v>61782</v>
      </c>
      <c r="C2" s="2906" t="s">
        <v>2991</v>
      </c>
      <c r="D2" s="2906" t="s">
        <v>2992</v>
      </c>
      <c r="E2" s="2907" t="e">
        <f ca="1">SUM(E6:E13)</f>
        <v>#REF!</v>
      </c>
    </row>
    <row r="3" spans="1:5" ht="15.75">
      <c r="A3" s="2906" t="s">
        <v>2993</v>
      </c>
      <c r="B3" s="2907" t="e">
        <f ca="1">ROUND(B2*10000/E2,0)</f>
        <v>#REF!</v>
      </c>
      <c r="C3" s="2906" t="s">
        <v>2999</v>
      </c>
      <c r="D3" s="2908"/>
      <c r="E3" s="2908"/>
    </row>
    <row r="4" spans="1:5" ht="15.75">
      <c r="A4" s="2909"/>
      <c r="B4" s="2908"/>
      <c r="C4" s="2908"/>
      <c r="D4" s="2908"/>
      <c r="E4" s="2908"/>
    </row>
    <row r="5" spans="1:5" ht="28.5">
      <c r="A5" s="2910" t="s">
        <v>2994</v>
      </c>
      <c r="B5" s="2906" t="s">
        <v>2995</v>
      </c>
      <c r="C5" s="2907"/>
      <c r="D5" s="2908"/>
      <c r="E5" s="2906" t="s">
        <v>2996</v>
      </c>
    </row>
    <row r="6" spans="1:5" ht="15.75">
      <c r="A6" s="2911" t="s">
        <v>2997</v>
      </c>
      <c r="B6" s="2907">
        <f ca="1">SUMIF(INDIRECT("'"&amp;A6&amp;"'"&amp;"!A:A"),"总价",INDIRECT("'"&amp;A6&amp;"'"&amp;"!B:B"))</f>
        <v>61782</v>
      </c>
      <c r="C6" s="2906" t="s">
        <v>2991</v>
      </c>
      <c r="D6" s="2908"/>
      <c r="E6" s="2571">
        <f ca="1">SUMIF(INDIRECT("'"&amp;A6&amp;"'"&amp;"!C:C"),"建筑面积",INDIRECT("'"&amp;A6&amp;"'"&amp;"!D:D"))</f>
        <v>78727.759999999951</v>
      </c>
    </row>
    <row r="7" spans="1:5" ht="15.75">
      <c r="A7" s="2911"/>
      <c r="B7" s="2907" t="e">
        <f ca="1">SUMIF(INDIRECT("'"&amp;A7&amp;"'"&amp;"!A:A"),"总价",INDIRECT("'"&amp;A7&amp;"'"&amp;"!B:B"))</f>
        <v>#REF!</v>
      </c>
      <c r="C7" s="2906" t="s">
        <v>2991</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2991</v>
      </c>
      <c r="D8" s="2908"/>
      <c r="E8" s="2571" t="e">
        <f t="shared" ca="1" si="0"/>
        <v>#REF!</v>
      </c>
    </row>
    <row r="9" spans="1:5" ht="15.75">
      <c r="A9" s="2911"/>
      <c r="B9" s="2907" t="e">
        <f t="shared" ca="1" si="1"/>
        <v>#REF!</v>
      </c>
      <c r="C9" s="2906" t="s">
        <v>2991</v>
      </c>
      <c r="D9" s="2908"/>
      <c r="E9" s="2571" t="e">
        <f t="shared" ca="1" si="0"/>
        <v>#REF!</v>
      </c>
    </row>
    <row r="10" spans="1:5" ht="15.75">
      <c r="A10" s="2911"/>
      <c r="B10" s="2907" t="e">
        <f t="shared" ca="1" si="1"/>
        <v>#REF!</v>
      </c>
      <c r="C10" s="2906" t="s">
        <v>2991</v>
      </c>
      <c r="D10" s="2908"/>
      <c r="E10" s="2571" t="e">
        <f t="shared" ca="1" si="0"/>
        <v>#REF!</v>
      </c>
    </row>
    <row r="11" spans="1:5" ht="15.75">
      <c r="A11" s="2911"/>
      <c r="B11" s="2907" t="e">
        <f t="shared" ca="1" si="1"/>
        <v>#REF!</v>
      </c>
      <c r="C11" s="2906" t="s">
        <v>2991</v>
      </c>
      <c r="D11" s="2908"/>
      <c r="E11" s="2571" t="e">
        <f t="shared" ca="1" si="0"/>
        <v>#REF!</v>
      </c>
    </row>
    <row r="12" spans="1:5" ht="15.75">
      <c r="A12" s="2911"/>
      <c r="B12" s="2907" t="e">
        <f t="shared" ca="1" si="1"/>
        <v>#REF!</v>
      </c>
      <c r="C12" s="2906" t="s">
        <v>2991</v>
      </c>
      <c r="D12" s="2908"/>
      <c r="E12" s="2571" t="e">
        <f t="shared" ca="1" si="0"/>
        <v>#REF!</v>
      </c>
    </row>
    <row r="13" spans="1:5" ht="15.75">
      <c r="A13" s="2911"/>
      <c r="B13" s="2907" t="e">
        <f t="shared" ca="1" si="1"/>
        <v>#REF!</v>
      </c>
      <c r="C13" s="2906" t="s">
        <v>2991</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J67" sqref="J6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t="s">
        <v>3133</v>
      </c>
      <c r="D1" s="1820" t="s">
        <v>3149</v>
      </c>
      <c r="E1" s="1821" t="s">
        <v>1387</v>
      </c>
      <c r="F1" s="1283">
        <f ca="1">J53</f>
        <v>47.550000000000004</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1516</v>
      </c>
      <c r="B2" s="1844">
        <f ca="1">C40+J29+L46</f>
        <v>25481</v>
      </c>
      <c r="C2" s="1845" t="s">
        <v>1517</v>
      </c>
      <c r="D2" s="1845"/>
      <c r="E2" s="1846"/>
      <c r="F2" s="1847"/>
      <c r="G2" s="1848"/>
      <c r="H2" s="1840"/>
      <c r="I2" s="1840"/>
      <c r="J2" s="1840"/>
      <c r="K2" s="1841"/>
      <c r="L2" s="1840"/>
      <c r="M2" s="1840"/>
    </row>
    <row r="3" spans="1:37" ht="18" customHeight="1" thickBot="1">
      <c r="A3" s="1849" t="s">
        <v>1518</v>
      </c>
      <c r="B3" s="1850">
        <f ca="1">IF(ISERROR(B2*10000/F43),0,ROUND(B2*10000/F43,0))</f>
        <v>9526</v>
      </c>
      <c r="C3" s="1845" t="s">
        <v>1519</v>
      </c>
      <c r="D3" s="1845"/>
      <c r="E3" s="1846"/>
      <c r="F3" s="1847"/>
      <c r="G3" s="1848"/>
      <c r="H3" s="744" t="s">
        <v>1589</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1230</v>
      </c>
      <c r="D5" s="1822" t="s">
        <v>1402</v>
      </c>
      <c r="E5" s="1293"/>
      <c r="F5" s="1294"/>
      <c r="G5" s="1851"/>
      <c r="H5" s="344">
        <v>1</v>
      </c>
      <c r="I5" s="345" t="s">
        <v>1401</v>
      </c>
      <c r="J5" s="1292">
        <f ca="1">J6+J10+J12</f>
        <v>0</v>
      </c>
      <c r="K5" s="1822" t="s">
        <v>1402</v>
      </c>
      <c r="L5" s="1293"/>
      <c r="M5" s="1294"/>
    </row>
    <row r="6" spans="1:37" ht="18" customHeight="1">
      <c r="A6" s="1291" t="s">
        <v>1035</v>
      </c>
      <c r="B6" s="3250" t="s">
        <v>1403</v>
      </c>
      <c r="C6" s="1296">
        <f ca="1">ROUND(F6*F8*F7*(1-F9)/10000,0)</f>
        <v>1230</v>
      </c>
      <c r="D6" s="164" t="s">
        <v>3029</v>
      </c>
      <c r="E6" s="347" t="s">
        <v>1405</v>
      </c>
      <c r="F6" s="348">
        <f ca="1">INDIRECT("'数据-取费表'!u"&amp;$G$1)</f>
        <v>1.4</v>
      </c>
      <c r="G6" s="1851"/>
      <c r="H6" s="1291" t="s">
        <v>1035</v>
      </c>
      <c r="I6" s="3250" t="s">
        <v>1403</v>
      </c>
      <c r="J6" s="346">
        <f ca="1">ROUND(M6*M8*M7*(1-M9)/10000,0)</f>
        <v>0</v>
      </c>
      <c r="K6" s="164" t="s">
        <v>3028</v>
      </c>
      <c r="L6" s="347" t="s">
        <v>1405</v>
      </c>
      <c r="M6" s="348">
        <f ca="1">INDIRECT("'数据-取费表'!z"&amp;$G$1)</f>
        <v>0</v>
      </c>
    </row>
    <row r="7" spans="1:37" ht="18" customHeight="1">
      <c r="A7" s="1295"/>
      <c r="B7" s="3251"/>
      <c r="C7" s="1297"/>
      <c r="D7" s="352"/>
      <c r="E7" s="2943" t="s">
        <v>1406</v>
      </c>
      <c r="F7" s="348">
        <f ca="1">IF(INDIRECT("'数据-取费表'!ah"&amp;$G$1)="",INDIRECT("'数据-取费表'!k"&amp;$G$1),INDIRECT("'数据-取费表'!ah"&amp;$G$1))</f>
        <v>26747.949999999997</v>
      </c>
      <c r="G7" s="1851"/>
      <c r="H7" s="349"/>
      <c r="I7" s="3251"/>
      <c r="J7" s="351"/>
      <c r="K7" s="352"/>
      <c r="L7" s="347" t="s">
        <v>1406</v>
      </c>
      <c r="M7" s="348">
        <f ca="1">F7</f>
        <v>26747.949999999997</v>
      </c>
    </row>
    <row r="8" spans="1:37" ht="18" customHeight="1">
      <c r="A8" s="349"/>
      <c r="B8" s="3251"/>
      <c r="C8" s="351"/>
      <c r="D8" s="352"/>
      <c r="E8" s="347" t="s">
        <v>1407</v>
      </c>
      <c r="F8" s="348">
        <f ca="1">INDIRECT("'数据-取费表'!ai"&amp;$G$1)</f>
        <v>365</v>
      </c>
      <c r="G8" s="1851"/>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51"/>
      <c r="H9" s="349"/>
      <c r="I9" s="3252"/>
      <c r="J9" s="351"/>
      <c r="K9" s="352"/>
      <c r="L9" s="358" t="s">
        <v>1408</v>
      </c>
      <c r="M9" s="359">
        <f ca="1">INDIRECT("'数据-取费表'!ab"&amp;$G$1)</f>
        <v>0</v>
      </c>
    </row>
    <row r="10" spans="1:37" ht="18" customHeight="1">
      <c r="A10" s="1291" t="s">
        <v>1039</v>
      </c>
      <c r="B10" s="1823" t="s">
        <v>1409</v>
      </c>
      <c r="C10" s="361">
        <f ca="1">ROUND(IF(F10="押一",F6*F8*F7/12*F11,IF(F10="押二",F6*F8*F7/12*2*F11,IF(F10="押三",F6*F8*F7/12*3*F11,C11*F11)))/10000,0)</f>
        <v>0</v>
      </c>
      <c r="D10" s="1824" t="s">
        <v>3025</v>
      </c>
      <c r="E10" s="358" t="s">
        <v>1411</v>
      </c>
      <c r="F10" s="1366"/>
      <c r="G10" s="1851"/>
      <c r="H10" s="1291" t="s">
        <v>1039</v>
      </c>
      <c r="I10" s="1823" t="s">
        <v>1409</v>
      </c>
      <c r="J10" s="346">
        <f ca="1">ROUND(IF(M10="押一",M6*M8*M7/12*M11,IF(M10="押二",M6*M8*M7/12*2*M11,IF(M10="押三",M6*M8*M7/12*3*M11,J11*M11)))/10000,0)</f>
        <v>0</v>
      </c>
      <c r="K10" s="1824" t="s">
        <v>3025</v>
      </c>
      <c r="L10" s="358" t="s">
        <v>1411</v>
      </c>
      <c r="M10" s="1366" t="s">
        <v>1412</v>
      </c>
    </row>
    <row r="11" spans="1:37" ht="18" customHeight="1">
      <c r="A11" s="353"/>
      <c r="B11" s="1825" t="s">
        <v>1388</v>
      </c>
      <c r="C11" s="1178"/>
      <c r="D11" s="1826"/>
      <c r="E11" s="358" t="s">
        <v>1413</v>
      </c>
      <c r="F11" s="359">
        <f ca="1">'数据-取费表'!B39</f>
        <v>1.4999999999999999E-2</v>
      </c>
      <c r="G11" s="1851"/>
      <c r="H11" s="1299"/>
      <c r="I11" s="1825" t="s">
        <v>1388</v>
      </c>
      <c r="J11" s="1178"/>
      <c r="K11" s="748"/>
      <c r="L11" s="358" t="s">
        <v>1413</v>
      </c>
      <c r="M11" s="1056">
        <f ca="1">'数据-取费表'!B39</f>
        <v>1.4999999999999999E-2</v>
      </c>
    </row>
    <row r="12" spans="1:37" ht="18" customHeight="1" thickBot="1">
      <c r="A12" s="1333" t="s">
        <v>1075</v>
      </c>
      <c r="B12" s="1827" t="s">
        <v>1414</v>
      </c>
      <c r="C12" s="1334"/>
      <c r="D12" s="1335"/>
      <c r="E12" s="1340"/>
      <c r="F12" s="1336"/>
      <c r="G12" s="1851"/>
      <c r="H12" s="1333" t="s">
        <v>1075</v>
      </c>
      <c r="I12" s="1827" t="s">
        <v>1414</v>
      </c>
      <c r="J12" s="1334"/>
      <c r="K12" s="1348"/>
      <c r="L12" s="1340"/>
      <c r="M12" s="1349"/>
    </row>
    <row r="13" spans="1:37" ht="18" customHeight="1" thickTop="1">
      <c r="A13" s="1329">
        <v>2</v>
      </c>
      <c r="B13" s="1330" t="s">
        <v>1415</v>
      </c>
      <c r="C13" s="355">
        <f ca="1">ROUND(C29*F13,0)</f>
        <v>8500</v>
      </c>
      <c r="D13" s="1331" t="s">
        <v>1416</v>
      </c>
      <c r="E13" s="1331" t="s">
        <v>1417</v>
      </c>
      <c r="F13" s="1332">
        <f ca="1">INDIRECT("'数据-取费表'!y"&amp;$G$1)</f>
        <v>1</v>
      </c>
      <c r="G13" s="1851"/>
      <c r="H13" s="1329">
        <v>2</v>
      </c>
      <c r="I13" s="1330" t="s">
        <v>1415</v>
      </c>
      <c r="J13" s="1290">
        <f ca="1">ROUND(J14*J15,0)</f>
        <v>0</v>
      </c>
      <c r="K13" s="1337" t="s">
        <v>1416</v>
      </c>
      <c r="L13" s="1852"/>
      <c r="M13" s="1853"/>
    </row>
    <row r="14" spans="1:37" ht="18" customHeight="1">
      <c r="A14" s="1201" t="s">
        <v>1034</v>
      </c>
      <c r="B14" s="347" t="s">
        <v>1418</v>
      </c>
      <c r="C14" s="363">
        <f ca="1">INDIRECT("'数据-取费表'!m"&amp;$G$1)+INDIRECT("'数据-取费表'!t"&amp;$G$1)</f>
        <v>5885</v>
      </c>
      <c r="D14" s="2937" t="s">
        <v>1419</v>
      </c>
      <c r="E14" s="2935"/>
      <c r="F14" s="364"/>
      <c r="G14" s="1851"/>
      <c r="H14" s="1201" t="s">
        <v>1035</v>
      </c>
      <c r="I14" s="347" t="s">
        <v>1420</v>
      </c>
      <c r="J14" s="24">
        <f ca="1">C29</f>
        <v>8500</v>
      </c>
      <c r="K14" s="2942"/>
      <c r="L14" s="979"/>
      <c r="M14" s="980"/>
    </row>
    <row r="15" spans="1:37" s="1858" customFormat="1" ht="18" customHeight="1" thickBot="1">
      <c r="A15" s="1201" t="s">
        <v>1036</v>
      </c>
      <c r="B15" s="347" t="s">
        <v>1421</v>
      </c>
      <c r="C15" s="24">
        <f ca="1">ROUND(C14*F15,0)</f>
        <v>177</v>
      </c>
      <c r="D15" s="365" t="s">
        <v>1422</v>
      </c>
      <c r="E15" s="365" t="s">
        <v>1423</v>
      </c>
      <c r="F15" s="366">
        <f>'数据-取费表'!B33</f>
        <v>0.03</v>
      </c>
      <c r="G15" s="1854"/>
      <c r="H15" s="1339" t="s">
        <v>1039</v>
      </c>
      <c r="I15" s="1340" t="s">
        <v>1417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51"/>
      <c r="H16" s="1329" t="s">
        <v>1030</v>
      </c>
      <c r="I16" s="1330" t="s">
        <v>1425</v>
      </c>
      <c r="J16" s="355">
        <f ca="1">ROUND(J17+J22+J23+J24,0)</f>
        <v>200</v>
      </c>
      <c r="K16" s="1337" t="s">
        <v>1426</v>
      </c>
      <c r="L16" s="2938"/>
      <c r="M16" s="1294"/>
    </row>
    <row r="17" spans="1:37" s="1858" customFormat="1" ht="18" customHeight="1">
      <c r="A17" s="1201" t="s">
        <v>1390</v>
      </c>
      <c r="B17" s="347" t="s">
        <v>1427</v>
      </c>
      <c r="C17" s="24">
        <f ca="1">ROUND(F17*(F43+INDIRECT("'数据-取费表'!S"&amp;$G$1))/10000,0)</f>
        <v>565</v>
      </c>
      <c r="D17" s="347" t="s">
        <v>1428</v>
      </c>
      <c r="E17" s="347" t="s">
        <v>1429</v>
      </c>
      <c r="F17" s="26">
        <f>'数据-取费表'!B35</f>
        <v>200</v>
      </c>
      <c r="G17" s="1854"/>
      <c r="H17" s="1201" t="s">
        <v>1035</v>
      </c>
      <c r="I17" s="347" t="s">
        <v>1430</v>
      </c>
      <c r="J17" s="24">
        <f ca="1">ROUND(IF(项目基本情况!B11="自然人",J5*M17,J18+J19+J20),1)</f>
        <v>72.5</v>
      </c>
      <c r="K17" s="2937" t="s">
        <v>1431</v>
      </c>
      <c r="L17" s="2936"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1433</v>
      </c>
      <c r="C18" s="24">
        <f ca="1">ROUND(C14*F18,0)</f>
        <v>88</v>
      </c>
      <c r="D18" s="347" t="s">
        <v>1422</v>
      </c>
      <c r="E18" s="347" t="s">
        <v>1423</v>
      </c>
      <c r="F18" s="367">
        <f>'数据-取费表'!B36</f>
        <v>1.4999999999999999E-2</v>
      </c>
      <c r="G18" s="1854"/>
      <c r="H18" s="1201" t="s">
        <v>1034</v>
      </c>
      <c r="I18" s="347" t="s">
        <v>1434</v>
      </c>
      <c r="J18" s="24">
        <f ca="1">ROUND(J5*M18/(1+'数据-取费表'!C42),2)</f>
        <v>0</v>
      </c>
      <c r="K18" s="2936" t="s">
        <v>1435</v>
      </c>
      <c r="L18" s="347" t="s">
        <v>1423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1436</v>
      </c>
      <c r="C19" s="24">
        <f ca="1">SUM(C14:C18)</f>
        <v>6715</v>
      </c>
      <c r="D19" s="140" t="s">
        <v>1437</v>
      </c>
      <c r="E19" s="2941"/>
      <c r="F19" s="26"/>
      <c r="G19" s="1851"/>
      <c r="H19" s="1201" t="s">
        <v>1036</v>
      </c>
      <c r="I19" s="347" t="s">
        <v>1438</v>
      </c>
      <c r="J19" s="24">
        <f ca="1">IF(K19="按租金收入计税",ROUND(J5*M19,2),ROUND(C29*M19*0.7,2))</f>
        <v>71.400000000000006</v>
      </c>
      <c r="K19" s="1828" t="s">
        <v>1439</v>
      </c>
      <c r="L19" s="347" t="s">
        <v>1423</v>
      </c>
      <c r="M19" s="367">
        <f>IF(K19="按租金收入计税",'数据-取费表'!B51,'数据-取费表'!B50)</f>
        <v>1.2E-2</v>
      </c>
    </row>
    <row r="20" spans="1:37" s="1858" customFormat="1" ht="18" customHeight="1">
      <c r="A20" s="1201" t="s">
        <v>1039</v>
      </c>
      <c r="B20" s="347" t="s">
        <v>1440</v>
      </c>
      <c r="C20" s="24">
        <f ca="1">ROUND(C19*F20,0)</f>
        <v>134</v>
      </c>
      <c r="D20" s="369" t="s">
        <v>1441</v>
      </c>
      <c r="E20" s="347" t="s">
        <v>1423</v>
      </c>
      <c r="F20" s="367">
        <f>'数据-取费表'!B37</f>
        <v>0.02</v>
      </c>
      <c r="G20" s="1854"/>
      <c r="H20" s="1201" t="s">
        <v>1389</v>
      </c>
      <c r="I20" s="164" t="s">
        <v>1442</v>
      </c>
      <c r="J20" s="25">
        <f ca="1">ROUND(M20*M21/10000,2)</f>
        <v>1.1399999999999999</v>
      </c>
      <c r="K20" s="370" t="s">
        <v>1443</v>
      </c>
      <c r="L20" s="347" t="s">
        <v>1444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1445</v>
      </c>
      <c r="C21" s="24" t="s">
        <v>18</v>
      </c>
      <c r="D21" s="369" t="s">
        <v>1446</v>
      </c>
      <c r="E21" s="347" t="s">
        <v>1447</v>
      </c>
      <c r="F21" s="367">
        <f>'数据-取费表'!B38</f>
        <v>0.02</v>
      </c>
      <c r="G21" s="1854"/>
      <c r="H21" s="372"/>
      <c r="I21" s="356"/>
      <c r="J21" s="29"/>
      <c r="K21" s="373"/>
      <c r="L21" s="347" t="s">
        <v>1448</v>
      </c>
      <c r="M21" s="348">
        <f ca="1">INDIRECT("'数据-取费表'!r"&amp;$G$1)</f>
        <v>7616.6900000000005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2941"/>
      <c r="F22" s="26"/>
      <c r="G22" s="1851"/>
      <c r="H22" s="1201" t="s">
        <v>1039</v>
      </c>
      <c r="I22" s="347" t="s">
        <v>1450</v>
      </c>
      <c r="J22" s="24">
        <f ca="1">ROUND(J14*M22,1)</f>
        <v>127.5</v>
      </c>
      <c r="K22" s="2936" t="s">
        <v>1451</v>
      </c>
      <c r="L22" s="347" t="s">
        <v>1423</v>
      </c>
      <c r="M22" s="374">
        <f ca="1">INDIRECT("'数据-取费表'!Ak"&amp;$G$1)</f>
        <v>1.4999999999999999E-2</v>
      </c>
    </row>
    <row r="23" spans="1:37" s="1858" customFormat="1" ht="18" customHeight="1">
      <c r="A23" s="1201" t="s">
        <v>1034</v>
      </c>
      <c r="B23" s="347" t="s">
        <v>1452</v>
      </c>
      <c r="C23" s="24">
        <f ca="1">IF('数据-取费表'!B22&lt;=1,ROUND(C19*F24*F23/2,0)+ROUND(C20*F24*F23/2,0),ROUND(C19*(POWER((1+F24),F23/2)-1),0)+ROUND(C20*(POWER((1+F24),F23/2)-1),0))</f>
        <v>325</v>
      </c>
      <c r="D23" s="375" t="str">
        <f>IF(F23&lt;=1,"(建造成本+管理费用)×利率×(建设周期÷2)","(建造成本+管理费用)×((1+利率)^(建设周期÷2)-1)")</f>
        <v>(建造成本+管理费用)×((1+利率)^(建设周期÷2)-1)</v>
      </c>
      <c r="E23" s="347" t="s">
        <v>1453</v>
      </c>
      <c r="F23" s="371">
        <f>'数据-取费表'!B20</f>
        <v>2</v>
      </c>
      <c r="G23" s="1854"/>
      <c r="H23" s="1201" t="s">
        <v>1075</v>
      </c>
      <c r="I23" s="347" t="s">
        <v>1454</v>
      </c>
      <c r="J23" s="24">
        <f ca="1">ROUND(J13*M23,1)</f>
        <v>0</v>
      </c>
      <c r="K23" s="2936" t="s">
        <v>1455</v>
      </c>
      <c r="L23" s="347" t="s">
        <v>1423</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4"/>
      <c r="H24" s="1339" t="s">
        <v>1392</v>
      </c>
      <c r="I24" s="1340" t="s">
        <v>1440</v>
      </c>
      <c r="J24" s="1341">
        <f ca="1">ROUND(J5*M24,1)</f>
        <v>0</v>
      </c>
      <c r="K24" s="1342" t="s">
        <v>1460</v>
      </c>
      <c r="L24" s="1340" t="s">
        <v>1423</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1461</v>
      </c>
      <c r="B25" s="347" t="s">
        <v>1462</v>
      </c>
      <c r="C25" s="24"/>
      <c r="D25" s="140" t="s">
        <v>1463</v>
      </c>
      <c r="E25" s="2941"/>
      <c r="F25" s="26"/>
      <c r="G25" s="1851"/>
      <c r="H25" s="1329" t="s">
        <v>1031</v>
      </c>
      <c r="I25" s="1344" t="s">
        <v>1464</v>
      </c>
      <c r="J25" s="355">
        <f ca="1">J5-J16</f>
        <v>-200</v>
      </c>
      <c r="K25" s="1345" t="s">
        <v>1465</v>
      </c>
      <c r="L25" s="1346"/>
      <c r="M25" s="1347"/>
    </row>
    <row r="26" spans="1:37">
      <c r="A26" s="1201" t="s">
        <v>1034</v>
      </c>
      <c r="B26" s="347" t="s">
        <v>1466</v>
      </c>
      <c r="C26" s="24">
        <f ca="1">ROUND((C19+C20)*F26,0)</f>
        <v>685</v>
      </c>
      <c r="D26" s="369" t="s">
        <v>1467</v>
      </c>
      <c r="E26" s="358" t="s">
        <v>1468</v>
      </c>
      <c r="F26" s="357">
        <f ca="1">INDIRECT("'数据-取费表'!q"&amp;$G$1)</f>
        <v>0.1</v>
      </c>
      <c r="G26" s="1851"/>
      <c r="H26" s="344" t="s">
        <v>1032</v>
      </c>
      <c r="I26" s="345" t="s">
        <v>1469</v>
      </c>
      <c r="J26" s="346">
        <f ca="1">IF(J5&lt;&gt;0,ROUND(J25*(1-((1+M28)/(1+M26))^M27)/(M26-M28),0),0)</f>
        <v>0</v>
      </c>
      <c r="K26" s="370" t="s">
        <v>1470</v>
      </c>
      <c r="L26" s="347" t="s">
        <v>1471</v>
      </c>
      <c r="M26" s="357">
        <f ca="1">INDIRECT("'数据-取费表'!I"&amp;$G$1)</f>
        <v>0.05</v>
      </c>
    </row>
    <row r="27" spans="1:37" ht="18" customHeight="1">
      <c r="A27" s="1201" t="s">
        <v>1036</v>
      </c>
      <c r="B27" s="347" t="s">
        <v>1472</v>
      </c>
      <c r="C27" s="24">
        <f ca="1">ROUND(F21*F26,4)</f>
        <v>2E-3</v>
      </c>
      <c r="D27" s="369" t="s">
        <v>1473</v>
      </c>
      <c r="E27" s="365"/>
      <c r="F27" s="366"/>
      <c r="G27" s="1851"/>
      <c r="H27" s="349"/>
      <c r="I27" s="350"/>
      <c r="J27" s="351"/>
      <c r="K27" s="378" t="s">
        <v>1474</v>
      </c>
      <c r="L27" s="347" t="s">
        <v>1475</v>
      </c>
      <c r="M27" s="379">
        <f ca="1">INDIRECT("'数据-取费表'!ag"&amp;$G$1)</f>
        <v>0</v>
      </c>
    </row>
    <row r="28" spans="1:37" s="1858" customFormat="1" ht="18" customHeight="1">
      <c r="A28" s="1201" t="s">
        <v>1037</v>
      </c>
      <c r="B28" s="347" t="s">
        <v>1476</v>
      </c>
      <c r="C28" s="24">
        <f>ROUND(F28/(1+'数据-取费表'!C42),4)</f>
        <v>5.2400000000000002E-2</v>
      </c>
      <c r="D28" s="369" t="s">
        <v>1477</v>
      </c>
      <c r="E28" s="347" t="s">
        <v>1423</v>
      </c>
      <c r="F28" s="367">
        <f>'数据-取费表'!B41</f>
        <v>5.5000000000000007E-2</v>
      </c>
      <c r="G28" s="1854"/>
      <c r="H28" s="353"/>
      <c r="I28" s="354"/>
      <c r="J28" s="355"/>
      <c r="K28" s="373"/>
      <c r="L28" s="347" t="s">
        <v>1478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1479</v>
      </c>
      <c r="C29" s="1341">
        <f ca="1">ROUND((C19+C20+C23+C26)/(1-F21-C24-C27-C28),0)</f>
        <v>8500</v>
      </c>
      <c r="D29" s="1342"/>
      <c r="E29" s="1340"/>
      <c r="F29" s="1343"/>
      <c r="G29" s="1854"/>
      <c r="H29" s="380" t="s">
        <v>1033</v>
      </c>
      <c r="I29" s="381" t="s">
        <v>1480</v>
      </c>
      <c r="J29" s="382">
        <f ca="1">ROUND(J26/(1+F40)^F41,0)</f>
        <v>0</v>
      </c>
      <c r="K29" s="383" t="s">
        <v>1481</v>
      </c>
      <c r="L29" s="384"/>
      <c r="M29" s="385">
        <f ca="1">INDIRECT("'数据-取费表'!k"&amp;$G$1)</f>
        <v>26747.949999999997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1425</v>
      </c>
      <c r="C30" s="355">
        <f ca="1">ROUND(C31+C36+C37+C38,0)</f>
        <v>296</v>
      </c>
      <c r="D30" s="1337" t="s">
        <v>1426</v>
      </c>
      <c r="E30" s="2938"/>
      <c r="F30" s="1294"/>
      <c r="G30" s="1851"/>
      <c r="H30" s="745"/>
      <c r="I30" s="746"/>
      <c r="J30" s="747"/>
      <c r="K30" s="748"/>
      <c r="L30" s="749"/>
      <c r="M30" s="750"/>
    </row>
    <row r="31" spans="1:37" ht="18" customHeight="1">
      <c r="A31" s="1201" t="s">
        <v>1035</v>
      </c>
      <c r="B31" s="347" t="s">
        <v>1430</v>
      </c>
      <c r="C31" s="24">
        <f ca="1">ROUND(IF(项目基本情况!B11="自然人",C5*F31,C32+C33+C34),1)</f>
        <v>137</v>
      </c>
      <c r="D31" s="2937" t="s">
        <v>1431</v>
      </c>
      <c r="E31" s="2936"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1434</v>
      </c>
      <c r="C32" s="24">
        <f ca="1">IF(项目基本情况!B11="自然人","——",ROUND(C5*F32/(1+'数据-取费表'!C42),2))</f>
        <v>64.430000000000007</v>
      </c>
      <c r="D32" s="2936" t="s">
        <v>1435</v>
      </c>
      <c r="E32" s="347" t="s">
        <v>1423</v>
      </c>
      <c r="F32" s="377">
        <f>'数据-取费表'!B41</f>
        <v>5.5000000000000007E-2</v>
      </c>
      <c r="G32" s="1851"/>
      <c r="H32" s="745"/>
      <c r="I32" s="746"/>
      <c r="J32" s="747"/>
      <c r="K32" s="748"/>
      <c r="L32" s="749"/>
      <c r="M32" s="750"/>
    </row>
    <row r="33" spans="1:18" ht="18" customHeight="1">
      <c r="A33" s="1201" t="s">
        <v>1036</v>
      </c>
      <c r="B33" s="347" t="s">
        <v>1438</v>
      </c>
      <c r="C33" s="24">
        <f ca="1">IF(项目基本情况!B11="自然人","——",IF(D33="按租金收入计税",ROUND(C5*F33,2),IF(D33="按房产原值计税",ROUND(C29*F33*0.7,2),INDIRECT("'数据-取费表'!Aj"&amp;$G$1))))</f>
        <v>71.400000000000006</v>
      </c>
      <c r="D33" s="1828" t="s">
        <v>1439</v>
      </c>
      <c r="E33" s="347" t="s">
        <v>1423</v>
      </c>
      <c r="F33" s="367">
        <f>IF(D33="按票据","——",IF(D33="按租金收入计税",'数据-取费表'!B51,'数据-取费表'!B50))</f>
        <v>1.2E-2</v>
      </c>
      <c r="G33" s="1851"/>
      <c r="H33" s="1859"/>
      <c r="I33" s="1860"/>
      <c r="J33" s="1861"/>
      <c r="K33" s="1862"/>
      <c r="L33" s="1859"/>
      <c r="M33" s="1859"/>
    </row>
    <row r="34" spans="1:18" ht="18" customHeight="1">
      <c r="A34" s="1291" t="s">
        <v>1389</v>
      </c>
      <c r="B34" s="164" t="s">
        <v>1442</v>
      </c>
      <c r="C34" s="25">
        <f ca="1">IF(项目基本情况!B11="自然人","——",ROUND(F34*F35/10000,2))</f>
        <v>1.1399999999999999</v>
      </c>
      <c r="D34" s="370" t="s">
        <v>1443</v>
      </c>
      <c r="E34" s="347" t="s">
        <v>1444</v>
      </c>
      <c r="F34" s="371">
        <f>'数据-取费表'!B52</f>
        <v>1.5</v>
      </c>
      <c r="G34" s="1851"/>
      <c r="H34" s="745"/>
      <c r="I34" s="1860"/>
      <c r="J34" s="1861"/>
      <c r="K34" s="1863"/>
      <c r="L34" s="1864"/>
      <c r="M34" s="1864"/>
    </row>
    <row r="35" spans="1:18" ht="18" customHeight="1">
      <c r="A35" s="1353"/>
      <c r="B35" s="1351"/>
      <c r="C35" s="29"/>
      <c r="D35" s="373"/>
      <c r="E35" s="347" t="s">
        <v>1448</v>
      </c>
      <c r="F35" s="348">
        <f ca="1">INDIRECT("'数据-取费表'!r"&amp;$G$1)</f>
        <v>7616.6900000000005</v>
      </c>
      <c r="G35" s="1851"/>
      <c r="H35" s="745"/>
      <c r="I35" s="1860"/>
      <c r="J35" s="1861"/>
      <c r="K35" s="1862"/>
      <c r="L35" s="1859"/>
      <c r="M35" s="1859"/>
    </row>
    <row r="36" spans="1:18" ht="18" customHeight="1">
      <c r="A36" s="1352" t="s">
        <v>1039</v>
      </c>
      <c r="B36" s="347" t="s">
        <v>1450</v>
      </c>
      <c r="C36" s="24">
        <f ca="1">ROUND(C29*F36,1)</f>
        <v>127.5</v>
      </c>
      <c r="D36" s="2936" t="s">
        <v>1483</v>
      </c>
      <c r="E36" s="347" t="s">
        <v>1423</v>
      </c>
      <c r="F36" s="374">
        <f ca="1">INDIRECT("'数据-取费表'!Ak"&amp;$G$1)</f>
        <v>1.4999999999999999E-2</v>
      </c>
      <c r="G36" s="1851"/>
      <c r="H36" s="1859"/>
      <c r="I36" s="1860"/>
      <c r="J36" s="1861"/>
      <c r="K36" s="751"/>
      <c r="L36" s="1859"/>
      <c r="M36" s="1859"/>
    </row>
    <row r="37" spans="1:18" ht="18" customHeight="1">
      <c r="A37" s="1201" t="s">
        <v>1075</v>
      </c>
      <c r="B37" s="347" t="s">
        <v>1454</v>
      </c>
      <c r="C37" s="24">
        <f ca="1">ROUND(C13*F37,1)</f>
        <v>12.8</v>
      </c>
      <c r="D37" s="2936" t="s">
        <v>1455</v>
      </c>
      <c r="E37" s="347" t="s">
        <v>1423</v>
      </c>
      <c r="F37" s="376">
        <f ca="1">INDIRECT("'数据-取费表'!Al"&amp;$G$1)</f>
        <v>1.5E-3</v>
      </c>
      <c r="G37" s="1851"/>
      <c r="H37" s="1859"/>
      <c r="I37" s="1860"/>
      <c r="J37" s="1861"/>
      <c r="K37" s="751"/>
      <c r="L37" s="1859"/>
      <c r="M37" s="1859"/>
    </row>
    <row r="38" spans="1:18" ht="18" customHeight="1" thickBot="1">
      <c r="A38" s="1339" t="s">
        <v>1392</v>
      </c>
      <c r="B38" s="1340" t="s">
        <v>1440</v>
      </c>
      <c r="C38" s="1341">
        <f ca="1">ROUND(C5*F38,1)</f>
        <v>18.5</v>
      </c>
      <c r="D38" s="1342" t="s">
        <v>1460</v>
      </c>
      <c r="E38" s="1340" t="s">
        <v>1423</v>
      </c>
      <c r="F38" s="1336">
        <f ca="1">INDIRECT("'数据-取费表'!Am"&amp;$G$1)</f>
        <v>1.4999999999999999E-2</v>
      </c>
      <c r="G38" s="1851"/>
      <c r="H38" s="1859"/>
      <c r="I38" s="1860"/>
      <c r="J38" s="1861"/>
      <c r="K38" s="1865"/>
      <c r="L38" s="1859"/>
      <c r="M38" s="1859"/>
    </row>
    <row r="39" spans="1:18" ht="24.6" customHeight="1" thickTop="1">
      <c r="A39" s="1329" t="s">
        <v>1031</v>
      </c>
      <c r="B39" s="1344" t="s">
        <v>1464</v>
      </c>
      <c r="C39" s="355">
        <f ca="1">C5-C30</f>
        <v>934</v>
      </c>
      <c r="D39" s="1345" t="s">
        <v>1465</v>
      </c>
      <c r="E39" s="1346"/>
      <c r="F39" s="1347"/>
      <c r="G39" s="1851"/>
      <c r="H39" s="1859"/>
      <c r="I39" s="1860"/>
      <c r="J39" s="1861"/>
      <c r="K39" s="1865"/>
      <c r="L39" s="1859"/>
      <c r="M39" s="1859"/>
    </row>
    <row r="40" spans="1:18" ht="18" customHeight="1">
      <c r="A40" s="344" t="s">
        <v>1032</v>
      </c>
      <c r="B40" s="345" t="s">
        <v>1486</v>
      </c>
      <c r="C40" s="346">
        <f ca="1">ROUND(C39*(1-((1+F42)/(1+F40))^F41)/(F40-F42),0)</f>
        <v>25481</v>
      </c>
      <c r="D40" s="370" t="s">
        <v>1470</v>
      </c>
      <c r="E40" s="347" t="s">
        <v>1471</v>
      </c>
      <c r="F40" s="357">
        <f ca="1">INDIRECT("'数据-取费表'!I"&amp;$G$1)</f>
        <v>0.05</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47.550000000000004</v>
      </c>
      <c r="G41" s="1851"/>
      <c r="H41" s="732"/>
      <c r="I41" s="1860"/>
      <c r="J41" s="1861"/>
      <c r="K41" s="751"/>
      <c r="L41" s="732"/>
      <c r="M41" s="732"/>
    </row>
    <row r="42" spans="1:18" ht="18" customHeight="1">
      <c r="A42" s="353"/>
      <c r="B42" s="354"/>
      <c r="C42" s="355"/>
      <c r="D42" s="373"/>
      <c r="E42" s="347" t="s">
        <v>1478</v>
      </c>
      <c r="F42" s="357">
        <f ca="1">INDIRECT("'数据-取费表'!v"&amp;$G$1)</f>
        <v>2.5000000000000001E-2</v>
      </c>
      <c r="G42" s="1851"/>
      <c r="H42" s="732"/>
      <c r="I42" s="1860"/>
      <c r="J42" s="1861"/>
      <c r="K42" s="751"/>
      <c r="L42" s="732"/>
      <c r="M42" s="732"/>
    </row>
    <row r="43" spans="1:18" ht="18" customHeight="1" thickBot="1">
      <c r="A43" s="380" t="s">
        <v>1033</v>
      </c>
      <c r="B43" s="381" t="s">
        <v>1488</v>
      </c>
      <c r="C43" s="382">
        <f ca="1">ROUND(C40*10000/F43,0)</f>
        <v>9526</v>
      </c>
      <c r="D43" s="383" t="s">
        <v>1489</v>
      </c>
      <c r="E43" s="384" t="s">
        <v>1490</v>
      </c>
      <c r="F43" s="385">
        <f ca="1">INDIRECT("'数据-取费表'!k"&amp;$G$1)</f>
        <v>26747.949999999997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1520</v>
      </c>
      <c r="P45" s="1839"/>
      <c r="Q45" s="1839"/>
      <c r="R45" s="1839"/>
    </row>
    <row r="46" spans="1:18" s="1842" customFormat="1" ht="13.5" thickBot="1">
      <c r="A46" s="1870" t="s">
        <v>1521</v>
      </c>
      <c r="C46" s="1871">
        <f ca="1">C68-C40</f>
        <v>-29322</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5" t="s">
        <v>1396</v>
      </c>
      <c r="B47" s="1197" t="s">
        <v>1397</v>
      </c>
      <c r="C47" s="1367" t="s">
        <v>1398</v>
      </c>
      <c r="D47" s="1197" t="s">
        <v>1399</v>
      </c>
      <c r="E47" s="1279" t="s">
        <v>1400</v>
      </c>
      <c r="F47" s="1280"/>
      <c r="G47" s="792"/>
      <c r="I47" s="1880" t="s">
        <v>1527</v>
      </c>
      <c r="J47" s="1881" t="s">
        <v>3145</v>
      </c>
      <c r="K47" s="1882" t="s">
        <v>1528</v>
      </c>
      <c r="L47" s="1883">
        <f ca="1">INDIRECT("'数据-取费表'!d"&amp;$G$1)</f>
        <v>50</v>
      </c>
      <c r="M47" s="1838" t="str">
        <f>IF(ISNUMBER(FIND("住宅",C1)),"住宅","非住宅")</f>
        <v>非住宅</v>
      </c>
      <c r="O47" s="1884" t="s">
        <v>1040</v>
      </c>
      <c r="P47" s="1885" t="s">
        <v>1529</v>
      </c>
      <c r="Q47" s="1886">
        <f ca="1">C40+J29</f>
        <v>25481</v>
      </c>
      <c r="R47" s="1886" t="s">
        <v>1530</v>
      </c>
    </row>
    <row r="48" spans="1:18" s="1842" customFormat="1" ht="28.5" thickBot="1">
      <c r="A48" s="1360" t="s">
        <v>1135</v>
      </c>
      <c r="B48" s="345" t="s">
        <v>1401</v>
      </c>
      <c r="C48" s="2940">
        <f ca="1">C49+C53+C55</f>
        <v>0</v>
      </c>
      <c r="D48" s="1362"/>
      <c r="E48" s="1363"/>
      <c r="F48" s="1181"/>
      <c r="G48" s="792"/>
      <c r="H48" s="793"/>
      <c r="I48" s="1887" t="s">
        <v>1531</v>
      </c>
      <c r="J48" s="1888" t="s">
        <v>3146</v>
      </c>
      <c r="K48" s="1889" t="s">
        <v>1532</v>
      </c>
      <c r="L48" s="1890">
        <f ca="1">INDIRECT("'数据-取费表'!f"&amp;$G$1)</f>
        <v>47.95</v>
      </c>
      <c r="O48" s="1884" t="s">
        <v>1041</v>
      </c>
      <c r="P48" s="1885" t="s">
        <v>1533</v>
      </c>
      <c r="Q48" s="1886" t="str">
        <f ca="1">J60</f>
        <v>0</v>
      </c>
      <c r="R48" s="1886" t="s">
        <v>1534</v>
      </c>
    </row>
    <row r="49" spans="1:18" s="1842" customFormat="1" ht="13.5" thickBot="1">
      <c r="A49" s="1194" t="s">
        <v>1136</v>
      </c>
      <c r="B49" s="1829" t="s">
        <v>1491</v>
      </c>
      <c r="C49" s="1364">
        <f ca="1">ROUND(F49*F51*F50*(1-F52)/10000,0)</f>
        <v>0</v>
      </c>
      <c r="D49" s="1276" t="s">
        <v>3028</v>
      </c>
      <c r="E49" s="1830" t="s">
        <v>1492</v>
      </c>
      <c r="F49" s="1281"/>
      <c r="G49" s="1891"/>
      <c r="H49" s="793"/>
      <c r="I49" s="1887" t="s">
        <v>1535</v>
      </c>
      <c r="J49" s="1892">
        <v>2018</v>
      </c>
      <c r="K49" s="1889" t="s">
        <v>1536</v>
      </c>
      <c r="L49" s="1893"/>
      <c r="O49" s="1894" t="s">
        <v>1042</v>
      </c>
      <c r="P49" s="1885" t="s">
        <v>1537</v>
      </c>
      <c r="Q49" s="1886">
        <f ca="1">C29</f>
        <v>8500</v>
      </c>
      <c r="R49" s="1886" t="s">
        <v>1530</v>
      </c>
    </row>
    <row r="50" spans="1:18" s="1842" customFormat="1" ht="13.5" thickBot="1">
      <c r="A50" s="1195"/>
      <c r="B50" s="1198"/>
      <c r="C50" s="1368"/>
      <c r="D50" s="1172"/>
      <c r="E50" s="1277" t="s">
        <v>1406</v>
      </c>
      <c r="F50" s="1278">
        <f ca="1">F7</f>
        <v>26747.949999999997</v>
      </c>
      <c r="H50" s="793"/>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6"/>
      <c r="B51" s="1198"/>
      <c r="C51" s="1199"/>
      <c r="D51" s="1172"/>
      <c r="E51" s="1200" t="s">
        <v>1407</v>
      </c>
      <c r="F51" s="348">
        <f ca="1">F8</f>
        <v>365</v>
      </c>
      <c r="I51" s="1898" t="s">
        <v>1541</v>
      </c>
      <c r="J51" s="1899">
        <f>IF(J49="",J50,J49+J50-YEAR('数据-取费表'!B2))</f>
        <v>60</v>
      </c>
      <c r="K51" s="1900" t="s">
        <v>1542</v>
      </c>
      <c r="L51" s="1901">
        <f ca="1">ROUND(-PV(INDIRECT("'数据-取费表'!h"&amp;$G$1),L48,(C39-C13*C76),0),0)</f>
        <v>4481</v>
      </c>
      <c r="M51" s="1902"/>
      <c r="O51" s="1894" t="s">
        <v>1044</v>
      </c>
      <c r="P51" s="1885" t="s">
        <v>1543</v>
      </c>
      <c r="Q51" s="1897">
        <f>J52</f>
        <v>0.09</v>
      </c>
      <c r="R51" s="1886"/>
    </row>
    <row r="52" spans="1:18" s="1842" customFormat="1" ht="13.5" thickBot="1">
      <c r="A52" s="1196"/>
      <c r="B52" s="1198"/>
      <c r="C52" s="1199"/>
      <c r="D52" s="1172"/>
      <c r="E52" s="1200" t="s">
        <v>1408</v>
      </c>
      <c r="F52" s="1275"/>
      <c r="I52" s="1903" t="s">
        <v>1544</v>
      </c>
      <c r="J52" s="1904">
        <v>0.09</v>
      </c>
      <c r="K52" s="1903" t="s">
        <v>1545</v>
      </c>
      <c r="L52" s="1904"/>
      <c r="O52" s="1894" t="s">
        <v>1045</v>
      </c>
      <c r="P52" s="1885" t="s">
        <v>1546</v>
      </c>
      <c r="Q52" s="1886">
        <f ca="1">J53</f>
        <v>47.550000000000004</v>
      </c>
      <c r="R52" s="1886" t="s">
        <v>1547</v>
      </c>
    </row>
    <row r="53" spans="1:18" s="1842" customFormat="1" ht="24.75" thickBot="1">
      <c r="A53" s="1405" t="s">
        <v>1137</v>
      </c>
      <c r="B53" s="1831" t="s">
        <v>1409</v>
      </c>
      <c r="C53" s="361">
        <f ca="1">ROUND(IF(F53="押一",F49*F51*F50/12*F11,IF(F53="押二",F49*F51*F50/12*2*F11,IF(F53="押三",F49*F51*F50/12*3*F11,C54*F11)))/10000,0)</f>
        <v>0</v>
      </c>
      <c r="D53" s="1824" t="s">
        <v>3025</v>
      </c>
      <c r="E53" s="358" t="s">
        <v>1411</v>
      </c>
      <c r="F53" s="1366"/>
      <c r="I53" s="1905" t="s">
        <v>1548</v>
      </c>
      <c r="J53" s="1906">
        <f ca="1">IF(M47="住宅",J51,IF(D1="——",MIN(J51,L48),IF(D1="在建（套用方法）",MIN(J51,L48-'数据-取费表'!B24),IF(D1="土地（套用方法）",MIN(J51,L48-'数据-取费表'!B20)))))</f>
        <v>47.550000000000004</v>
      </c>
      <c r="K53" s="3248" t="s">
        <v>1549</v>
      </c>
      <c r="L53" s="3249"/>
      <c r="O53" s="1884" t="s">
        <v>1046</v>
      </c>
      <c r="P53" s="1885" t="s">
        <v>1550</v>
      </c>
      <c r="Q53" s="1886">
        <f ca="1">Q47+Q48</f>
        <v>25481</v>
      </c>
      <c r="R53" s="1886" t="s">
        <v>1047</v>
      </c>
    </row>
    <row r="54" spans="1:18" s="1842" customFormat="1" ht="13.5" thickBot="1">
      <c r="A54" s="1406"/>
      <c r="B54" s="1825" t="s">
        <v>1388</v>
      </c>
      <c r="C54" s="1178"/>
      <c r="D54" s="1824"/>
      <c r="E54" s="2939"/>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3" t="s">
        <v>1075</v>
      </c>
      <c r="B55" s="1827" t="s">
        <v>1414</v>
      </c>
      <c r="C55" s="1334"/>
      <c r="D55" s="1824"/>
      <c r="E55" s="2939"/>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6">
        <v>2</v>
      </c>
      <c r="B56" s="1177" t="s">
        <v>1415</v>
      </c>
      <c r="C56" s="276">
        <f ca="1">C13</f>
        <v>8500</v>
      </c>
      <c r="D56" s="1914"/>
      <c r="E56" s="1915"/>
      <c r="F56" s="1907"/>
      <c r="I56" s="1916" t="s">
        <v>1555</v>
      </c>
      <c r="J56" s="1917" t="s">
        <v>3115</v>
      </c>
      <c r="K56" s="1887" t="s">
        <v>1556</v>
      </c>
      <c r="L56" s="1890" t="str">
        <f ca="1">IF(L48&lt;J51,"——",L48-J53)</f>
        <v>——</v>
      </c>
      <c r="O56" s="1884" t="s">
        <v>1040</v>
      </c>
      <c r="P56" s="1885" t="s">
        <v>1529</v>
      </c>
      <c r="Q56" s="1886">
        <f ca="1">C40+J29</f>
        <v>25481</v>
      </c>
      <c r="R56" s="1886" t="s">
        <v>1530</v>
      </c>
    </row>
    <row r="57" spans="1:18" s="1842" customFormat="1" ht="24.75" thickBot="1">
      <c r="A57" s="1918"/>
      <c r="B57" s="1169" t="s">
        <v>1479</v>
      </c>
      <c r="C57" s="282">
        <f ca="1">C29</f>
        <v>8500</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60" t="s">
        <v>1030</v>
      </c>
      <c r="B58" s="1177" t="s">
        <v>1425</v>
      </c>
      <c r="C58" s="361">
        <f ca="1">ROUND(C59+C64+C65+C66,0)</f>
        <v>213</v>
      </c>
      <c r="D58" s="1179" t="s">
        <v>1426</v>
      </c>
      <c r="E58" s="1180"/>
      <c r="F58" s="1181"/>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1" t="s">
        <v>1035</v>
      </c>
      <c r="B59" s="1169" t="s">
        <v>1430</v>
      </c>
      <c r="C59" s="24">
        <f ca="1">ROUND(IF(项目基本情况!B11="自然人",C48*F59,C60+C61+C62),1)</f>
        <v>72.5</v>
      </c>
      <c r="D59" s="1182" t="s">
        <v>1431</v>
      </c>
      <c r="E59" s="1183" t="s">
        <v>1432</v>
      </c>
      <c r="F59" s="368"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1" t="s">
        <v>1034</v>
      </c>
      <c r="B60" s="1169" t="s">
        <v>1434</v>
      </c>
      <c r="C60" s="24">
        <f ca="1">IF(项目基本情况!B11="自然人","——",ROUND(C48*F60/(1+'数据-取费表'!C42),2))</f>
        <v>0</v>
      </c>
      <c r="D60" s="1183" t="s">
        <v>1435</v>
      </c>
      <c r="E60" s="1169" t="s">
        <v>1423</v>
      </c>
      <c r="F60" s="377">
        <f t="shared" ref="F60:F66" si="0">F32</f>
        <v>5.5000000000000007E-2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1" t="s">
        <v>1493</v>
      </c>
      <c r="B61" s="1169" t="s">
        <v>1438</v>
      </c>
      <c r="C61" s="24">
        <f ca="1">IF(项目基本情况!B11="自然人","——",IF(D61="按租金收入计税",ROUND(C48*F61,2),IF(D61="按房产原值计税",ROUND(C57*F61*0.7,2),INDIRECT("'数据-取费表'!Aj"&amp;$G$1))))</f>
        <v>71.400000000000006</v>
      </c>
      <c r="D61" s="1828" t="s">
        <v>1439</v>
      </c>
      <c r="E61" s="1169" t="s">
        <v>1423</v>
      </c>
      <c r="F61" s="367">
        <f t="shared" si="0"/>
        <v>1.2E-2</v>
      </c>
      <c r="I61" s="1928"/>
      <c r="J61" s="1928"/>
      <c r="K61" s="1928"/>
      <c r="L61" s="1928"/>
      <c r="O61" s="1894" t="s">
        <v>1045</v>
      </c>
      <c r="P61" s="1885" t="str">
        <f>K59</f>
        <v>续建工期及建筑物耐用年限下的土地年期修正系数Kn</v>
      </c>
      <c r="Q61" s="1886" t="e">
        <f ca="1">L59</f>
        <v>#DIV/0!</v>
      </c>
      <c r="R61" s="1886" t="s">
        <v>1570</v>
      </c>
    </row>
    <row r="62" spans="1:18" s="1842" customFormat="1" ht="13.5" thickBot="1">
      <c r="A62" s="1201" t="s">
        <v>1496</v>
      </c>
      <c r="B62" s="1168" t="s">
        <v>1442</v>
      </c>
      <c r="C62" s="25">
        <f ca="1">IF(项目基本情况!B11="自然人","——",ROUND(F62*F63/10000,2))</f>
        <v>1.1399999999999999</v>
      </c>
      <c r="D62" s="1184" t="s">
        <v>1443</v>
      </c>
      <c r="E62" s="1169" t="s">
        <v>1444</v>
      </c>
      <c r="F62" s="371">
        <f t="shared" si="0"/>
        <v>1.5</v>
      </c>
      <c r="I62" s="1929" t="s">
        <v>1571</v>
      </c>
      <c r="J62" s="1930" t="s">
        <v>1572</v>
      </c>
      <c r="K62" s="1930" t="s">
        <v>1573</v>
      </c>
      <c r="L62" s="1930" t="s">
        <v>1574</v>
      </c>
      <c r="M62" s="1931" t="s">
        <v>1575</v>
      </c>
      <c r="O62" s="1884" t="s">
        <v>1046</v>
      </c>
      <c r="P62" s="1885" t="s">
        <v>1550</v>
      </c>
      <c r="Q62" s="1886">
        <f ca="1">Q56+Q57</f>
        <v>25481</v>
      </c>
      <c r="R62" s="1886" t="s">
        <v>1047</v>
      </c>
    </row>
    <row r="63" spans="1:18" s="1842" customFormat="1" ht="13.5" thickBot="1">
      <c r="A63" s="372"/>
      <c r="B63" s="1175"/>
      <c r="C63" s="29"/>
      <c r="D63" s="1185"/>
      <c r="E63" s="1169" t="s">
        <v>1448</v>
      </c>
      <c r="F63" s="348">
        <f t="shared" ca="1" si="0"/>
        <v>7616.6900000000005</v>
      </c>
      <c r="I63" s="1929" t="s">
        <v>1577</v>
      </c>
      <c r="J63" s="1930">
        <v>70</v>
      </c>
      <c r="K63" s="1930">
        <v>50</v>
      </c>
      <c r="L63" s="1930">
        <v>80</v>
      </c>
      <c r="M63" s="1932">
        <v>0.02</v>
      </c>
      <c r="O63" s="1869" t="s">
        <v>1578</v>
      </c>
      <c r="P63" s="1839"/>
      <c r="Q63" s="1839"/>
      <c r="R63" s="1839"/>
    </row>
    <row r="64" spans="1:18" s="1842" customFormat="1" ht="13.5" thickBot="1">
      <c r="A64" s="1201" t="s">
        <v>1039</v>
      </c>
      <c r="B64" s="1169" t="s">
        <v>1450</v>
      </c>
      <c r="C64" s="24">
        <f ca="1">ROUND(C57*F64,1)</f>
        <v>127.5</v>
      </c>
      <c r="D64" s="1183" t="s">
        <v>1483</v>
      </c>
      <c r="E64" s="1169" t="s">
        <v>1423</v>
      </c>
      <c r="F64" s="374">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1" t="s">
        <v>1504</v>
      </c>
      <c r="B65" s="1169" t="s">
        <v>1454</v>
      </c>
      <c r="C65" s="24">
        <f ca="1">ROUND(C56*F65,1)</f>
        <v>12.8</v>
      </c>
      <c r="D65" s="1183" t="s">
        <v>1455</v>
      </c>
      <c r="E65" s="1169" t="s">
        <v>1423</v>
      </c>
      <c r="F65" s="376">
        <f t="shared" ca="1" si="0"/>
        <v>1.5E-3</v>
      </c>
      <c r="I65" s="1929" t="s">
        <v>1580</v>
      </c>
      <c r="J65" s="1930">
        <v>40</v>
      </c>
      <c r="K65" s="1930">
        <v>30</v>
      </c>
      <c r="L65" s="1930">
        <v>50</v>
      </c>
      <c r="M65" s="1932">
        <v>0.02</v>
      </c>
      <c r="O65" s="1884" t="s">
        <v>1040</v>
      </c>
      <c r="P65" s="1885" t="s">
        <v>1529</v>
      </c>
      <c r="Q65" s="1886">
        <f ca="1">C40+J29</f>
        <v>25481</v>
      </c>
      <c r="R65" s="1886" t="s">
        <v>1530</v>
      </c>
    </row>
    <row r="66" spans="1:18" s="1842" customFormat="1" ht="16.5" thickBot="1">
      <c r="A66" s="1201" t="s">
        <v>1505</v>
      </c>
      <c r="B66" s="1169" t="s">
        <v>1440</v>
      </c>
      <c r="C66" s="24">
        <f ca="1">ROUND(C48*F66,1)</f>
        <v>0</v>
      </c>
      <c r="D66" s="1183" t="s">
        <v>1460</v>
      </c>
      <c r="E66" s="1169" t="s">
        <v>1423</v>
      </c>
      <c r="F66" s="357">
        <f t="shared" ca="1" si="0"/>
        <v>1.4999999999999999E-2</v>
      </c>
      <c r="O66" s="1884" t="s">
        <v>1041</v>
      </c>
      <c r="P66" s="1885" t="s">
        <v>1559</v>
      </c>
      <c r="Q66" s="1886">
        <f ca="1">L60</f>
        <v>0</v>
      </c>
      <c r="R66" s="1886" t="s">
        <v>1582</v>
      </c>
    </row>
    <row r="67" spans="1:18" s="1842" customFormat="1" ht="16.5" thickBot="1">
      <c r="A67" s="1176" t="s">
        <v>1031</v>
      </c>
      <c r="B67" s="1186" t="s">
        <v>1464</v>
      </c>
      <c r="C67" s="361">
        <f ca="1">C48-C58</f>
        <v>-213</v>
      </c>
      <c r="D67" s="1182" t="s">
        <v>1465</v>
      </c>
      <c r="E67" s="1187"/>
      <c r="F67" s="1188"/>
      <c r="O67" s="1894" t="s">
        <v>1042</v>
      </c>
      <c r="P67" s="1885" t="s">
        <v>1563</v>
      </c>
      <c r="Q67" s="1933">
        <f ca="1">L51</f>
        <v>4481</v>
      </c>
      <c r="R67" s="1886" t="s">
        <v>1583</v>
      </c>
    </row>
    <row r="68" spans="1:18" s="1842" customFormat="1" ht="16.5" thickBot="1">
      <c r="A68" s="1166" t="s">
        <v>1032</v>
      </c>
      <c r="B68" s="1167" t="s">
        <v>1486</v>
      </c>
      <c r="C68" s="346">
        <f ca="1">ROUND(C67*(1-((1+F70)/(1+F68))^F69)/(F68-F70),0)</f>
        <v>-3841</v>
      </c>
      <c r="D68" s="1184" t="s">
        <v>1470</v>
      </c>
      <c r="E68" s="1169" t="s">
        <v>1471</v>
      </c>
      <c r="F68" s="357">
        <f ca="1">F40</f>
        <v>0.05</v>
      </c>
      <c r="O68" s="1894" t="s">
        <v>1043</v>
      </c>
      <c r="P68" s="1934" t="s">
        <v>1584</v>
      </c>
      <c r="Q68" s="1886">
        <f ca="1">ROUND(Q69-Q70*Q71,0)</f>
        <v>212</v>
      </c>
      <c r="R68" s="1886" t="s">
        <v>1051</v>
      </c>
    </row>
    <row r="69" spans="1:18" s="1842" customFormat="1" ht="13.5" thickBot="1">
      <c r="A69" s="1170"/>
      <c r="B69" s="1171"/>
      <c r="C69" s="351"/>
      <c r="D69" s="1189" t="s">
        <v>1474</v>
      </c>
      <c r="E69" s="1169" t="s">
        <v>1475</v>
      </c>
      <c r="F69" s="379">
        <f ca="1">F41</f>
        <v>47.550000000000004</v>
      </c>
      <c r="O69" s="1894" t="s">
        <v>1048</v>
      </c>
      <c r="P69" s="1934" t="s">
        <v>1585</v>
      </c>
      <c r="Q69" s="1886">
        <f ca="1">C39</f>
        <v>934</v>
      </c>
      <c r="R69" s="1886" t="s">
        <v>1530</v>
      </c>
    </row>
    <row r="70" spans="1:18" s="1842" customFormat="1" ht="13.5" thickBot="1">
      <c r="A70" s="1173"/>
      <c r="B70" s="1174"/>
      <c r="C70" s="355"/>
      <c r="D70" s="1185"/>
      <c r="E70" s="1169" t="s">
        <v>1478</v>
      </c>
      <c r="F70" s="1275"/>
      <c r="O70" s="1894" t="s">
        <v>1049</v>
      </c>
      <c r="P70" s="1934" t="s">
        <v>1586</v>
      </c>
      <c r="Q70" s="1886">
        <f ca="1">C13</f>
        <v>8500</v>
      </c>
      <c r="R70" s="1886" t="s">
        <v>1530</v>
      </c>
    </row>
    <row r="71" spans="1:18" s="1842" customFormat="1" ht="13.5" thickBot="1">
      <c r="A71" s="1190" t="s">
        <v>1033</v>
      </c>
      <c r="B71" s="1191" t="s">
        <v>1488</v>
      </c>
      <c r="C71" s="382">
        <f ca="1">ROUND(C68*10000/F71,0)</f>
        <v>-1436</v>
      </c>
      <c r="D71" s="1192" t="s">
        <v>1489</v>
      </c>
      <c r="E71" s="1193" t="s">
        <v>1490</v>
      </c>
      <c r="F71" s="385">
        <f ca="1">F43</f>
        <v>26747.949999999997</v>
      </c>
      <c r="O71" s="1894" t="s">
        <v>1050</v>
      </c>
      <c r="P71" s="1934" t="s">
        <v>1587</v>
      </c>
      <c r="Q71" s="1897">
        <f ca="1">C76</f>
        <v>8.5000000000000006E-2</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续建工期及建筑物耐用年限下的土地年期修正系数Kn</v>
      </c>
      <c r="Q74" s="1886" t="e">
        <f ca="1">L59</f>
        <v>#DIV/0!</v>
      </c>
      <c r="R74" s="1886" t="s">
        <v>1570</v>
      </c>
    </row>
    <row r="75" spans="1:18" ht="13.5" thickBot="1">
      <c r="A75" s="1842"/>
      <c r="B75" s="386" t="s">
        <v>1507</v>
      </c>
      <c r="C75" s="387">
        <f ca="1">ROUND(C13*C76,0)</f>
        <v>723</v>
      </c>
      <c r="D75" s="1842"/>
      <c r="E75" s="1842"/>
      <c r="F75" s="1842"/>
      <c r="K75" s="1868"/>
      <c r="L75" s="1842"/>
      <c r="O75" s="1884" t="s">
        <v>1046</v>
      </c>
      <c r="P75" s="1885" t="s">
        <v>1550</v>
      </c>
      <c r="Q75" s="1886">
        <f ca="1">Q65+Q66</f>
        <v>25481</v>
      </c>
      <c r="R75" s="1886" t="s">
        <v>1047</v>
      </c>
    </row>
    <row r="76" spans="1:18">
      <c r="B76" s="388" t="s">
        <v>1508</v>
      </c>
      <c r="C76" s="389">
        <f ca="1">INDIRECT("'数据-取费表'!j"&amp;$G$1)</f>
        <v>8.5000000000000006E-2</v>
      </c>
      <c r="I76" s="1842"/>
      <c r="J76" s="1842"/>
      <c r="K76" s="1868"/>
      <c r="L76" s="1842"/>
    </row>
    <row r="77" spans="1:18">
      <c r="B77" s="390" t="s">
        <v>1509</v>
      </c>
      <c r="C77" s="391"/>
      <c r="I77" s="1842"/>
      <c r="J77" s="1842"/>
      <c r="K77" s="1868"/>
      <c r="L77" s="1842"/>
    </row>
    <row r="78" spans="1:18">
      <c r="B78" s="314" t="s">
        <v>1510</v>
      </c>
      <c r="C78" s="392"/>
    </row>
    <row r="79" spans="1:18">
      <c r="B79" s="386" t="s">
        <v>1511</v>
      </c>
      <c r="C79" s="318">
        <f ca="1">1-C80</f>
        <v>0.22599999999999998</v>
      </c>
    </row>
    <row r="80" spans="1:18">
      <c r="B80" s="386" t="s">
        <v>1512</v>
      </c>
      <c r="C80" s="318">
        <f ca="1">ROUND(C75/C39,3)</f>
        <v>0.77400000000000002</v>
      </c>
    </row>
    <row r="81" spans="2:3">
      <c r="B81" s="314" t="s">
        <v>1513</v>
      </c>
      <c r="C81" s="282"/>
    </row>
    <row r="82" spans="2:3">
      <c r="B82" s="317" t="s">
        <v>1514</v>
      </c>
      <c r="C82" s="319">
        <f ca="1">1-C83</f>
        <v>0.66599999999999993</v>
      </c>
    </row>
    <row r="83" spans="2:3">
      <c r="B83" s="317" t="s">
        <v>1515</v>
      </c>
      <c r="C83" s="318">
        <f ca="1">ROUND(C13/C40,3)</f>
        <v>0.33400000000000002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1622</v>
      </c>
      <c r="B1" s="1959"/>
      <c r="C1" s="1959"/>
      <c r="D1" s="1959"/>
      <c r="E1" s="1959"/>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61"/>
      <c r="B4" s="2992" t="s">
        <v>1631</v>
      </c>
      <c r="C4" s="2992"/>
      <c r="D4" s="2992"/>
      <c r="E4" s="1961"/>
    </row>
    <row r="5" spans="1:5" ht="16.5" thickTop="1">
      <c r="A5" s="1959"/>
      <c r="B5" s="2990" t="s">
        <v>1623</v>
      </c>
      <c r="C5" s="1962" t="s">
        <v>1624</v>
      </c>
      <c r="D5" s="1040">
        <f ca="1">结果表!H101</f>
        <v>66986</v>
      </c>
      <c r="E5" s="1959"/>
    </row>
    <row r="6" spans="1:5" ht="15.75">
      <c r="A6" s="1959"/>
      <c r="B6" s="2990"/>
      <c r="C6" s="1962" t="s">
        <v>1625</v>
      </c>
      <c r="D6" s="1040" t="str">
        <f ca="1">NUMBERSTRING(INT(D5*10000),2)&amp;"元整"</f>
        <v>陆亿陆仟玖佰捌拾陆万元整</v>
      </c>
      <c r="E6" s="1959"/>
    </row>
    <row r="7" spans="1:5" ht="15.75">
      <c r="A7" s="1959"/>
      <c r="B7" s="2995"/>
      <c r="C7" s="1963" t="s">
        <v>1626</v>
      </c>
      <c r="D7" s="1041">
        <f ca="1">结果表!H102</f>
        <v>7861</v>
      </c>
      <c r="E7" s="1959"/>
    </row>
    <row r="8" spans="1:5" ht="15.75">
      <c r="A8" s="1959"/>
      <c r="B8" s="2996" t="str">
        <f>结果表!E103</f>
        <v>2.估价师知悉的法定优先受偿款</v>
      </c>
      <c r="C8" s="1964" t="s">
        <v>1627</v>
      </c>
      <c r="D8" s="1041">
        <f>结果表!H103</f>
        <v>0</v>
      </c>
      <c r="E8" s="1959"/>
    </row>
    <row r="9" spans="1:5" ht="15.75">
      <c r="A9" s="1959"/>
      <c r="B9" s="2998"/>
      <c r="C9" s="1962" t="s">
        <v>1625</v>
      </c>
      <c r="D9" s="1040" t="str">
        <f>NUMBERSTRING(INT(D8*10000),2)&amp;"元整"</f>
        <v>零元整</v>
      </c>
      <c r="E9" s="1959"/>
    </row>
    <row r="10" spans="1:5" ht="15">
      <c r="A10" s="1959"/>
      <c r="B10" s="1965" t="s">
        <v>1630</v>
      </c>
      <c r="C10" s="1966" t="s">
        <v>1628</v>
      </c>
      <c r="D10" s="1042">
        <f>结果表!H104</f>
        <v>0</v>
      </c>
      <c r="E10" s="1959"/>
    </row>
    <row r="11" spans="1:5" ht="15">
      <c r="A11" s="1959"/>
      <c r="B11" s="1965" t="s">
        <v>1632</v>
      </c>
      <c r="C11" s="1966" t="s">
        <v>1633</v>
      </c>
      <c r="D11" s="1042">
        <f>结果表!H105</f>
        <v>0</v>
      </c>
      <c r="E11" s="1959"/>
    </row>
    <row r="12" spans="1:5" ht="15">
      <c r="A12" s="1959"/>
      <c r="B12" s="1965" t="s">
        <v>1634</v>
      </c>
      <c r="C12" s="1966" t="s">
        <v>1633</v>
      </c>
      <c r="D12" s="1042">
        <f>结果表!H106</f>
        <v>0</v>
      </c>
      <c r="E12" s="1959"/>
    </row>
    <row r="13" spans="1:5" ht="15.75">
      <c r="A13" s="1959"/>
      <c r="B13" s="2989" t="str">
        <f>结果表!E107</f>
        <v>3.房地产抵押价值</v>
      </c>
      <c r="C13" s="1967" t="s">
        <v>1624</v>
      </c>
      <c r="D13" s="1043">
        <f ca="1">结果表!H107</f>
        <v>66986</v>
      </c>
      <c r="E13" s="1959"/>
    </row>
    <row r="14" spans="1:5" ht="15.75">
      <c r="A14" s="1959"/>
      <c r="B14" s="2990"/>
      <c r="C14" s="1962" t="s">
        <v>1625</v>
      </c>
      <c r="D14" s="1040" t="str">
        <f ca="1">NUMBERSTRING(INT(D13*10000),2)&amp;"元整"</f>
        <v>陆亿陆仟玖佰捌拾陆万元整</v>
      </c>
      <c r="E14" s="1959"/>
    </row>
    <row r="15" spans="1:5" ht="15">
      <c r="A15" s="1959"/>
      <c r="B15" s="2995"/>
      <c r="C15" s="1963" t="s">
        <v>1635</v>
      </c>
      <c r="D15" s="1052">
        <f ca="1">结果表!H108</f>
        <v>7861</v>
      </c>
      <c r="E15" s="1959"/>
    </row>
    <row r="16" spans="1:5" ht="15">
      <c r="A16" s="1959"/>
      <c r="B16" s="2996" t="str">
        <f>结果表!E109</f>
        <v>——</v>
      </c>
      <c r="C16" s="1967" t="s">
        <v>1636</v>
      </c>
      <c r="D16" s="1968" t="str">
        <f>结果表!H109</f>
        <v>——</v>
      </c>
      <c r="E16" s="1959"/>
    </row>
    <row r="17" spans="1:5" ht="15.75">
      <c r="A17" s="1959"/>
      <c r="B17" s="2997"/>
      <c r="C17" s="1962" t="s">
        <v>1637</v>
      </c>
      <c r="D17" s="1040" t="e">
        <f>NUMBERSTRING(INT(D16*10000),2)&amp;"元整"</f>
        <v>#VALUE!</v>
      </c>
      <c r="E17" s="1959"/>
    </row>
    <row r="18" spans="1:5" ht="15">
      <c r="A18" s="1959"/>
      <c r="B18" s="2998"/>
      <c r="C18" s="1963" t="s">
        <v>1626</v>
      </c>
      <c r="D18" s="1052" t="str">
        <f>结果表!H110</f>
        <v>——</v>
      </c>
      <c r="E18" s="1959"/>
    </row>
    <row r="19" spans="1:5" ht="15.75">
      <c r="A19" s="1959"/>
      <c r="B19" s="2989" t="str">
        <f>结果表!E111</f>
        <v>——</v>
      </c>
      <c r="C19" s="1967" t="s">
        <v>1624</v>
      </c>
      <c r="D19" s="1041" t="str">
        <f>结果表!H111</f>
        <v>——</v>
      </c>
      <c r="E19" s="1959"/>
    </row>
    <row r="20" spans="1:5" ht="15.75">
      <c r="A20" s="1959"/>
      <c r="B20" s="2990"/>
      <c r="C20" s="1962" t="s">
        <v>1637</v>
      </c>
      <c r="D20" s="1040" t="e">
        <f>NUMBERSTRING(INT(D19*10000),2)&amp;"元整"</f>
        <v>#VALUE!</v>
      </c>
      <c r="E20" s="1959"/>
    </row>
    <row r="21" spans="1:5" ht="15.75" thickBot="1">
      <c r="A21" s="1959"/>
      <c r="B21" s="2991"/>
      <c r="C21" s="1969" t="s">
        <v>1635</v>
      </c>
      <c r="D21" s="1053" t="str">
        <f>结果表!H112</f>
        <v>——</v>
      </c>
      <c r="E21" s="1959"/>
    </row>
    <row r="22" spans="1:5" ht="15" thickTop="1">
      <c r="A22" s="1959"/>
      <c r="B22" s="1970" t="s">
        <v>1638</v>
      </c>
      <c r="C22" s="1959"/>
      <c r="D22" s="1959"/>
      <c r="E22" s="1959"/>
    </row>
    <row r="23" spans="1:5">
      <c r="A23" s="1959"/>
      <c r="B23" s="1959"/>
      <c r="C23" s="1959"/>
      <c r="D23" s="1959"/>
      <c r="E23" s="1959"/>
    </row>
    <row r="24" spans="1:5" ht="18.75">
      <c r="A24" s="1971"/>
      <c r="B24" s="1972" t="s">
        <v>1629</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308" t="s">
        <v>3001</v>
      </c>
      <c r="D1" s="3309"/>
      <c r="E1" s="3309"/>
      <c r="F1" s="3309"/>
      <c r="G1" s="3309"/>
      <c r="H1" s="3309"/>
      <c r="I1" s="3309"/>
      <c r="J1" s="3309"/>
      <c r="K1" s="3309"/>
      <c r="L1" s="3309"/>
      <c r="M1" s="3309"/>
      <c r="N1" s="3309"/>
      <c r="O1" s="3309"/>
      <c r="P1" s="3309"/>
      <c r="Q1" s="3309"/>
      <c r="R1" s="3309"/>
      <c r="S1" s="3310"/>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3010</v>
      </c>
      <c r="B17" s="2913"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15" t="s">
        <v>3014</v>
      </c>
      <c r="E20" s="1793"/>
      <c r="F20" s="1204" t="e">
        <f ca="1">SUMIF(INDIRECT("'"&amp;H20&amp;"'"&amp;"!A:A"),"承租人权益价值",INDIRECT("'"&amp;H20&amp;"'"&amp;"!c:c"))</f>
        <v>#REF!</v>
      </c>
      <c r="G20" s="1204" t="s">
        <v>3015</v>
      </c>
      <c r="H20" s="2916"/>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87" t="s">
        <v>33</v>
      </c>
      <c r="D22" s="3088"/>
      <c r="E22" s="3088"/>
      <c r="F22" s="3088"/>
      <c r="G22" s="3088"/>
      <c r="H22" s="3088"/>
      <c r="I22" s="3088"/>
      <c r="J22" s="3088"/>
      <c r="K22" s="3088"/>
      <c r="L22" s="3088"/>
      <c r="M22" s="3088"/>
      <c r="N22" s="3088"/>
      <c r="O22" s="3088"/>
      <c r="P22" s="3088"/>
      <c r="Q22" s="3307"/>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47141</v>
      </c>
      <c r="C2" s="2" t="s">
        <v>133</v>
      </c>
      <c r="D2" s="243"/>
      <c r="E2" s="243"/>
      <c r="F2" s="243"/>
      <c r="G2" s="243"/>
    </row>
    <row r="3" spans="1:7" s="244" customFormat="1" ht="18" customHeight="1" thickBot="1">
      <c r="A3" s="247" t="s">
        <v>85</v>
      </c>
      <c r="B3" s="248">
        <f ca="1">ROUND(B2*10000/'数据-汇总表'!E3,0)</f>
        <v>5532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780</v>
      </c>
      <c r="D9" s="1032">
        <f>'数据-汇总表'!E5</f>
        <v>51979.809999999961</v>
      </c>
      <c r="E9" s="269">
        <f>'数据-取费表'!B27</f>
        <v>150</v>
      </c>
      <c r="F9" s="265"/>
      <c r="G9" s="270"/>
    </row>
    <row r="10" spans="1:7" s="258" customFormat="1" ht="13.5" customHeight="1">
      <c r="A10" s="950" t="s">
        <v>801</v>
      </c>
      <c r="B10" s="268" t="s">
        <v>94</v>
      </c>
      <c r="C10" s="269">
        <f>ROUND(D10*E10/10000,0)</f>
        <v>631</v>
      </c>
      <c r="D10" s="1032">
        <f>'数据-汇总表'!E6</f>
        <v>33235.870000000003</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767</v>
      </c>
      <c r="D19" s="1036">
        <f>'数据-汇总表'!E3</f>
        <v>85215.679999999964</v>
      </c>
      <c r="E19" s="255">
        <f>'数据-取费表'!B31</f>
        <v>90</v>
      </c>
      <c r="F19" s="275"/>
      <c r="G19" s="1" t="s">
        <v>1074</v>
      </c>
    </row>
    <row r="20" spans="1:7" s="258" customFormat="1" ht="13.5" customHeight="1">
      <c r="A20" s="948" t="s">
        <v>1057</v>
      </c>
      <c r="B20" s="254" t="s">
        <v>104</v>
      </c>
      <c r="C20" s="276">
        <f>ROUND((C5+C19)*F20,0)</f>
        <v>428</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1664</v>
      </c>
      <c r="D22" s="279">
        <f ca="1">C26</f>
        <v>8.0000000000000004E-4</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1589</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59</v>
      </c>
      <c r="D24" s="282"/>
      <c r="E24" s="282"/>
      <c r="F24" s="283"/>
      <c r="G24" s="284" t="s">
        <v>109</v>
      </c>
    </row>
    <row r="25" spans="1:7" s="258" customFormat="1" ht="24">
      <c r="A25" s="951" t="s">
        <v>793</v>
      </c>
      <c r="B25" s="259" t="s">
        <v>1058</v>
      </c>
      <c r="C25" s="1355">
        <f ca="1">ROUND(IF('数据-取费表'!B22&lt;=1,C20*F22*'数据-取费表'!B23/2,C20*(POWER((1+F22),'数据-取费表'!B23/2)-1)),0)</f>
        <v>16</v>
      </c>
      <c r="D25" s="282"/>
      <c r="E25" s="285"/>
      <c r="F25" s="283"/>
      <c r="G25" s="286" t="s">
        <v>110</v>
      </c>
    </row>
    <row r="26" spans="1:7" s="258" customFormat="1">
      <c r="A26" s="951" t="s">
        <v>795</v>
      </c>
      <c r="B26" s="259" t="s">
        <v>1060</v>
      </c>
      <c r="C26" s="282">
        <f ca="1">ROUND(IF('数据-取费表'!B22&lt;=1,F21*F22*'数据-取费表'!B23/2,F21*(POWER((1+F22),'数据-取费表'!B23/2)-1)),4)</f>
        <v>8.0000000000000004E-4</v>
      </c>
      <c r="D26" s="282"/>
      <c r="E26" s="285"/>
      <c r="F26" s="283"/>
      <c r="G26" s="287"/>
    </row>
    <row r="27" spans="1:7" s="258" customFormat="1" ht="24.75">
      <c r="A27" s="948" t="s">
        <v>787</v>
      </c>
      <c r="B27" s="288" t="s">
        <v>112</v>
      </c>
      <c r="C27" s="289">
        <f>C28</f>
        <v>1221</v>
      </c>
      <c r="D27" s="279">
        <f>C29</f>
        <v>1.1000000000000001E-3</v>
      </c>
      <c r="E27" s="280" t="s">
        <v>126</v>
      </c>
      <c r="F27" s="290">
        <f>'数据-取费表'!Q16</f>
        <v>7.0000000000000007E-2</v>
      </c>
      <c r="G27" s="291" t="s">
        <v>1069</v>
      </c>
    </row>
    <row r="28" spans="1:7" s="258" customFormat="1" ht="13.5" customHeight="1">
      <c r="A28" s="951" t="s">
        <v>794</v>
      </c>
      <c r="B28" s="292" t="s">
        <v>1062</v>
      </c>
      <c r="C28" s="293">
        <f>ROUND((C5+C19+C20)*F27*'数据-取费表'!B21/'数据-取费表'!B20,0)</f>
        <v>1221</v>
      </c>
      <c r="D28" s="279"/>
      <c r="E28" s="280"/>
      <c r="F28" s="290"/>
      <c r="G28" s="291"/>
    </row>
    <row r="29" spans="1:7" s="258" customFormat="1" ht="13.5" customHeight="1">
      <c r="A29" s="951" t="s">
        <v>792</v>
      </c>
      <c r="B29" s="292" t="s">
        <v>1063</v>
      </c>
      <c r="C29" s="282">
        <f>ROUND(C21*F27*'数据-取费表'!B21/'数据-取费表'!B20,4)</f>
        <v>1.1000000000000001E-3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26671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16764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14582</v>
      </c>
      <c r="D34" s="261"/>
      <c r="E34" s="264"/>
      <c r="F34" s="301">
        <f>IF('数据-取费表'!B24=0,1,'数据-取费表'!N16)</f>
        <v>0.78100000000000003</v>
      </c>
      <c r="G34" s="263" t="s">
        <v>116</v>
      </c>
    </row>
    <row r="35" spans="1:7" ht="13.5" customHeight="1">
      <c r="A35" s="951" t="s">
        <v>796</v>
      </c>
      <c r="B35" s="259" t="s">
        <v>60</v>
      </c>
      <c r="C35" s="264">
        <f>ROUND(C34*F35,0)</f>
        <v>437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195</v>
      </c>
      <c r="D36" s="264"/>
      <c r="E36" s="264"/>
      <c r="F36" s="303">
        <f>'数据-取费表'!B34</f>
        <v>0.03</v>
      </c>
      <c r="G36" s="304" t="s">
        <v>62</v>
      </c>
    </row>
    <row r="37" spans="1:7" s="302" customFormat="1" ht="13.5" customHeight="1">
      <c r="A37" s="951" t="s">
        <v>798</v>
      </c>
      <c r="B37" s="259" t="s">
        <v>118</v>
      </c>
      <c r="C37" s="293">
        <f>ROUND(E37*D37*F34/10000,0)</f>
        <v>1331</v>
      </c>
      <c r="D37" s="261">
        <f>'数据-汇总表'!E3</f>
        <v>85215.679999999964</v>
      </c>
      <c r="E37" s="293">
        <f>'数据-取费表'!B35</f>
        <v>200</v>
      </c>
      <c r="F37" s="303"/>
      <c r="G37" s="305" t="s">
        <v>119</v>
      </c>
    </row>
    <row r="38" spans="1:7" ht="13.5" customHeight="1">
      <c r="A38" s="951" t="s">
        <v>799</v>
      </c>
      <c r="B38" s="259" t="s">
        <v>63</v>
      </c>
      <c r="C38" s="264">
        <f>ROUND(C34*F38,0)</f>
        <v>219</v>
      </c>
      <c r="D38" s="264"/>
      <c r="E38" s="264"/>
      <c r="F38" s="303">
        <f>'数据-取费表'!B36</f>
        <v>1.4999999999999999E-2</v>
      </c>
      <c r="G38" s="263" t="s">
        <v>117</v>
      </c>
    </row>
    <row r="39" spans="1:7" s="258" customFormat="1" ht="13.5" customHeight="1">
      <c r="A39" s="948" t="s">
        <v>783</v>
      </c>
      <c r="B39" s="254" t="s">
        <v>104</v>
      </c>
      <c r="C39" s="276">
        <f>ROUND(C33*F20,0)</f>
        <v>335</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647</v>
      </c>
      <c r="D41" s="279">
        <f ca="1">C44</f>
        <v>8.0000000000000004E-4</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634</v>
      </c>
      <c r="D42" s="282"/>
      <c r="E42" s="282"/>
      <c r="F42" s="283"/>
      <c r="G42" s="3172" t="s">
        <v>121</v>
      </c>
    </row>
    <row r="43" spans="1:7" ht="13.5" customHeight="1">
      <c r="A43" s="951" t="s">
        <v>792</v>
      </c>
      <c r="B43" s="259" t="s">
        <v>1064</v>
      </c>
      <c r="C43" s="282">
        <f ca="1">ROUND(IF('数据-取费表'!B22&lt;=1,C39*F22*'数据-取费表'!B21/2,C39*(POWER((1+F22),'数据-取费表'!B21/2)-1)),0)</f>
        <v>13</v>
      </c>
      <c r="D43" s="282"/>
      <c r="E43" s="282"/>
      <c r="F43" s="283"/>
      <c r="G43" s="3173"/>
    </row>
    <row r="44" spans="1:7" ht="13.5" customHeight="1">
      <c r="A44" s="951" t="s">
        <v>793</v>
      </c>
      <c r="B44" s="259" t="s">
        <v>1066</v>
      </c>
      <c r="C44" s="282">
        <f ca="1">ROUND(IF('数据-取费表'!B22&lt;=1,C40*F22*'数据-取费表'!B21/2,C40*(POWER((1+F22),'数据-取费表'!B21/2)-1)),4)</f>
        <v>8.0000000000000004E-4</v>
      </c>
      <c r="D44" s="282"/>
      <c r="E44" s="282"/>
      <c r="F44" s="283"/>
      <c r="G44" s="3174"/>
    </row>
    <row r="45" spans="1:7" s="258" customFormat="1" ht="13.5" customHeight="1">
      <c r="A45" s="948" t="s">
        <v>786</v>
      </c>
      <c r="B45" s="288" t="s">
        <v>112</v>
      </c>
      <c r="C45" s="289">
        <f>C46</f>
        <v>1197</v>
      </c>
      <c r="D45" s="279">
        <f>C47</f>
        <v>1.4E-3</v>
      </c>
      <c r="E45" s="280" t="s">
        <v>129</v>
      </c>
      <c r="F45" s="290"/>
      <c r="G45" s="291" t="s">
        <v>1072</v>
      </c>
    </row>
    <row r="46" spans="1:7" s="258" customFormat="1" ht="13.5" customHeight="1">
      <c r="A46" s="951" t="s">
        <v>794</v>
      </c>
      <c r="B46" s="292" t="s">
        <v>1065</v>
      </c>
      <c r="C46" s="293">
        <f>ROUND((C33+C39)*F27,0)</f>
        <v>1197</v>
      </c>
      <c r="D46" s="307"/>
      <c r="E46" s="280"/>
      <c r="F46" s="290"/>
      <c r="G46" s="291"/>
    </row>
    <row r="47" spans="1:7" s="258" customFormat="1" ht="13.5" customHeight="1">
      <c r="A47" s="951" t="s">
        <v>792</v>
      </c>
      <c r="B47" s="292" t="s">
        <v>1067</v>
      </c>
      <c r="C47" s="282">
        <f>ROUND(C40*F27,4)</f>
        <v>1.4E-3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20470</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20470</v>
      </c>
      <c r="D51" s="276"/>
      <c r="E51" s="276"/>
      <c r="F51" s="308"/>
      <c r="G51" s="278" t="s">
        <v>64</v>
      </c>
    </row>
    <row r="52" spans="1:7" s="252" customFormat="1" ht="16.5" thickBot="1">
      <c r="A52" s="309" t="s">
        <v>65</v>
      </c>
      <c r="B52" s="310"/>
      <c r="C52" s="311">
        <f ca="1">C31+C51</f>
        <v>47141</v>
      </c>
      <c r="D52" s="310"/>
      <c r="E52" s="310"/>
      <c r="F52" s="310"/>
      <c r="G52" s="312"/>
    </row>
    <row r="55" spans="1:7" ht="15">
      <c r="B55" s="314" t="s">
        <v>66</v>
      </c>
      <c r="C55" s="315"/>
    </row>
    <row r="56" spans="1:7">
      <c r="B56" s="317" t="s">
        <v>67</v>
      </c>
      <c r="C56" s="318">
        <f ca="1">ROUND(C51/C52,3)</f>
        <v>0.434</v>
      </c>
    </row>
    <row r="57" spans="1:7">
      <c r="B57" s="317" t="s">
        <v>68</v>
      </c>
      <c r="C57" s="319">
        <f ca="1">1-C56</f>
        <v>0.56600000000000006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1" t="s">
        <v>156</v>
      </c>
      <c r="B1" s="3311"/>
      <c r="C1" s="3311"/>
      <c r="D1" s="3311"/>
      <c r="E1" s="3311"/>
      <c r="F1" s="331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2" t="s">
        <v>169</v>
      </c>
      <c r="B2" s="3312"/>
      <c r="C2" s="3312"/>
      <c r="D2" s="3312"/>
      <c r="E2" s="3312"/>
      <c r="F2" s="331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1" t="s">
        <v>871</v>
      </c>
      <c r="B1" s="3311"/>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43111</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54"/>
  <sheetViews>
    <sheetView topLeftCell="A16" workbookViewId="0">
      <selection activeCell="J45" sqref="J45"/>
    </sheetView>
  </sheetViews>
  <sheetFormatPr defaultRowHeight="13.5"/>
  <cols>
    <col min="1" max="1" width="9" style="2945"/>
    <col min="2" max="2" width="20.25" style="2945" customWidth="1"/>
    <col min="3" max="3" width="12.625" style="2945" customWidth="1"/>
    <col min="4" max="4" width="11" style="2945" customWidth="1"/>
    <col min="5" max="6" width="9" style="2945"/>
    <col min="7" max="7" width="12.75" style="2945" customWidth="1"/>
    <col min="8" max="8" width="9.875" style="2945" customWidth="1"/>
    <col min="9" max="9" width="9.625" style="2945" customWidth="1"/>
    <col min="10" max="10" width="10" style="2945" customWidth="1"/>
    <col min="11" max="11" width="14.625" style="1635" customWidth="1"/>
    <col min="12" max="14" width="9" style="2945"/>
    <col min="15" max="16384" width="9" style="1635"/>
  </cols>
  <sheetData>
    <row r="2" spans="1:14">
      <c r="A2" s="2944" t="s">
        <v>3039</v>
      </c>
      <c r="B2" s="2944"/>
      <c r="L2" s="1635"/>
      <c r="M2" s="1635"/>
      <c r="N2" s="1635"/>
    </row>
    <row r="3" spans="1:14">
      <c r="A3" s="2968" t="s">
        <v>3122</v>
      </c>
      <c r="B3" s="2944"/>
      <c r="L3" s="1635"/>
      <c r="M3" s="1635"/>
      <c r="N3" s="1635"/>
    </row>
    <row r="4" spans="1:14">
      <c r="A4" s="2944" t="s">
        <v>3040</v>
      </c>
      <c r="B4" s="2944"/>
      <c r="L4" s="1635"/>
      <c r="M4" s="1635"/>
      <c r="N4" s="1635"/>
    </row>
    <row r="5" spans="1:14">
      <c r="A5" s="2946" t="s">
        <v>3041</v>
      </c>
      <c r="B5" s="2946"/>
      <c r="L5" s="1635"/>
      <c r="M5" s="1635"/>
      <c r="N5" s="1635"/>
    </row>
    <row r="6" spans="1:14">
      <c r="A6" s="3322" t="s">
        <v>3042</v>
      </c>
      <c r="B6" s="3322" t="s">
        <v>3043</v>
      </c>
      <c r="C6" s="3322" t="s">
        <v>3044</v>
      </c>
      <c r="D6" s="3315" t="s">
        <v>3045</v>
      </c>
      <c r="E6" s="3315"/>
      <c r="F6" s="3318" t="s">
        <v>3046</v>
      </c>
      <c r="G6" s="3319"/>
      <c r="H6" s="2947" t="s">
        <v>3047</v>
      </c>
      <c r="I6" s="3315" t="s">
        <v>3048</v>
      </c>
      <c r="J6" s="3315"/>
      <c r="L6" s="1635"/>
      <c r="M6" s="1635"/>
      <c r="N6" s="1635"/>
    </row>
    <row r="7" spans="1:14">
      <c r="A7" s="3322"/>
      <c r="B7" s="3322"/>
      <c r="C7" s="3322"/>
      <c r="D7" s="2947" t="s">
        <v>3047</v>
      </c>
      <c r="E7" s="2947" t="s">
        <v>3048</v>
      </c>
      <c r="F7" s="3320"/>
      <c r="G7" s="3321"/>
      <c r="H7" s="2947" t="s">
        <v>3049</v>
      </c>
      <c r="I7" s="2947" t="s">
        <v>3050</v>
      </c>
      <c r="J7" s="2947" t="s">
        <v>3051</v>
      </c>
      <c r="L7" s="1635"/>
      <c r="M7" s="1635"/>
      <c r="N7" s="1635"/>
    </row>
    <row r="8" spans="1:14">
      <c r="A8" s="2947">
        <v>1</v>
      </c>
      <c r="B8" s="2947" t="s">
        <v>3052</v>
      </c>
      <c r="C8" s="2947">
        <v>4497.32</v>
      </c>
      <c r="D8" s="2947">
        <v>2409.2800000000002</v>
      </c>
      <c r="E8" s="2947">
        <v>2088.04</v>
      </c>
      <c r="F8" s="2948"/>
      <c r="G8" s="2948"/>
      <c r="H8" s="2947">
        <v>2409.2800000000002</v>
      </c>
      <c r="I8" s="2947">
        <v>2059.25</v>
      </c>
      <c r="J8" s="2947">
        <v>28.79</v>
      </c>
      <c r="L8" s="1635"/>
      <c r="M8" s="1635"/>
      <c r="N8" s="1635"/>
    </row>
    <row r="9" spans="1:14">
      <c r="A9" s="2947">
        <v>2</v>
      </c>
      <c r="B9" s="2947" t="s">
        <v>3053</v>
      </c>
      <c r="C9" s="2947">
        <v>2912.62</v>
      </c>
      <c r="D9" s="2947">
        <v>1599.06</v>
      </c>
      <c r="E9" s="2947">
        <v>1313.56</v>
      </c>
      <c r="F9" s="2948"/>
      <c r="G9" s="2948"/>
      <c r="H9" s="2947">
        <v>1599.06</v>
      </c>
      <c r="I9" s="2947">
        <v>1289.77</v>
      </c>
      <c r="J9" s="2947">
        <v>23.79</v>
      </c>
      <c r="L9" s="1635"/>
      <c r="M9" s="1635"/>
      <c r="N9" s="1635"/>
    </row>
    <row r="10" spans="1:14">
      <c r="A10" s="2947">
        <v>3</v>
      </c>
      <c r="B10" s="2947" t="s">
        <v>3054</v>
      </c>
      <c r="C10" s="2947">
        <v>2641.38</v>
      </c>
      <c r="D10" s="2947">
        <v>1215.2</v>
      </c>
      <c r="E10" s="2947">
        <v>1426.18</v>
      </c>
      <c r="F10" s="2948"/>
      <c r="G10" s="2948"/>
      <c r="H10" s="2947">
        <v>1215.2</v>
      </c>
      <c r="I10" s="2947">
        <v>1410.87</v>
      </c>
      <c r="J10" s="2947">
        <v>15.31</v>
      </c>
      <c r="L10" s="1635"/>
      <c r="M10" s="1635"/>
      <c r="N10" s="1635"/>
    </row>
    <row r="11" spans="1:14">
      <c r="A11" s="2947">
        <v>4</v>
      </c>
      <c r="B11" s="2947" t="s">
        <v>3055</v>
      </c>
      <c r="C11" s="2947">
        <v>4616.92</v>
      </c>
      <c r="D11" s="2947">
        <v>2409.2800000000002</v>
      </c>
      <c r="E11" s="2947">
        <v>2207.64</v>
      </c>
      <c r="F11" s="2948"/>
      <c r="G11" s="2948"/>
      <c r="H11" s="2947">
        <v>2409.2800000000002</v>
      </c>
      <c r="I11" s="2947">
        <v>2192.2199999999998</v>
      </c>
      <c r="J11" s="2947">
        <v>15.42</v>
      </c>
      <c r="L11" s="1635"/>
      <c r="M11" s="1635"/>
      <c r="N11" s="1635"/>
    </row>
    <row r="12" spans="1:14">
      <c r="A12" s="2947">
        <v>5</v>
      </c>
      <c r="B12" s="2947" t="s">
        <v>3056</v>
      </c>
      <c r="C12" s="2947">
        <v>4524.2299999999996</v>
      </c>
      <c r="D12" s="2947">
        <v>2409.2800000000002</v>
      </c>
      <c r="E12" s="2947">
        <v>2114.9499999999998</v>
      </c>
      <c r="F12" s="2948"/>
      <c r="G12" s="2948"/>
      <c r="H12" s="2947">
        <v>2409.2800000000002</v>
      </c>
      <c r="I12" s="2947">
        <v>2099.5300000000002</v>
      </c>
      <c r="J12" s="2947">
        <v>15.42</v>
      </c>
      <c r="L12" s="1635"/>
      <c r="M12" s="1635"/>
      <c r="N12" s="1635"/>
    </row>
    <row r="13" spans="1:14">
      <c r="A13" s="2947">
        <v>6</v>
      </c>
      <c r="B13" s="2947" t="s">
        <v>3057</v>
      </c>
      <c r="C13" s="2947">
        <v>2641.38</v>
      </c>
      <c r="D13" s="2947">
        <v>1215.2</v>
      </c>
      <c r="E13" s="2947">
        <v>1426.18</v>
      </c>
      <c r="F13" s="2948"/>
      <c r="G13" s="2948"/>
      <c r="H13" s="2947">
        <v>1215.2</v>
      </c>
      <c r="I13" s="2947">
        <v>1410.87</v>
      </c>
      <c r="J13" s="2947">
        <v>15.31</v>
      </c>
      <c r="L13" s="1635"/>
      <c r="M13" s="1635"/>
      <c r="N13" s="1635"/>
    </row>
    <row r="14" spans="1:14">
      <c r="A14" s="2947">
        <v>7</v>
      </c>
      <c r="B14" s="2947" t="s">
        <v>3058</v>
      </c>
      <c r="C14" s="2947">
        <v>2641.38</v>
      </c>
      <c r="D14" s="2947">
        <v>1215.2</v>
      </c>
      <c r="E14" s="2947">
        <v>1426.18</v>
      </c>
      <c r="F14" s="2948"/>
      <c r="G14" s="2948"/>
      <c r="H14" s="2947">
        <v>1215.2</v>
      </c>
      <c r="I14" s="2947">
        <v>1410.87</v>
      </c>
      <c r="J14" s="2947">
        <v>15.31</v>
      </c>
      <c r="L14" s="1635"/>
      <c r="M14" s="1635"/>
      <c r="N14" s="1635"/>
    </row>
    <row r="15" spans="1:14">
      <c r="A15" s="2947">
        <v>8</v>
      </c>
      <c r="B15" s="2947" t="s">
        <v>3059</v>
      </c>
      <c r="C15" s="2947">
        <v>4529.1099999999997</v>
      </c>
      <c r="D15" s="2947">
        <v>2409.2800000000002</v>
      </c>
      <c r="E15" s="2947">
        <v>2119.83</v>
      </c>
      <c r="F15" s="2948"/>
      <c r="G15" s="2948"/>
      <c r="H15" s="2947">
        <v>2409.2800000000002</v>
      </c>
      <c r="I15" s="2947">
        <v>2104.41</v>
      </c>
      <c r="J15" s="2947">
        <v>15.42</v>
      </c>
      <c r="L15" s="1635"/>
      <c r="M15" s="1635"/>
      <c r="N15" s="1635"/>
    </row>
    <row r="16" spans="1:14">
      <c r="A16" s="2947">
        <v>9</v>
      </c>
      <c r="B16" s="2947" t="s">
        <v>3060</v>
      </c>
      <c r="C16" s="2947">
        <v>4527.5</v>
      </c>
      <c r="D16" s="2947">
        <v>2409.2800000000002</v>
      </c>
      <c r="E16" s="2947">
        <v>2118.2199999999998</v>
      </c>
      <c r="F16" s="2948"/>
      <c r="G16" s="2948"/>
      <c r="H16" s="2947">
        <v>2409.2800000000002</v>
      </c>
      <c r="I16" s="2947">
        <v>2102.8000000000002</v>
      </c>
      <c r="J16" s="2947">
        <v>15.42</v>
      </c>
      <c r="L16" s="1635"/>
      <c r="M16" s="1635"/>
      <c r="N16" s="1635"/>
    </row>
    <row r="17" spans="1:14">
      <c r="A17" s="2947">
        <v>10</v>
      </c>
      <c r="B17" s="2947" t="s">
        <v>3061</v>
      </c>
      <c r="C17" s="2947">
        <v>2641.38</v>
      </c>
      <c r="D17" s="2947">
        <v>1215.2</v>
      </c>
      <c r="E17" s="2947">
        <v>1426.18</v>
      </c>
      <c r="F17" s="2948"/>
      <c r="G17" s="2948"/>
      <c r="H17" s="2947">
        <v>1215.2</v>
      </c>
      <c r="I17" s="2947">
        <v>1410.87</v>
      </c>
      <c r="J17" s="2947">
        <v>15.31</v>
      </c>
      <c r="L17" s="1635"/>
      <c r="M17" s="1635"/>
      <c r="N17" s="1635"/>
    </row>
    <row r="18" spans="1:14">
      <c r="A18" s="2947">
        <v>11</v>
      </c>
      <c r="B18" s="2947" t="s">
        <v>3062</v>
      </c>
      <c r="C18" s="2947">
        <v>2471.0100000000002</v>
      </c>
      <c r="D18" s="2947">
        <v>1215.2</v>
      </c>
      <c r="E18" s="2947">
        <v>1255.81</v>
      </c>
      <c r="F18" s="2948"/>
      <c r="G18" s="2948"/>
      <c r="H18" s="2947">
        <v>1215.2</v>
      </c>
      <c r="I18" s="2947">
        <v>1240.5</v>
      </c>
      <c r="J18" s="2947">
        <v>15.31</v>
      </c>
      <c r="L18" s="1635"/>
      <c r="M18" s="1635"/>
      <c r="N18" s="1635"/>
    </row>
    <row r="19" spans="1:14">
      <c r="A19" s="2947">
        <v>12</v>
      </c>
      <c r="B19" s="2947" t="s">
        <v>3063</v>
      </c>
      <c r="C19" s="2947">
        <v>3038.19</v>
      </c>
      <c r="D19" s="2947">
        <v>1617.3</v>
      </c>
      <c r="E19" s="2947">
        <v>1420.89</v>
      </c>
      <c r="F19" s="2948"/>
      <c r="G19" s="2948"/>
      <c r="H19" s="2947">
        <v>1617.3</v>
      </c>
      <c r="I19" s="2947">
        <v>1397.24</v>
      </c>
      <c r="J19" s="2947">
        <v>23.65</v>
      </c>
      <c r="L19" s="1635"/>
      <c r="M19" s="1635"/>
      <c r="N19" s="1635"/>
    </row>
    <row r="20" spans="1:14">
      <c r="A20" s="2947">
        <v>13</v>
      </c>
      <c r="B20" s="2947" t="s">
        <v>3064</v>
      </c>
      <c r="C20" s="2947">
        <v>3187.67</v>
      </c>
      <c r="D20" s="2947">
        <v>1617.3</v>
      </c>
      <c r="E20" s="2947">
        <v>1570.37</v>
      </c>
      <c r="F20" s="2948"/>
      <c r="G20" s="2948"/>
      <c r="H20" s="2947">
        <v>1617.3</v>
      </c>
      <c r="I20" s="2947">
        <v>1546.72</v>
      </c>
      <c r="J20" s="2947">
        <v>23.65</v>
      </c>
      <c r="L20" s="1635"/>
      <c r="M20" s="1635"/>
      <c r="N20" s="1635"/>
    </row>
    <row r="21" spans="1:14">
      <c r="A21" s="2947">
        <v>14</v>
      </c>
      <c r="B21" s="2947" t="s">
        <v>3065</v>
      </c>
      <c r="C21" s="2947">
        <v>2740.57</v>
      </c>
      <c r="D21" s="2947">
        <v>1215.2</v>
      </c>
      <c r="E21" s="2947">
        <v>1525.37</v>
      </c>
      <c r="F21" s="2948"/>
      <c r="G21" s="2948"/>
      <c r="H21" s="2947">
        <v>1215.2</v>
      </c>
      <c r="I21" s="2947">
        <v>1497.28</v>
      </c>
      <c r="J21" s="2947">
        <v>28.09</v>
      </c>
      <c r="L21" s="1635"/>
      <c r="M21" s="1635"/>
      <c r="N21" s="1635"/>
    </row>
    <row r="22" spans="1:14">
      <c r="A22" s="2947">
        <v>15</v>
      </c>
      <c r="B22" s="2947" t="s">
        <v>3066</v>
      </c>
      <c r="C22" s="2947">
        <v>2471.0100000000002</v>
      </c>
      <c r="D22" s="2947">
        <v>1215.2</v>
      </c>
      <c r="E22" s="2947">
        <v>1255.81</v>
      </c>
      <c r="F22" s="2948"/>
      <c r="G22" s="2948"/>
      <c r="H22" s="2947">
        <v>1215.2</v>
      </c>
      <c r="I22" s="2947">
        <v>1240.5</v>
      </c>
      <c r="J22" s="2947">
        <v>15.31</v>
      </c>
      <c r="L22" s="1635"/>
      <c r="M22" s="1635"/>
      <c r="N22" s="1635"/>
    </row>
    <row r="23" spans="1:14">
      <c r="A23" s="2947">
        <v>16</v>
      </c>
      <c r="B23" s="2947" t="s">
        <v>3067</v>
      </c>
      <c r="C23" s="2947">
        <v>3187.67</v>
      </c>
      <c r="D23" s="2947">
        <v>1617.3</v>
      </c>
      <c r="E23" s="2947">
        <v>1570.37</v>
      </c>
      <c r="F23" s="2948"/>
      <c r="G23" s="2948"/>
      <c r="H23" s="2947">
        <v>1617.3</v>
      </c>
      <c r="I23" s="2947">
        <v>1546.72</v>
      </c>
      <c r="J23" s="2947">
        <v>23.65</v>
      </c>
      <c r="L23" s="1635"/>
      <c r="M23" s="1635"/>
      <c r="N23" s="1635"/>
    </row>
    <row r="24" spans="1:14">
      <c r="A24" s="2947">
        <v>17</v>
      </c>
      <c r="B24" s="2947" t="s">
        <v>3068</v>
      </c>
      <c r="C24" s="2947">
        <v>3057.39</v>
      </c>
      <c r="D24" s="2947">
        <v>1617.3</v>
      </c>
      <c r="E24" s="2947">
        <v>1440.09</v>
      </c>
      <c r="F24" s="2948"/>
      <c r="G24" s="2948"/>
      <c r="H24" s="2947">
        <v>1617.3</v>
      </c>
      <c r="I24" s="2947">
        <v>1419.01</v>
      </c>
      <c r="J24" s="2947">
        <v>21.08</v>
      </c>
      <c r="L24" s="1635"/>
      <c r="M24" s="1635"/>
      <c r="N24" s="1635"/>
    </row>
    <row r="25" spans="1:14">
      <c r="A25" s="2947">
        <v>18</v>
      </c>
      <c r="B25" s="2949" t="s">
        <v>3069</v>
      </c>
      <c r="C25" s="2947">
        <v>2582.9699999999998</v>
      </c>
      <c r="D25" s="2947">
        <v>1215.2</v>
      </c>
      <c r="E25" s="2947">
        <v>1367.77</v>
      </c>
      <c r="F25" s="2948"/>
      <c r="G25" s="2948"/>
      <c r="H25" s="2947">
        <v>1215.2</v>
      </c>
      <c r="I25" s="2947">
        <v>1339.68</v>
      </c>
      <c r="J25" s="2947">
        <v>28.09</v>
      </c>
      <c r="L25" s="1635"/>
      <c r="M25" s="1635"/>
      <c r="N25" s="1635"/>
    </row>
    <row r="26" spans="1:14">
      <c r="A26" s="3323" t="s">
        <v>3070</v>
      </c>
      <c r="B26" s="3324"/>
      <c r="C26" s="2950">
        <f>SUM(C8:C25)</f>
        <v>58909.700000000004</v>
      </c>
      <c r="D26" s="2950">
        <f>SUM(D8:D25)</f>
        <v>29836.260000000002</v>
      </c>
      <c r="E26" s="2950">
        <f>SUM(E8:E25)</f>
        <v>29073.439999999999</v>
      </c>
      <c r="F26" s="2958"/>
      <c r="H26" s="2951">
        <f>SUM(H8:H25)</f>
        <v>29836.260000000002</v>
      </c>
      <c r="I26" s="2951">
        <f>SUM(I8:I25)</f>
        <v>28719.109999999997</v>
      </c>
      <c r="J26" s="2951">
        <f>SUM(J8:J25)</f>
        <v>354.32999999999993</v>
      </c>
      <c r="L26" s="1635"/>
      <c r="M26" s="1635"/>
      <c r="N26" s="1635"/>
    </row>
    <row r="27" spans="1:14">
      <c r="A27" s="2947">
        <v>19</v>
      </c>
      <c r="B27" s="2947" t="s">
        <v>3071</v>
      </c>
      <c r="C27" s="2947">
        <v>12316.06</v>
      </c>
      <c r="D27" s="2947">
        <v>0</v>
      </c>
      <c r="E27" s="2947">
        <v>12316.06</v>
      </c>
      <c r="F27" s="2948"/>
      <c r="L27" s="1635"/>
      <c r="M27" s="1635"/>
      <c r="N27" s="1635"/>
    </row>
    <row r="28" spans="1:14">
      <c r="A28" s="3325" t="s">
        <v>3070</v>
      </c>
      <c r="B28" s="3326"/>
      <c r="C28" s="2951">
        <f>C27</f>
        <v>12316.06</v>
      </c>
      <c r="D28" s="2951">
        <v>0</v>
      </c>
      <c r="E28" s="2951">
        <f>E27</f>
        <v>12316.06</v>
      </c>
      <c r="F28" s="2958"/>
      <c r="L28" s="1635"/>
      <c r="M28" s="1635"/>
      <c r="N28" s="1635"/>
    </row>
    <row r="29" spans="1:14">
      <c r="A29" s="3327" t="s">
        <v>3072</v>
      </c>
      <c r="B29" s="3328"/>
      <c r="C29" s="2952">
        <f>SUM(C26+C27)</f>
        <v>71225.760000000009</v>
      </c>
      <c r="D29" s="2952">
        <f>D26+D27</f>
        <v>29836.260000000002</v>
      </c>
      <c r="E29" s="2952">
        <f>E26+E27</f>
        <v>41389.5</v>
      </c>
      <c r="F29" s="2965"/>
      <c r="L29" s="1635"/>
      <c r="M29" s="1635"/>
      <c r="N29" s="1635"/>
    </row>
    <row r="30" spans="1:14">
      <c r="A30" s="2953"/>
      <c r="B30" s="2953"/>
      <c r="C30" s="2954"/>
      <c r="D30" s="2954"/>
      <c r="E30" s="2954"/>
      <c r="F30" s="2954"/>
      <c r="L30" s="1635"/>
      <c r="M30" s="1635"/>
      <c r="N30" s="1635"/>
    </row>
    <row r="31" spans="1:14">
      <c r="A31" s="2944" t="s">
        <v>3081</v>
      </c>
    </row>
    <row r="32" spans="1:14">
      <c r="A32" s="2946" t="s">
        <v>3082</v>
      </c>
      <c r="B32" s="2955"/>
    </row>
    <row r="33" spans="1:17">
      <c r="A33" s="3322" t="s">
        <v>3073</v>
      </c>
      <c r="B33" s="3322" t="s">
        <v>3074</v>
      </c>
      <c r="C33" s="3322" t="s">
        <v>3075</v>
      </c>
      <c r="D33" s="3315" t="s">
        <v>3076</v>
      </c>
      <c r="E33" s="3315"/>
      <c r="F33" s="2947"/>
      <c r="G33" s="3315" t="s">
        <v>3077</v>
      </c>
      <c r="H33" s="3315"/>
      <c r="I33" s="3315"/>
      <c r="J33" s="3315"/>
      <c r="K33" s="3315"/>
      <c r="L33" s="3315" t="s">
        <v>3078</v>
      </c>
      <c r="M33" s="3315"/>
      <c r="N33" s="3315"/>
      <c r="O33" s="3315"/>
      <c r="P33" s="3315"/>
      <c r="Q33" s="3315"/>
    </row>
    <row r="34" spans="1:17">
      <c r="A34" s="3322"/>
      <c r="B34" s="3322"/>
      <c r="C34" s="3322"/>
      <c r="D34" s="2947" t="s">
        <v>3077</v>
      </c>
      <c r="E34" s="2947" t="s">
        <v>3078</v>
      </c>
      <c r="F34" s="2947"/>
      <c r="G34" s="2947" t="s">
        <v>3083</v>
      </c>
      <c r="H34" s="2947" t="s">
        <v>3084</v>
      </c>
      <c r="I34" s="2947" t="s">
        <v>3085</v>
      </c>
      <c r="J34" s="2947" t="s">
        <v>3079</v>
      </c>
      <c r="K34" s="2956" t="s">
        <v>3086</v>
      </c>
      <c r="L34" s="2947" t="s">
        <v>3085</v>
      </c>
      <c r="M34" s="2947" t="s">
        <v>3087</v>
      </c>
      <c r="N34" s="2947" t="s">
        <v>3088</v>
      </c>
      <c r="O34" s="2947" t="s">
        <v>3089</v>
      </c>
      <c r="P34" s="2947" t="s">
        <v>3090</v>
      </c>
      <c r="Q34" s="2947" t="s">
        <v>3091</v>
      </c>
    </row>
    <row r="35" spans="1:17">
      <c r="A35" s="2947">
        <v>1</v>
      </c>
      <c r="B35" s="2947" t="s">
        <v>3092</v>
      </c>
      <c r="C35" s="2947">
        <v>21445.38</v>
      </c>
      <c r="D35" s="2947">
        <v>17412.47</v>
      </c>
      <c r="E35" s="2947">
        <v>4032.91</v>
      </c>
      <c r="F35" s="2947"/>
      <c r="G35" s="2947"/>
      <c r="H35" s="2947">
        <v>17256.78</v>
      </c>
      <c r="I35" s="2947">
        <v>155.69</v>
      </c>
      <c r="J35" s="2947"/>
      <c r="K35" s="2957"/>
      <c r="L35" s="2947">
        <v>75.739999999999995</v>
      </c>
      <c r="M35" s="2947">
        <v>3567.61</v>
      </c>
      <c r="N35" s="2947">
        <v>389.56</v>
      </c>
      <c r="O35" s="2957"/>
      <c r="P35" s="2957"/>
      <c r="Q35" s="2947"/>
    </row>
    <row r="36" spans="1:17">
      <c r="A36" s="2947">
        <v>2</v>
      </c>
      <c r="B36" s="2947" t="s">
        <v>3093</v>
      </c>
      <c r="C36" s="2947">
        <v>33273.82</v>
      </c>
      <c r="D36" s="2947">
        <v>27570.16</v>
      </c>
      <c r="E36" s="2947">
        <v>5703.66</v>
      </c>
      <c r="F36" s="2947"/>
      <c r="G36" s="2947"/>
      <c r="H36" s="2947">
        <v>26918.78</v>
      </c>
      <c r="I36" s="2947">
        <v>622.69000000000005</v>
      </c>
      <c r="J36" s="2947">
        <v>28.69</v>
      </c>
      <c r="K36" s="2957"/>
      <c r="L36" s="2947">
        <v>99.3</v>
      </c>
      <c r="M36" s="2947">
        <v>5062.28</v>
      </c>
      <c r="N36" s="2947">
        <v>542.08000000000004</v>
      </c>
      <c r="O36" s="2957"/>
      <c r="P36" s="2957"/>
      <c r="Q36" s="2947"/>
    </row>
    <row r="37" spans="1:17">
      <c r="A37" s="2947">
        <v>3</v>
      </c>
      <c r="B37" s="2947" t="s">
        <v>3094</v>
      </c>
      <c r="C37" s="2947">
        <v>32431.01</v>
      </c>
      <c r="D37" s="2947">
        <v>26610.94</v>
      </c>
      <c r="E37" s="2947">
        <v>5820.07</v>
      </c>
      <c r="F37" s="2947"/>
      <c r="G37" s="2947"/>
      <c r="H37" s="2947">
        <v>26399.73</v>
      </c>
      <c r="I37" s="2947">
        <v>160.6</v>
      </c>
      <c r="J37" s="2947">
        <v>35.43</v>
      </c>
      <c r="K37" s="2956">
        <v>15.18</v>
      </c>
      <c r="L37" s="2947">
        <v>80.3</v>
      </c>
      <c r="M37" s="2947">
        <v>3514.81</v>
      </c>
      <c r="N37" s="2947">
        <v>393.13</v>
      </c>
      <c r="O37" s="2947">
        <v>1745.48</v>
      </c>
      <c r="P37" s="2947">
        <v>86.35</v>
      </c>
      <c r="Q37" s="2947"/>
    </row>
    <row r="38" spans="1:17">
      <c r="A38" s="2947">
        <v>4</v>
      </c>
      <c r="B38" s="2947" t="s">
        <v>3095</v>
      </c>
      <c r="C38" s="2947">
        <v>22749.16</v>
      </c>
      <c r="D38" s="2947">
        <v>18718.89</v>
      </c>
      <c r="E38" s="2947">
        <v>4030.27</v>
      </c>
      <c r="F38" s="2947"/>
      <c r="G38" s="2947">
        <v>4623.6400000000003</v>
      </c>
      <c r="H38" s="2947">
        <v>14095.25</v>
      </c>
      <c r="I38" s="2947"/>
      <c r="J38" s="2947"/>
      <c r="K38" s="2957"/>
      <c r="L38" s="2947"/>
      <c r="M38" s="2947">
        <v>1204.5899999999999</v>
      </c>
      <c r="N38" s="2947">
        <v>458.66</v>
      </c>
      <c r="O38" s="2957"/>
      <c r="P38" s="2957"/>
      <c r="Q38" s="2947">
        <v>2367.02</v>
      </c>
    </row>
    <row r="39" spans="1:17">
      <c r="A39" s="2947">
        <v>5</v>
      </c>
      <c r="B39" s="2947" t="s">
        <v>3096</v>
      </c>
      <c r="C39" s="2947">
        <v>15172.52</v>
      </c>
      <c r="D39" s="2947">
        <v>12575.28</v>
      </c>
      <c r="E39" s="2947">
        <v>2597.2399999999998</v>
      </c>
      <c r="F39" s="2947"/>
      <c r="G39" s="2947">
        <v>12350.46</v>
      </c>
      <c r="H39" s="2947"/>
      <c r="I39" s="2947">
        <v>224.82</v>
      </c>
      <c r="J39" s="2947"/>
      <c r="K39" s="2957"/>
      <c r="L39" s="2947">
        <v>575.62</v>
      </c>
      <c r="M39" s="2947"/>
      <c r="N39" s="2947">
        <v>326.36</v>
      </c>
      <c r="O39" s="2957">
        <v>846.09</v>
      </c>
      <c r="P39" s="2947">
        <v>96.5</v>
      </c>
      <c r="Q39" s="2947">
        <v>752.67</v>
      </c>
    </row>
    <row r="40" spans="1:17">
      <c r="A40" s="2947">
        <v>6</v>
      </c>
      <c r="B40" s="2947" t="s">
        <v>3097</v>
      </c>
      <c r="C40" s="2947">
        <v>15105.8</v>
      </c>
      <c r="D40" s="2947">
        <v>12575.28</v>
      </c>
      <c r="E40" s="2947">
        <v>2530.52</v>
      </c>
      <c r="F40" s="2947"/>
      <c r="G40" s="2947">
        <v>12575.28</v>
      </c>
      <c r="H40" s="2947"/>
      <c r="I40" s="2947"/>
      <c r="J40" s="2947"/>
      <c r="K40" s="2957"/>
      <c r="L40" s="2947"/>
      <c r="M40" s="2947">
        <v>722.54</v>
      </c>
      <c r="N40" s="2947">
        <v>256.44</v>
      </c>
      <c r="O40" s="2957"/>
      <c r="P40" s="2957"/>
      <c r="Q40" s="2947">
        <v>1551.54</v>
      </c>
    </row>
    <row r="41" spans="1:17">
      <c r="A41" s="3316" t="s">
        <v>3080</v>
      </c>
      <c r="B41" s="3316"/>
      <c r="C41" s="2951">
        <f>SUM(C35:C40)</f>
        <v>140177.69</v>
      </c>
      <c r="D41" s="2951">
        <f>SUM(D35:D40)</f>
        <v>115463.02</v>
      </c>
      <c r="E41" s="2951">
        <f>SUM(E35:E40)</f>
        <v>24714.670000000002</v>
      </c>
      <c r="F41" s="2958"/>
      <c r="G41" s="2961">
        <f>SUM(G35:G40)</f>
        <v>29549.379999999997</v>
      </c>
      <c r="H41" s="2961">
        <f>SUM(H35:H40)</f>
        <v>84670.54</v>
      </c>
    </row>
    <row r="42" spans="1:17">
      <c r="A42" s="2958"/>
      <c r="B42" s="2958"/>
      <c r="C42" s="2958"/>
      <c r="D42" s="2958"/>
      <c r="E42" s="2958"/>
      <c r="F42" s="2958"/>
      <c r="G42" s="2947" t="s">
        <v>3077</v>
      </c>
      <c r="H42" s="3315" t="s">
        <v>3078</v>
      </c>
      <c r="I42" s="3315"/>
      <c r="J42" s="3315"/>
    </row>
    <row r="43" spans="1:17">
      <c r="A43" s="2959" t="s">
        <v>3073</v>
      </c>
      <c r="B43" s="2959" t="s">
        <v>3074</v>
      </c>
      <c r="C43" s="2960" t="s">
        <v>3075</v>
      </c>
      <c r="D43" s="2947" t="s">
        <v>3077</v>
      </c>
      <c r="E43" s="2947" t="s">
        <v>3078</v>
      </c>
      <c r="F43" s="2947"/>
      <c r="G43" s="2947" t="s">
        <v>3091</v>
      </c>
      <c r="H43" s="2947" t="s">
        <v>3091</v>
      </c>
      <c r="I43" s="2947" t="s">
        <v>3088</v>
      </c>
      <c r="J43" s="2947" t="s">
        <v>3098</v>
      </c>
    </row>
    <row r="44" spans="1:17">
      <c r="A44" s="2947">
        <v>7</v>
      </c>
      <c r="B44" s="2947" t="s">
        <v>3099</v>
      </c>
      <c r="C44" s="2947">
        <v>426.73</v>
      </c>
      <c r="D44" s="2947">
        <v>285.61</v>
      </c>
      <c r="E44" s="2947">
        <v>141.12</v>
      </c>
      <c r="F44" s="2947"/>
      <c r="G44" s="2947"/>
      <c r="H44" s="2947"/>
      <c r="I44" s="2947"/>
      <c r="J44" s="2947"/>
    </row>
    <row r="45" spans="1:17">
      <c r="A45" s="2947">
        <v>8</v>
      </c>
      <c r="B45" s="2947" t="s">
        <v>3100</v>
      </c>
      <c r="C45" s="2947">
        <v>34045.5</v>
      </c>
      <c r="D45" s="2947">
        <v>68.349999999999994</v>
      </c>
      <c r="E45" s="2947">
        <v>33977.15</v>
      </c>
      <c r="F45" s="2947"/>
      <c r="G45" s="2947">
        <v>68.349999999999994</v>
      </c>
      <c r="H45" s="2947">
        <v>22008.37</v>
      </c>
      <c r="I45" s="2947">
        <f>796.86+278.91+44.85+51.48+34.13+493.97</f>
        <v>1700.2</v>
      </c>
      <c r="J45" s="2947">
        <f>9944.74+323.84</f>
        <v>10268.58</v>
      </c>
    </row>
    <row r="46" spans="1:17">
      <c r="A46" s="2947">
        <v>9</v>
      </c>
      <c r="B46" s="2947" t="s">
        <v>3079</v>
      </c>
      <c r="C46" s="2947">
        <f>29.49+59.25+66.02</f>
        <v>154.76</v>
      </c>
      <c r="D46" s="2947">
        <f>C46</f>
        <v>154.76</v>
      </c>
      <c r="E46" s="2947">
        <v>0</v>
      </c>
      <c r="F46" s="2947"/>
      <c r="G46" s="2947"/>
      <c r="H46" s="2947"/>
      <c r="I46" s="2947"/>
      <c r="J46" s="2947"/>
    </row>
    <row r="47" spans="1:17">
      <c r="A47" s="3317" t="s">
        <v>3080</v>
      </c>
      <c r="B47" s="3317"/>
      <c r="C47" s="2961">
        <f>SUM(C44:C46)</f>
        <v>34626.990000000005</v>
      </c>
      <c r="D47" s="2961">
        <f>SUM(D44:D46)</f>
        <v>508.72</v>
      </c>
      <c r="E47" s="2961">
        <f>SUM(E44:E46)</f>
        <v>34118.270000000004</v>
      </c>
      <c r="F47" s="2961"/>
    </row>
    <row r="48" spans="1:17">
      <c r="C48" s="2961"/>
    </row>
    <row r="50" spans="2:3">
      <c r="B50" s="2964" t="s">
        <v>3109</v>
      </c>
      <c r="C50" s="2945">
        <f>D29+D41+D47</f>
        <v>145808</v>
      </c>
    </row>
    <row r="51" spans="2:3">
      <c r="B51" s="2964" t="s">
        <v>3110</v>
      </c>
      <c r="C51" s="2945">
        <f>E29+E41+E47</f>
        <v>100222.44</v>
      </c>
    </row>
    <row r="52" spans="2:3">
      <c r="B52" s="2964" t="s">
        <v>3111</v>
      </c>
      <c r="C52" s="2945">
        <f>C29+C41+C47</f>
        <v>246030.44</v>
      </c>
    </row>
    <row r="54" spans="2:3">
      <c r="C54" s="2945">
        <f>D26+G41+H41</f>
        <v>144056.18</v>
      </c>
    </row>
  </sheetData>
  <mergeCells count="18">
    <mergeCell ref="A47:B47"/>
    <mergeCell ref="F6:G7"/>
    <mergeCell ref="A33:A34"/>
    <mergeCell ref="B33:B34"/>
    <mergeCell ref="C33:C34"/>
    <mergeCell ref="D33:E33"/>
    <mergeCell ref="G33:K33"/>
    <mergeCell ref="A26:B26"/>
    <mergeCell ref="A28:B28"/>
    <mergeCell ref="A29:B29"/>
    <mergeCell ref="A6:A7"/>
    <mergeCell ref="B6:B7"/>
    <mergeCell ref="C6:C7"/>
    <mergeCell ref="D6:E6"/>
    <mergeCell ref="I6:J6"/>
    <mergeCell ref="L33:Q33"/>
    <mergeCell ref="A41:B41"/>
    <mergeCell ref="H42:J42"/>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A6" sqref="A6"/>
    </sheetView>
  </sheetViews>
  <sheetFormatPr defaultRowHeight="13.5"/>
  <cols>
    <col min="1" max="1" width="43.25" style="1635" customWidth="1"/>
    <col min="2" max="2" width="6.25" style="1635" customWidth="1"/>
    <col min="3" max="5" width="13.875" style="1635" customWidth="1"/>
    <col min="6" max="6" width="6.25" style="1635" customWidth="1"/>
    <col min="7" max="7" width="7.875" style="1635" customWidth="1"/>
    <col min="8" max="8" width="12.625" style="1635" customWidth="1"/>
    <col min="9" max="10" width="10.625" style="1635" customWidth="1"/>
    <col min="11" max="11" width="14.375" style="1635" customWidth="1"/>
    <col min="12" max="12" width="6.25" style="1635" customWidth="1"/>
    <col min="13" max="13" width="88.25" style="1635" customWidth="1"/>
    <col min="14" max="256" width="9" style="1635"/>
    <col min="257" max="257" width="43.25" style="1635" customWidth="1"/>
    <col min="258" max="258" width="6.25" style="1635" customWidth="1"/>
    <col min="259" max="261" width="13.875" style="1635" customWidth="1"/>
    <col min="262" max="262" width="6.25" style="1635" customWidth="1"/>
    <col min="263" max="263" width="7.875" style="1635" customWidth="1"/>
    <col min="264" max="264" width="9" style="1635" customWidth="1"/>
    <col min="265" max="266" width="10.625" style="1635" customWidth="1"/>
    <col min="267" max="267" width="14.375" style="1635" customWidth="1"/>
    <col min="268" max="268" width="6.25" style="1635" customWidth="1"/>
    <col min="269" max="269" width="88.25" style="1635" customWidth="1"/>
    <col min="270" max="512" width="9" style="1635"/>
    <col min="513" max="513" width="43.25" style="1635" customWidth="1"/>
    <col min="514" max="514" width="6.25" style="1635" customWidth="1"/>
    <col min="515" max="517" width="13.875" style="1635" customWidth="1"/>
    <col min="518" max="518" width="6.25" style="1635" customWidth="1"/>
    <col min="519" max="519" width="7.875" style="1635" customWidth="1"/>
    <col min="520" max="520" width="9" style="1635" customWidth="1"/>
    <col min="521" max="522" width="10.625" style="1635" customWidth="1"/>
    <col min="523" max="523" width="14.375" style="1635" customWidth="1"/>
    <col min="524" max="524" width="6.25" style="1635" customWidth="1"/>
    <col min="525" max="525" width="88.25" style="1635" customWidth="1"/>
    <col min="526" max="768" width="9" style="1635"/>
    <col min="769" max="769" width="43.25" style="1635" customWidth="1"/>
    <col min="770" max="770" width="6.25" style="1635" customWidth="1"/>
    <col min="771" max="773" width="13.875" style="1635" customWidth="1"/>
    <col min="774" max="774" width="6.25" style="1635" customWidth="1"/>
    <col min="775" max="775" width="7.875" style="1635" customWidth="1"/>
    <col min="776" max="776" width="9" style="1635" customWidth="1"/>
    <col min="777" max="778" width="10.625" style="1635" customWidth="1"/>
    <col min="779" max="779" width="14.375" style="1635" customWidth="1"/>
    <col min="780" max="780" width="6.25" style="1635" customWidth="1"/>
    <col min="781" max="781" width="88.25" style="1635" customWidth="1"/>
    <col min="782" max="1024" width="9" style="1635"/>
    <col min="1025" max="1025" width="43.25" style="1635" customWidth="1"/>
    <col min="1026" max="1026" width="6.25" style="1635" customWidth="1"/>
    <col min="1027" max="1029" width="13.875" style="1635" customWidth="1"/>
    <col min="1030" max="1030" width="6.25" style="1635" customWidth="1"/>
    <col min="1031" max="1031" width="7.875" style="1635" customWidth="1"/>
    <col min="1032" max="1032" width="9" style="1635" customWidth="1"/>
    <col min="1033" max="1034" width="10.625" style="1635" customWidth="1"/>
    <col min="1035" max="1035" width="14.375" style="1635" customWidth="1"/>
    <col min="1036" max="1036" width="6.25" style="1635" customWidth="1"/>
    <col min="1037" max="1037" width="88.25" style="1635" customWidth="1"/>
    <col min="1038" max="1280" width="9" style="1635"/>
    <col min="1281" max="1281" width="43.25" style="1635" customWidth="1"/>
    <col min="1282" max="1282" width="6.25" style="1635" customWidth="1"/>
    <col min="1283" max="1285" width="13.875" style="1635" customWidth="1"/>
    <col min="1286" max="1286" width="6.25" style="1635" customWidth="1"/>
    <col min="1287" max="1287" width="7.875" style="1635" customWidth="1"/>
    <col min="1288" max="1288" width="9" style="1635" customWidth="1"/>
    <col min="1289" max="1290" width="10.625" style="1635" customWidth="1"/>
    <col min="1291" max="1291" width="14.375" style="1635" customWidth="1"/>
    <col min="1292" max="1292" width="6.25" style="1635" customWidth="1"/>
    <col min="1293" max="1293" width="88.25" style="1635" customWidth="1"/>
    <col min="1294" max="1536" width="9" style="1635"/>
    <col min="1537" max="1537" width="43.25" style="1635" customWidth="1"/>
    <col min="1538" max="1538" width="6.25" style="1635" customWidth="1"/>
    <col min="1539" max="1541" width="13.875" style="1635" customWidth="1"/>
    <col min="1542" max="1542" width="6.25" style="1635" customWidth="1"/>
    <col min="1543" max="1543" width="7.875" style="1635" customWidth="1"/>
    <col min="1544" max="1544" width="9" style="1635" customWidth="1"/>
    <col min="1545" max="1546" width="10.625" style="1635" customWidth="1"/>
    <col min="1547" max="1547" width="14.375" style="1635" customWidth="1"/>
    <col min="1548" max="1548" width="6.25" style="1635" customWidth="1"/>
    <col min="1549" max="1549" width="88.25" style="1635" customWidth="1"/>
    <col min="1550" max="1792" width="9" style="1635"/>
    <col min="1793" max="1793" width="43.25" style="1635" customWidth="1"/>
    <col min="1794" max="1794" width="6.25" style="1635" customWidth="1"/>
    <col min="1795" max="1797" width="13.875" style="1635" customWidth="1"/>
    <col min="1798" max="1798" width="6.25" style="1635" customWidth="1"/>
    <col min="1799" max="1799" width="7.875" style="1635" customWidth="1"/>
    <col min="1800" max="1800" width="9" style="1635" customWidth="1"/>
    <col min="1801" max="1802" width="10.625" style="1635" customWidth="1"/>
    <col min="1803" max="1803" width="14.375" style="1635" customWidth="1"/>
    <col min="1804" max="1804" width="6.25" style="1635" customWidth="1"/>
    <col min="1805" max="1805" width="88.25" style="1635" customWidth="1"/>
    <col min="1806" max="2048" width="9" style="1635"/>
    <col min="2049" max="2049" width="43.25" style="1635" customWidth="1"/>
    <col min="2050" max="2050" width="6.25" style="1635" customWidth="1"/>
    <col min="2051" max="2053" width="13.875" style="1635" customWidth="1"/>
    <col min="2054" max="2054" width="6.25" style="1635" customWidth="1"/>
    <col min="2055" max="2055" width="7.875" style="1635" customWidth="1"/>
    <col min="2056" max="2056" width="9" style="1635" customWidth="1"/>
    <col min="2057" max="2058" width="10.625" style="1635" customWidth="1"/>
    <col min="2059" max="2059" width="14.375" style="1635" customWidth="1"/>
    <col min="2060" max="2060" width="6.25" style="1635" customWidth="1"/>
    <col min="2061" max="2061" width="88.25" style="1635" customWidth="1"/>
    <col min="2062" max="2304" width="9" style="1635"/>
    <col min="2305" max="2305" width="43.25" style="1635" customWidth="1"/>
    <col min="2306" max="2306" width="6.25" style="1635" customWidth="1"/>
    <col min="2307" max="2309" width="13.875" style="1635" customWidth="1"/>
    <col min="2310" max="2310" width="6.25" style="1635" customWidth="1"/>
    <col min="2311" max="2311" width="7.875" style="1635" customWidth="1"/>
    <col min="2312" max="2312" width="9" style="1635" customWidth="1"/>
    <col min="2313" max="2314" width="10.625" style="1635" customWidth="1"/>
    <col min="2315" max="2315" width="14.375" style="1635" customWidth="1"/>
    <col min="2316" max="2316" width="6.25" style="1635" customWidth="1"/>
    <col min="2317" max="2317" width="88.25" style="1635" customWidth="1"/>
    <col min="2318" max="2560" width="9" style="1635"/>
    <col min="2561" max="2561" width="43.25" style="1635" customWidth="1"/>
    <col min="2562" max="2562" width="6.25" style="1635" customWidth="1"/>
    <col min="2563" max="2565" width="13.875" style="1635" customWidth="1"/>
    <col min="2566" max="2566" width="6.25" style="1635" customWidth="1"/>
    <col min="2567" max="2567" width="7.875" style="1635" customWidth="1"/>
    <col min="2568" max="2568" width="9" style="1635" customWidth="1"/>
    <col min="2569" max="2570" width="10.625" style="1635" customWidth="1"/>
    <col min="2571" max="2571" width="14.375" style="1635" customWidth="1"/>
    <col min="2572" max="2572" width="6.25" style="1635" customWidth="1"/>
    <col min="2573" max="2573" width="88.25" style="1635" customWidth="1"/>
    <col min="2574" max="2816" width="9" style="1635"/>
    <col min="2817" max="2817" width="43.25" style="1635" customWidth="1"/>
    <col min="2818" max="2818" width="6.25" style="1635" customWidth="1"/>
    <col min="2819" max="2821" width="13.875" style="1635" customWidth="1"/>
    <col min="2822" max="2822" width="6.25" style="1635" customWidth="1"/>
    <col min="2823" max="2823" width="7.875" style="1635" customWidth="1"/>
    <col min="2824" max="2824" width="9" style="1635" customWidth="1"/>
    <col min="2825" max="2826" width="10.625" style="1635" customWidth="1"/>
    <col min="2827" max="2827" width="14.375" style="1635" customWidth="1"/>
    <col min="2828" max="2828" width="6.25" style="1635" customWidth="1"/>
    <col min="2829" max="2829" width="88.25" style="1635" customWidth="1"/>
    <col min="2830" max="3072" width="9" style="1635"/>
    <col min="3073" max="3073" width="43.25" style="1635" customWidth="1"/>
    <col min="3074" max="3074" width="6.25" style="1635" customWidth="1"/>
    <col min="3075" max="3077" width="13.875" style="1635" customWidth="1"/>
    <col min="3078" max="3078" width="6.25" style="1635" customWidth="1"/>
    <col min="3079" max="3079" width="7.875" style="1635" customWidth="1"/>
    <col min="3080" max="3080" width="9" style="1635" customWidth="1"/>
    <col min="3081" max="3082" width="10.625" style="1635" customWidth="1"/>
    <col min="3083" max="3083" width="14.375" style="1635" customWidth="1"/>
    <col min="3084" max="3084" width="6.25" style="1635" customWidth="1"/>
    <col min="3085" max="3085" width="88.25" style="1635" customWidth="1"/>
    <col min="3086" max="3328" width="9" style="1635"/>
    <col min="3329" max="3329" width="43.25" style="1635" customWidth="1"/>
    <col min="3330" max="3330" width="6.25" style="1635" customWidth="1"/>
    <col min="3331" max="3333" width="13.875" style="1635" customWidth="1"/>
    <col min="3334" max="3334" width="6.25" style="1635" customWidth="1"/>
    <col min="3335" max="3335" width="7.875" style="1635" customWidth="1"/>
    <col min="3336" max="3336" width="9" style="1635" customWidth="1"/>
    <col min="3337" max="3338" width="10.625" style="1635" customWidth="1"/>
    <col min="3339" max="3339" width="14.375" style="1635" customWidth="1"/>
    <col min="3340" max="3340" width="6.25" style="1635" customWidth="1"/>
    <col min="3341" max="3341" width="88.25" style="1635" customWidth="1"/>
    <col min="3342" max="3584" width="9" style="1635"/>
    <col min="3585" max="3585" width="43.25" style="1635" customWidth="1"/>
    <col min="3586" max="3586" width="6.25" style="1635" customWidth="1"/>
    <col min="3587" max="3589" width="13.875" style="1635" customWidth="1"/>
    <col min="3590" max="3590" width="6.25" style="1635" customWidth="1"/>
    <col min="3591" max="3591" width="7.875" style="1635" customWidth="1"/>
    <col min="3592" max="3592" width="9" style="1635" customWidth="1"/>
    <col min="3593" max="3594" width="10.625" style="1635" customWidth="1"/>
    <col min="3595" max="3595" width="14.375" style="1635" customWidth="1"/>
    <col min="3596" max="3596" width="6.25" style="1635" customWidth="1"/>
    <col min="3597" max="3597" width="88.25" style="1635" customWidth="1"/>
    <col min="3598" max="3840" width="9" style="1635"/>
    <col min="3841" max="3841" width="43.25" style="1635" customWidth="1"/>
    <col min="3842" max="3842" width="6.25" style="1635" customWidth="1"/>
    <col min="3843" max="3845" width="13.875" style="1635" customWidth="1"/>
    <col min="3846" max="3846" width="6.25" style="1635" customWidth="1"/>
    <col min="3847" max="3847" width="7.875" style="1635" customWidth="1"/>
    <col min="3848" max="3848" width="9" style="1635" customWidth="1"/>
    <col min="3849" max="3850" width="10.625" style="1635" customWidth="1"/>
    <col min="3851" max="3851" width="14.375" style="1635" customWidth="1"/>
    <col min="3852" max="3852" width="6.25" style="1635" customWidth="1"/>
    <col min="3853" max="3853" width="88.25" style="1635" customWidth="1"/>
    <col min="3854" max="4096" width="9" style="1635"/>
    <col min="4097" max="4097" width="43.25" style="1635" customWidth="1"/>
    <col min="4098" max="4098" width="6.25" style="1635" customWidth="1"/>
    <col min="4099" max="4101" width="13.875" style="1635" customWidth="1"/>
    <col min="4102" max="4102" width="6.25" style="1635" customWidth="1"/>
    <col min="4103" max="4103" width="7.875" style="1635" customWidth="1"/>
    <col min="4104" max="4104" width="9" style="1635" customWidth="1"/>
    <col min="4105" max="4106" width="10.625" style="1635" customWidth="1"/>
    <col min="4107" max="4107" width="14.375" style="1635" customWidth="1"/>
    <col min="4108" max="4108" width="6.25" style="1635" customWidth="1"/>
    <col min="4109" max="4109" width="88.25" style="1635" customWidth="1"/>
    <col min="4110" max="4352" width="9" style="1635"/>
    <col min="4353" max="4353" width="43.25" style="1635" customWidth="1"/>
    <col min="4354" max="4354" width="6.25" style="1635" customWidth="1"/>
    <col min="4355" max="4357" width="13.875" style="1635" customWidth="1"/>
    <col min="4358" max="4358" width="6.25" style="1635" customWidth="1"/>
    <col min="4359" max="4359" width="7.875" style="1635" customWidth="1"/>
    <col min="4360" max="4360" width="9" style="1635" customWidth="1"/>
    <col min="4361" max="4362" width="10.625" style="1635" customWidth="1"/>
    <col min="4363" max="4363" width="14.375" style="1635" customWidth="1"/>
    <col min="4364" max="4364" width="6.25" style="1635" customWidth="1"/>
    <col min="4365" max="4365" width="88.25" style="1635" customWidth="1"/>
    <col min="4366" max="4608" width="9" style="1635"/>
    <col min="4609" max="4609" width="43.25" style="1635" customWidth="1"/>
    <col min="4610" max="4610" width="6.25" style="1635" customWidth="1"/>
    <col min="4611" max="4613" width="13.875" style="1635" customWidth="1"/>
    <col min="4614" max="4614" width="6.25" style="1635" customWidth="1"/>
    <col min="4615" max="4615" width="7.875" style="1635" customWidth="1"/>
    <col min="4616" max="4616" width="9" style="1635" customWidth="1"/>
    <col min="4617" max="4618" width="10.625" style="1635" customWidth="1"/>
    <col min="4619" max="4619" width="14.375" style="1635" customWidth="1"/>
    <col min="4620" max="4620" width="6.25" style="1635" customWidth="1"/>
    <col min="4621" max="4621" width="88.25" style="1635" customWidth="1"/>
    <col min="4622" max="4864" width="9" style="1635"/>
    <col min="4865" max="4865" width="43.25" style="1635" customWidth="1"/>
    <col min="4866" max="4866" width="6.25" style="1635" customWidth="1"/>
    <col min="4867" max="4869" width="13.875" style="1635" customWidth="1"/>
    <col min="4870" max="4870" width="6.25" style="1635" customWidth="1"/>
    <col min="4871" max="4871" width="7.875" style="1635" customWidth="1"/>
    <col min="4872" max="4872" width="9" style="1635" customWidth="1"/>
    <col min="4873" max="4874" width="10.625" style="1635" customWidth="1"/>
    <col min="4875" max="4875" width="14.375" style="1635" customWidth="1"/>
    <col min="4876" max="4876" width="6.25" style="1635" customWidth="1"/>
    <col min="4877" max="4877" width="88.25" style="1635" customWidth="1"/>
    <col min="4878" max="5120" width="9" style="1635"/>
    <col min="5121" max="5121" width="43.25" style="1635" customWidth="1"/>
    <col min="5122" max="5122" width="6.25" style="1635" customWidth="1"/>
    <col min="5123" max="5125" width="13.875" style="1635" customWidth="1"/>
    <col min="5126" max="5126" width="6.25" style="1635" customWidth="1"/>
    <col min="5127" max="5127" width="7.875" style="1635" customWidth="1"/>
    <col min="5128" max="5128" width="9" style="1635" customWidth="1"/>
    <col min="5129" max="5130" width="10.625" style="1635" customWidth="1"/>
    <col min="5131" max="5131" width="14.375" style="1635" customWidth="1"/>
    <col min="5132" max="5132" width="6.25" style="1635" customWidth="1"/>
    <col min="5133" max="5133" width="88.25" style="1635" customWidth="1"/>
    <col min="5134" max="5376" width="9" style="1635"/>
    <col min="5377" max="5377" width="43.25" style="1635" customWidth="1"/>
    <col min="5378" max="5378" width="6.25" style="1635" customWidth="1"/>
    <col min="5379" max="5381" width="13.875" style="1635" customWidth="1"/>
    <col min="5382" max="5382" width="6.25" style="1635" customWidth="1"/>
    <col min="5383" max="5383" width="7.875" style="1635" customWidth="1"/>
    <col min="5384" max="5384" width="9" style="1635" customWidth="1"/>
    <col min="5385" max="5386" width="10.625" style="1635" customWidth="1"/>
    <col min="5387" max="5387" width="14.375" style="1635" customWidth="1"/>
    <col min="5388" max="5388" width="6.25" style="1635" customWidth="1"/>
    <col min="5389" max="5389" width="88.25" style="1635" customWidth="1"/>
    <col min="5390" max="5632" width="9" style="1635"/>
    <col min="5633" max="5633" width="43.25" style="1635" customWidth="1"/>
    <col min="5634" max="5634" width="6.25" style="1635" customWidth="1"/>
    <col min="5635" max="5637" width="13.875" style="1635" customWidth="1"/>
    <col min="5638" max="5638" width="6.25" style="1635" customWidth="1"/>
    <col min="5639" max="5639" width="7.875" style="1635" customWidth="1"/>
    <col min="5640" max="5640" width="9" style="1635" customWidth="1"/>
    <col min="5641" max="5642" width="10.625" style="1635" customWidth="1"/>
    <col min="5643" max="5643" width="14.375" style="1635" customWidth="1"/>
    <col min="5644" max="5644" width="6.25" style="1635" customWidth="1"/>
    <col min="5645" max="5645" width="88.25" style="1635" customWidth="1"/>
    <col min="5646" max="5888" width="9" style="1635"/>
    <col min="5889" max="5889" width="43.25" style="1635" customWidth="1"/>
    <col min="5890" max="5890" width="6.25" style="1635" customWidth="1"/>
    <col min="5891" max="5893" width="13.875" style="1635" customWidth="1"/>
    <col min="5894" max="5894" width="6.25" style="1635" customWidth="1"/>
    <col min="5895" max="5895" width="7.875" style="1635" customWidth="1"/>
    <col min="5896" max="5896" width="9" style="1635" customWidth="1"/>
    <col min="5897" max="5898" width="10.625" style="1635" customWidth="1"/>
    <col min="5899" max="5899" width="14.375" style="1635" customWidth="1"/>
    <col min="5900" max="5900" width="6.25" style="1635" customWidth="1"/>
    <col min="5901" max="5901" width="88.25" style="1635" customWidth="1"/>
    <col min="5902" max="6144" width="9" style="1635"/>
    <col min="6145" max="6145" width="43.25" style="1635" customWidth="1"/>
    <col min="6146" max="6146" width="6.25" style="1635" customWidth="1"/>
    <col min="6147" max="6149" width="13.875" style="1635" customWidth="1"/>
    <col min="6150" max="6150" width="6.25" style="1635" customWidth="1"/>
    <col min="6151" max="6151" width="7.875" style="1635" customWidth="1"/>
    <col min="6152" max="6152" width="9" style="1635" customWidth="1"/>
    <col min="6153" max="6154" width="10.625" style="1635" customWidth="1"/>
    <col min="6155" max="6155" width="14.375" style="1635" customWidth="1"/>
    <col min="6156" max="6156" width="6.25" style="1635" customWidth="1"/>
    <col min="6157" max="6157" width="88.25" style="1635" customWidth="1"/>
    <col min="6158" max="6400" width="9" style="1635"/>
    <col min="6401" max="6401" width="43.25" style="1635" customWidth="1"/>
    <col min="6402" max="6402" width="6.25" style="1635" customWidth="1"/>
    <col min="6403" max="6405" width="13.875" style="1635" customWidth="1"/>
    <col min="6406" max="6406" width="6.25" style="1635" customWidth="1"/>
    <col min="6407" max="6407" width="7.875" style="1635" customWidth="1"/>
    <col min="6408" max="6408" width="9" style="1635" customWidth="1"/>
    <col min="6409" max="6410" width="10.625" style="1635" customWidth="1"/>
    <col min="6411" max="6411" width="14.375" style="1635" customWidth="1"/>
    <col min="6412" max="6412" width="6.25" style="1635" customWidth="1"/>
    <col min="6413" max="6413" width="88.25" style="1635" customWidth="1"/>
    <col min="6414" max="6656" width="9" style="1635"/>
    <col min="6657" max="6657" width="43.25" style="1635" customWidth="1"/>
    <col min="6658" max="6658" width="6.25" style="1635" customWidth="1"/>
    <col min="6659" max="6661" width="13.875" style="1635" customWidth="1"/>
    <col min="6662" max="6662" width="6.25" style="1635" customWidth="1"/>
    <col min="6663" max="6663" width="7.875" style="1635" customWidth="1"/>
    <col min="6664" max="6664" width="9" style="1635" customWidth="1"/>
    <col min="6665" max="6666" width="10.625" style="1635" customWidth="1"/>
    <col min="6667" max="6667" width="14.375" style="1635" customWidth="1"/>
    <col min="6668" max="6668" width="6.25" style="1635" customWidth="1"/>
    <col min="6669" max="6669" width="88.25" style="1635" customWidth="1"/>
    <col min="6670" max="6912" width="9" style="1635"/>
    <col min="6913" max="6913" width="43.25" style="1635" customWidth="1"/>
    <col min="6914" max="6914" width="6.25" style="1635" customWidth="1"/>
    <col min="6915" max="6917" width="13.875" style="1635" customWidth="1"/>
    <col min="6918" max="6918" width="6.25" style="1635" customWidth="1"/>
    <col min="6919" max="6919" width="7.875" style="1635" customWidth="1"/>
    <col min="6920" max="6920" width="9" style="1635" customWidth="1"/>
    <col min="6921" max="6922" width="10.625" style="1635" customWidth="1"/>
    <col min="6923" max="6923" width="14.375" style="1635" customWidth="1"/>
    <col min="6924" max="6924" width="6.25" style="1635" customWidth="1"/>
    <col min="6925" max="6925" width="88.25" style="1635" customWidth="1"/>
    <col min="6926" max="7168" width="9" style="1635"/>
    <col min="7169" max="7169" width="43.25" style="1635" customWidth="1"/>
    <col min="7170" max="7170" width="6.25" style="1635" customWidth="1"/>
    <col min="7171" max="7173" width="13.875" style="1635" customWidth="1"/>
    <col min="7174" max="7174" width="6.25" style="1635" customWidth="1"/>
    <col min="7175" max="7175" width="7.875" style="1635" customWidth="1"/>
    <col min="7176" max="7176" width="9" style="1635" customWidth="1"/>
    <col min="7177" max="7178" width="10.625" style="1635" customWidth="1"/>
    <col min="7179" max="7179" width="14.375" style="1635" customWidth="1"/>
    <col min="7180" max="7180" width="6.25" style="1635" customWidth="1"/>
    <col min="7181" max="7181" width="88.25" style="1635" customWidth="1"/>
    <col min="7182" max="7424" width="9" style="1635"/>
    <col min="7425" max="7425" width="43.25" style="1635" customWidth="1"/>
    <col min="7426" max="7426" width="6.25" style="1635" customWidth="1"/>
    <col min="7427" max="7429" width="13.875" style="1635" customWidth="1"/>
    <col min="7430" max="7430" width="6.25" style="1635" customWidth="1"/>
    <col min="7431" max="7431" width="7.875" style="1635" customWidth="1"/>
    <col min="7432" max="7432" width="9" style="1635" customWidth="1"/>
    <col min="7433" max="7434" width="10.625" style="1635" customWidth="1"/>
    <col min="7435" max="7435" width="14.375" style="1635" customWidth="1"/>
    <col min="7436" max="7436" width="6.25" style="1635" customWidth="1"/>
    <col min="7437" max="7437" width="88.25" style="1635" customWidth="1"/>
    <col min="7438" max="7680" width="9" style="1635"/>
    <col min="7681" max="7681" width="43.25" style="1635" customWidth="1"/>
    <col min="7682" max="7682" width="6.25" style="1635" customWidth="1"/>
    <col min="7683" max="7685" width="13.875" style="1635" customWidth="1"/>
    <col min="7686" max="7686" width="6.25" style="1635" customWidth="1"/>
    <col min="7687" max="7687" width="7.875" style="1635" customWidth="1"/>
    <col min="7688" max="7688" width="9" style="1635" customWidth="1"/>
    <col min="7689" max="7690" width="10.625" style="1635" customWidth="1"/>
    <col min="7691" max="7691" width="14.375" style="1635" customWidth="1"/>
    <col min="7692" max="7692" width="6.25" style="1635" customWidth="1"/>
    <col min="7693" max="7693" width="88.25" style="1635" customWidth="1"/>
    <col min="7694" max="7936" width="9" style="1635"/>
    <col min="7937" max="7937" width="43.25" style="1635" customWidth="1"/>
    <col min="7938" max="7938" width="6.25" style="1635" customWidth="1"/>
    <col min="7939" max="7941" width="13.875" style="1635" customWidth="1"/>
    <col min="7942" max="7942" width="6.25" style="1635" customWidth="1"/>
    <col min="7943" max="7943" width="7.875" style="1635" customWidth="1"/>
    <col min="7944" max="7944" width="9" style="1635" customWidth="1"/>
    <col min="7945" max="7946" width="10.625" style="1635" customWidth="1"/>
    <col min="7947" max="7947" width="14.375" style="1635" customWidth="1"/>
    <col min="7948" max="7948" width="6.25" style="1635" customWidth="1"/>
    <col min="7949" max="7949" width="88.25" style="1635" customWidth="1"/>
    <col min="7950" max="8192" width="9" style="1635"/>
    <col min="8193" max="8193" width="43.25" style="1635" customWidth="1"/>
    <col min="8194" max="8194" width="6.25" style="1635" customWidth="1"/>
    <col min="8195" max="8197" width="13.875" style="1635" customWidth="1"/>
    <col min="8198" max="8198" width="6.25" style="1635" customWidth="1"/>
    <col min="8199" max="8199" width="7.875" style="1635" customWidth="1"/>
    <col min="8200" max="8200" width="9" style="1635" customWidth="1"/>
    <col min="8201" max="8202" width="10.625" style="1635" customWidth="1"/>
    <col min="8203" max="8203" width="14.375" style="1635" customWidth="1"/>
    <col min="8204" max="8204" width="6.25" style="1635" customWidth="1"/>
    <col min="8205" max="8205" width="88.25" style="1635" customWidth="1"/>
    <col min="8206" max="8448" width="9" style="1635"/>
    <col min="8449" max="8449" width="43.25" style="1635" customWidth="1"/>
    <col min="8450" max="8450" width="6.25" style="1635" customWidth="1"/>
    <col min="8451" max="8453" width="13.875" style="1635" customWidth="1"/>
    <col min="8454" max="8454" width="6.25" style="1635" customWidth="1"/>
    <col min="8455" max="8455" width="7.875" style="1635" customWidth="1"/>
    <col min="8456" max="8456" width="9" style="1635" customWidth="1"/>
    <col min="8457" max="8458" width="10.625" style="1635" customWidth="1"/>
    <col min="8459" max="8459" width="14.375" style="1635" customWidth="1"/>
    <col min="8460" max="8460" width="6.25" style="1635" customWidth="1"/>
    <col min="8461" max="8461" width="88.25" style="1635" customWidth="1"/>
    <col min="8462" max="8704" width="9" style="1635"/>
    <col min="8705" max="8705" width="43.25" style="1635" customWidth="1"/>
    <col min="8706" max="8706" width="6.25" style="1635" customWidth="1"/>
    <col min="8707" max="8709" width="13.875" style="1635" customWidth="1"/>
    <col min="8710" max="8710" width="6.25" style="1635" customWidth="1"/>
    <col min="8711" max="8711" width="7.875" style="1635" customWidth="1"/>
    <col min="8712" max="8712" width="9" style="1635" customWidth="1"/>
    <col min="8713" max="8714" width="10.625" style="1635" customWidth="1"/>
    <col min="8715" max="8715" width="14.375" style="1635" customWidth="1"/>
    <col min="8716" max="8716" width="6.25" style="1635" customWidth="1"/>
    <col min="8717" max="8717" width="88.25" style="1635" customWidth="1"/>
    <col min="8718" max="8960" width="9" style="1635"/>
    <col min="8961" max="8961" width="43.25" style="1635" customWidth="1"/>
    <col min="8962" max="8962" width="6.25" style="1635" customWidth="1"/>
    <col min="8963" max="8965" width="13.875" style="1635" customWidth="1"/>
    <col min="8966" max="8966" width="6.25" style="1635" customWidth="1"/>
    <col min="8967" max="8967" width="7.875" style="1635" customWidth="1"/>
    <col min="8968" max="8968" width="9" style="1635" customWidth="1"/>
    <col min="8969" max="8970" width="10.625" style="1635" customWidth="1"/>
    <col min="8971" max="8971" width="14.375" style="1635" customWidth="1"/>
    <col min="8972" max="8972" width="6.25" style="1635" customWidth="1"/>
    <col min="8973" max="8973" width="88.25" style="1635" customWidth="1"/>
    <col min="8974" max="9216" width="9" style="1635"/>
    <col min="9217" max="9217" width="43.25" style="1635" customWidth="1"/>
    <col min="9218" max="9218" width="6.25" style="1635" customWidth="1"/>
    <col min="9219" max="9221" width="13.875" style="1635" customWidth="1"/>
    <col min="9222" max="9222" width="6.25" style="1635" customWidth="1"/>
    <col min="9223" max="9223" width="7.875" style="1635" customWidth="1"/>
    <col min="9224" max="9224" width="9" style="1635" customWidth="1"/>
    <col min="9225" max="9226" width="10.625" style="1635" customWidth="1"/>
    <col min="9227" max="9227" width="14.375" style="1635" customWidth="1"/>
    <col min="9228" max="9228" width="6.25" style="1635" customWidth="1"/>
    <col min="9229" max="9229" width="88.25" style="1635" customWidth="1"/>
    <col min="9230" max="9472" width="9" style="1635"/>
    <col min="9473" max="9473" width="43.25" style="1635" customWidth="1"/>
    <col min="9474" max="9474" width="6.25" style="1635" customWidth="1"/>
    <col min="9475" max="9477" width="13.875" style="1635" customWidth="1"/>
    <col min="9478" max="9478" width="6.25" style="1635" customWidth="1"/>
    <col min="9479" max="9479" width="7.875" style="1635" customWidth="1"/>
    <col min="9480" max="9480" width="9" style="1635" customWidth="1"/>
    <col min="9481" max="9482" width="10.625" style="1635" customWidth="1"/>
    <col min="9483" max="9483" width="14.375" style="1635" customWidth="1"/>
    <col min="9484" max="9484" width="6.25" style="1635" customWidth="1"/>
    <col min="9485" max="9485" width="88.25" style="1635" customWidth="1"/>
    <col min="9486" max="9728" width="9" style="1635"/>
    <col min="9729" max="9729" width="43.25" style="1635" customWidth="1"/>
    <col min="9730" max="9730" width="6.25" style="1635" customWidth="1"/>
    <col min="9731" max="9733" width="13.875" style="1635" customWidth="1"/>
    <col min="9734" max="9734" width="6.25" style="1635" customWidth="1"/>
    <col min="9735" max="9735" width="7.875" style="1635" customWidth="1"/>
    <col min="9736" max="9736" width="9" style="1635" customWidth="1"/>
    <col min="9737" max="9738" width="10.625" style="1635" customWidth="1"/>
    <col min="9739" max="9739" width="14.375" style="1635" customWidth="1"/>
    <col min="9740" max="9740" width="6.25" style="1635" customWidth="1"/>
    <col min="9741" max="9741" width="88.25" style="1635" customWidth="1"/>
    <col min="9742" max="9984" width="9" style="1635"/>
    <col min="9985" max="9985" width="43.25" style="1635" customWidth="1"/>
    <col min="9986" max="9986" width="6.25" style="1635" customWidth="1"/>
    <col min="9987" max="9989" width="13.875" style="1635" customWidth="1"/>
    <col min="9990" max="9990" width="6.25" style="1635" customWidth="1"/>
    <col min="9991" max="9991" width="7.875" style="1635" customWidth="1"/>
    <col min="9992" max="9992" width="9" style="1635" customWidth="1"/>
    <col min="9993" max="9994" width="10.625" style="1635" customWidth="1"/>
    <col min="9995" max="9995" width="14.375" style="1635" customWidth="1"/>
    <col min="9996" max="9996" width="6.25" style="1635" customWidth="1"/>
    <col min="9997" max="9997" width="88.25" style="1635" customWidth="1"/>
    <col min="9998" max="10240" width="9" style="1635"/>
    <col min="10241" max="10241" width="43.25" style="1635" customWidth="1"/>
    <col min="10242" max="10242" width="6.25" style="1635" customWidth="1"/>
    <col min="10243" max="10245" width="13.875" style="1635" customWidth="1"/>
    <col min="10246" max="10246" width="6.25" style="1635" customWidth="1"/>
    <col min="10247" max="10247" width="7.875" style="1635" customWidth="1"/>
    <col min="10248" max="10248" width="9" style="1635" customWidth="1"/>
    <col min="10249" max="10250" width="10.625" style="1635" customWidth="1"/>
    <col min="10251" max="10251" width="14.375" style="1635" customWidth="1"/>
    <col min="10252" max="10252" width="6.25" style="1635" customWidth="1"/>
    <col min="10253" max="10253" width="88.25" style="1635" customWidth="1"/>
    <col min="10254" max="10496" width="9" style="1635"/>
    <col min="10497" max="10497" width="43.25" style="1635" customWidth="1"/>
    <col min="10498" max="10498" width="6.25" style="1635" customWidth="1"/>
    <col min="10499" max="10501" width="13.875" style="1635" customWidth="1"/>
    <col min="10502" max="10502" width="6.25" style="1635" customWidth="1"/>
    <col min="10503" max="10503" width="7.875" style="1635" customWidth="1"/>
    <col min="10504" max="10504" width="9" style="1635" customWidth="1"/>
    <col min="10505" max="10506" width="10.625" style="1635" customWidth="1"/>
    <col min="10507" max="10507" width="14.375" style="1635" customWidth="1"/>
    <col min="10508" max="10508" width="6.25" style="1635" customWidth="1"/>
    <col min="10509" max="10509" width="88.25" style="1635" customWidth="1"/>
    <col min="10510" max="10752" width="9" style="1635"/>
    <col min="10753" max="10753" width="43.25" style="1635" customWidth="1"/>
    <col min="10754" max="10754" width="6.25" style="1635" customWidth="1"/>
    <col min="10755" max="10757" width="13.875" style="1635" customWidth="1"/>
    <col min="10758" max="10758" width="6.25" style="1635" customWidth="1"/>
    <col min="10759" max="10759" width="7.875" style="1635" customWidth="1"/>
    <col min="10760" max="10760" width="9" style="1635" customWidth="1"/>
    <col min="10761" max="10762" width="10.625" style="1635" customWidth="1"/>
    <col min="10763" max="10763" width="14.375" style="1635" customWidth="1"/>
    <col min="10764" max="10764" width="6.25" style="1635" customWidth="1"/>
    <col min="10765" max="10765" width="88.25" style="1635" customWidth="1"/>
    <col min="10766" max="11008" width="9" style="1635"/>
    <col min="11009" max="11009" width="43.25" style="1635" customWidth="1"/>
    <col min="11010" max="11010" width="6.25" style="1635" customWidth="1"/>
    <col min="11011" max="11013" width="13.875" style="1635" customWidth="1"/>
    <col min="11014" max="11014" width="6.25" style="1635" customWidth="1"/>
    <col min="11015" max="11015" width="7.875" style="1635" customWidth="1"/>
    <col min="11016" max="11016" width="9" style="1635" customWidth="1"/>
    <col min="11017" max="11018" width="10.625" style="1635" customWidth="1"/>
    <col min="11019" max="11019" width="14.375" style="1635" customWidth="1"/>
    <col min="11020" max="11020" width="6.25" style="1635" customWidth="1"/>
    <col min="11021" max="11021" width="88.25" style="1635" customWidth="1"/>
    <col min="11022" max="11264" width="9" style="1635"/>
    <col min="11265" max="11265" width="43.25" style="1635" customWidth="1"/>
    <col min="11266" max="11266" width="6.25" style="1635" customWidth="1"/>
    <col min="11267" max="11269" width="13.875" style="1635" customWidth="1"/>
    <col min="11270" max="11270" width="6.25" style="1635" customWidth="1"/>
    <col min="11271" max="11271" width="7.875" style="1635" customWidth="1"/>
    <col min="11272" max="11272" width="9" style="1635" customWidth="1"/>
    <col min="11273" max="11274" width="10.625" style="1635" customWidth="1"/>
    <col min="11275" max="11275" width="14.375" style="1635" customWidth="1"/>
    <col min="11276" max="11276" width="6.25" style="1635" customWidth="1"/>
    <col min="11277" max="11277" width="88.25" style="1635" customWidth="1"/>
    <col min="11278" max="11520" width="9" style="1635"/>
    <col min="11521" max="11521" width="43.25" style="1635" customWidth="1"/>
    <col min="11522" max="11522" width="6.25" style="1635" customWidth="1"/>
    <col min="11523" max="11525" width="13.875" style="1635" customWidth="1"/>
    <col min="11526" max="11526" width="6.25" style="1635" customWidth="1"/>
    <col min="11527" max="11527" width="7.875" style="1635" customWidth="1"/>
    <col min="11528" max="11528" width="9" style="1635" customWidth="1"/>
    <col min="11529" max="11530" width="10.625" style="1635" customWidth="1"/>
    <col min="11531" max="11531" width="14.375" style="1635" customWidth="1"/>
    <col min="11532" max="11532" width="6.25" style="1635" customWidth="1"/>
    <col min="11533" max="11533" width="88.25" style="1635" customWidth="1"/>
    <col min="11534" max="11776" width="9" style="1635"/>
    <col min="11777" max="11777" width="43.25" style="1635" customWidth="1"/>
    <col min="11778" max="11778" width="6.25" style="1635" customWidth="1"/>
    <col min="11779" max="11781" width="13.875" style="1635" customWidth="1"/>
    <col min="11782" max="11782" width="6.25" style="1635" customWidth="1"/>
    <col min="11783" max="11783" width="7.875" style="1635" customWidth="1"/>
    <col min="11784" max="11784" width="9" style="1635" customWidth="1"/>
    <col min="11785" max="11786" width="10.625" style="1635" customWidth="1"/>
    <col min="11787" max="11787" width="14.375" style="1635" customWidth="1"/>
    <col min="11788" max="11788" width="6.25" style="1635" customWidth="1"/>
    <col min="11789" max="11789" width="88.25" style="1635" customWidth="1"/>
    <col min="11790" max="12032" width="9" style="1635"/>
    <col min="12033" max="12033" width="43.25" style="1635" customWidth="1"/>
    <col min="12034" max="12034" width="6.25" style="1635" customWidth="1"/>
    <col min="12035" max="12037" width="13.875" style="1635" customWidth="1"/>
    <col min="12038" max="12038" width="6.25" style="1635" customWidth="1"/>
    <col min="12039" max="12039" width="7.875" style="1635" customWidth="1"/>
    <col min="12040" max="12040" width="9" style="1635" customWidth="1"/>
    <col min="12041" max="12042" width="10.625" style="1635" customWidth="1"/>
    <col min="12043" max="12043" width="14.375" style="1635" customWidth="1"/>
    <col min="12044" max="12044" width="6.25" style="1635" customWidth="1"/>
    <col min="12045" max="12045" width="88.25" style="1635" customWidth="1"/>
    <col min="12046" max="12288" width="9" style="1635"/>
    <col min="12289" max="12289" width="43.25" style="1635" customWidth="1"/>
    <col min="12290" max="12290" width="6.25" style="1635" customWidth="1"/>
    <col min="12291" max="12293" width="13.875" style="1635" customWidth="1"/>
    <col min="12294" max="12294" width="6.25" style="1635" customWidth="1"/>
    <col min="12295" max="12295" width="7.875" style="1635" customWidth="1"/>
    <col min="12296" max="12296" width="9" style="1635" customWidth="1"/>
    <col min="12297" max="12298" width="10.625" style="1635" customWidth="1"/>
    <col min="12299" max="12299" width="14.375" style="1635" customWidth="1"/>
    <col min="12300" max="12300" width="6.25" style="1635" customWidth="1"/>
    <col min="12301" max="12301" width="88.25" style="1635" customWidth="1"/>
    <col min="12302" max="12544" width="9" style="1635"/>
    <col min="12545" max="12545" width="43.25" style="1635" customWidth="1"/>
    <col min="12546" max="12546" width="6.25" style="1635" customWidth="1"/>
    <col min="12547" max="12549" width="13.875" style="1635" customWidth="1"/>
    <col min="12550" max="12550" width="6.25" style="1635" customWidth="1"/>
    <col min="12551" max="12551" width="7.875" style="1635" customWidth="1"/>
    <col min="12552" max="12552" width="9" style="1635" customWidth="1"/>
    <col min="12553" max="12554" width="10.625" style="1635" customWidth="1"/>
    <col min="12555" max="12555" width="14.375" style="1635" customWidth="1"/>
    <col min="12556" max="12556" width="6.25" style="1635" customWidth="1"/>
    <col min="12557" max="12557" width="88.25" style="1635" customWidth="1"/>
    <col min="12558" max="12800" width="9" style="1635"/>
    <col min="12801" max="12801" width="43.25" style="1635" customWidth="1"/>
    <col min="12802" max="12802" width="6.25" style="1635" customWidth="1"/>
    <col min="12803" max="12805" width="13.875" style="1635" customWidth="1"/>
    <col min="12806" max="12806" width="6.25" style="1635" customWidth="1"/>
    <col min="12807" max="12807" width="7.875" style="1635" customWidth="1"/>
    <col min="12808" max="12808" width="9" style="1635" customWidth="1"/>
    <col min="12809" max="12810" width="10.625" style="1635" customWidth="1"/>
    <col min="12811" max="12811" width="14.375" style="1635" customWidth="1"/>
    <col min="12812" max="12812" width="6.25" style="1635" customWidth="1"/>
    <col min="12813" max="12813" width="88.25" style="1635" customWidth="1"/>
    <col min="12814" max="13056" width="9" style="1635"/>
    <col min="13057" max="13057" width="43.25" style="1635" customWidth="1"/>
    <col min="13058" max="13058" width="6.25" style="1635" customWidth="1"/>
    <col min="13059" max="13061" width="13.875" style="1635" customWidth="1"/>
    <col min="13062" max="13062" width="6.25" style="1635" customWidth="1"/>
    <col min="13063" max="13063" width="7.875" style="1635" customWidth="1"/>
    <col min="13064" max="13064" width="9" style="1635" customWidth="1"/>
    <col min="13065" max="13066" width="10.625" style="1635" customWidth="1"/>
    <col min="13067" max="13067" width="14.375" style="1635" customWidth="1"/>
    <col min="13068" max="13068" width="6.25" style="1635" customWidth="1"/>
    <col min="13069" max="13069" width="88.25" style="1635" customWidth="1"/>
    <col min="13070" max="13312" width="9" style="1635"/>
    <col min="13313" max="13313" width="43.25" style="1635" customWidth="1"/>
    <col min="13314" max="13314" width="6.25" style="1635" customWidth="1"/>
    <col min="13315" max="13317" width="13.875" style="1635" customWidth="1"/>
    <col min="13318" max="13318" width="6.25" style="1635" customWidth="1"/>
    <col min="13319" max="13319" width="7.875" style="1635" customWidth="1"/>
    <col min="13320" max="13320" width="9" style="1635" customWidth="1"/>
    <col min="13321" max="13322" width="10.625" style="1635" customWidth="1"/>
    <col min="13323" max="13323" width="14.375" style="1635" customWidth="1"/>
    <col min="13324" max="13324" width="6.25" style="1635" customWidth="1"/>
    <col min="13325" max="13325" width="88.25" style="1635" customWidth="1"/>
    <col min="13326" max="13568" width="9" style="1635"/>
    <col min="13569" max="13569" width="43.25" style="1635" customWidth="1"/>
    <col min="13570" max="13570" width="6.25" style="1635" customWidth="1"/>
    <col min="13571" max="13573" width="13.875" style="1635" customWidth="1"/>
    <col min="13574" max="13574" width="6.25" style="1635" customWidth="1"/>
    <col min="13575" max="13575" width="7.875" style="1635" customWidth="1"/>
    <col min="13576" max="13576" width="9" style="1635" customWidth="1"/>
    <col min="13577" max="13578" width="10.625" style="1635" customWidth="1"/>
    <col min="13579" max="13579" width="14.375" style="1635" customWidth="1"/>
    <col min="13580" max="13580" width="6.25" style="1635" customWidth="1"/>
    <col min="13581" max="13581" width="88.25" style="1635" customWidth="1"/>
    <col min="13582" max="13824" width="9" style="1635"/>
    <col min="13825" max="13825" width="43.25" style="1635" customWidth="1"/>
    <col min="13826" max="13826" width="6.25" style="1635" customWidth="1"/>
    <col min="13827" max="13829" width="13.875" style="1635" customWidth="1"/>
    <col min="13830" max="13830" width="6.25" style="1635" customWidth="1"/>
    <col min="13831" max="13831" width="7.875" style="1635" customWidth="1"/>
    <col min="13832" max="13832" width="9" style="1635" customWidth="1"/>
    <col min="13833" max="13834" width="10.625" style="1635" customWidth="1"/>
    <col min="13835" max="13835" width="14.375" style="1635" customWidth="1"/>
    <col min="13836" max="13836" width="6.25" style="1635" customWidth="1"/>
    <col min="13837" max="13837" width="88.25" style="1635" customWidth="1"/>
    <col min="13838" max="14080" width="9" style="1635"/>
    <col min="14081" max="14081" width="43.25" style="1635" customWidth="1"/>
    <col min="14082" max="14082" width="6.25" style="1635" customWidth="1"/>
    <col min="14083" max="14085" width="13.875" style="1635" customWidth="1"/>
    <col min="14086" max="14086" width="6.25" style="1635" customWidth="1"/>
    <col min="14087" max="14087" width="7.875" style="1635" customWidth="1"/>
    <col min="14088" max="14088" width="9" style="1635" customWidth="1"/>
    <col min="14089" max="14090" width="10.625" style="1635" customWidth="1"/>
    <col min="14091" max="14091" width="14.375" style="1635" customWidth="1"/>
    <col min="14092" max="14092" width="6.25" style="1635" customWidth="1"/>
    <col min="14093" max="14093" width="88.25" style="1635" customWidth="1"/>
    <col min="14094" max="14336" width="9" style="1635"/>
    <col min="14337" max="14337" width="43.25" style="1635" customWidth="1"/>
    <col min="14338" max="14338" width="6.25" style="1635" customWidth="1"/>
    <col min="14339" max="14341" width="13.875" style="1635" customWidth="1"/>
    <col min="14342" max="14342" width="6.25" style="1635" customWidth="1"/>
    <col min="14343" max="14343" width="7.875" style="1635" customWidth="1"/>
    <col min="14344" max="14344" width="9" style="1635" customWidth="1"/>
    <col min="14345" max="14346" width="10.625" style="1635" customWidth="1"/>
    <col min="14347" max="14347" width="14.375" style="1635" customWidth="1"/>
    <col min="14348" max="14348" width="6.25" style="1635" customWidth="1"/>
    <col min="14349" max="14349" width="88.25" style="1635" customWidth="1"/>
    <col min="14350" max="14592" width="9" style="1635"/>
    <col min="14593" max="14593" width="43.25" style="1635" customWidth="1"/>
    <col min="14594" max="14594" width="6.25" style="1635" customWidth="1"/>
    <col min="14595" max="14597" width="13.875" style="1635" customWidth="1"/>
    <col min="14598" max="14598" width="6.25" style="1635" customWidth="1"/>
    <col min="14599" max="14599" width="7.875" style="1635" customWidth="1"/>
    <col min="14600" max="14600" width="9" style="1635" customWidth="1"/>
    <col min="14601" max="14602" width="10.625" style="1635" customWidth="1"/>
    <col min="14603" max="14603" width="14.375" style="1635" customWidth="1"/>
    <col min="14604" max="14604" width="6.25" style="1635" customWidth="1"/>
    <col min="14605" max="14605" width="88.25" style="1635" customWidth="1"/>
    <col min="14606" max="14848" width="9" style="1635"/>
    <col min="14849" max="14849" width="43.25" style="1635" customWidth="1"/>
    <col min="14850" max="14850" width="6.25" style="1635" customWidth="1"/>
    <col min="14851" max="14853" width="13.875" style="1635" customWidth="1"/>
    <col min="14854" max="14854" width="6.25" style="1635" customWidth="1"/>
    <col min="14855" max="14855" width="7.875" style="1635" customWidth="1"/>
    <col min="14856" max="14856" width="9" style="1635" customWidth="1"/>
    <col min="14857" max="14858" width="10.625" style="1635" customWidth="1"/>
    <col min="14859" max="14859" width="14.375" style="1635" customWidth="1"/>
    <col min="14860" max="14860" width="6.25" style="1635" customWidth="1"/>
    <col min="14861" max="14861" width="88.25" style="1635" customWidth="1"/>
    <col min="14862" max="15104" width="9" style="1635"/>
    <col min="15105" max="15105" width="43.25" style="1635" customWidth="1"/>
    <col min="15106" max="15106" width="6.25" style="1635" customWidth="1"/>
    <col min="15107" max="15109" width="13.875" style="1635" customWidth="1"/>
    <col min="15110" max="15110" width="6.25" style="1635" customWidth="1"/>
    <col min="15111" max="15111" width="7.875" style="1635" customWidth="1"/>
    <col min="15112" max="15112" width="9" style="1635" customWidth="1"/>
    <col min="15113" max="15114" width="10.625" style="1635" customWidth="1"/>
    <col min="15115" max="15115" width="14.375" style="1635" customWidth="1"/>
    <col min="15116" max="15116" width="6.25" style="1635" customWidth="1"/>
    <col min="15117" max="15117" width="88.25" style="1635" customWidth="1"/>
    <col min="15118" max="15360" width="9" style="1635"/>
    <col min="15361" max="15361" width="43.25" style="1635" customWidth="1"/>
    <col min="15362" max="15362" width="6.25" style="1635" customWidth="1"/>
    <col min="15363" max="15365" width="13.875" style="1635" customWidth="1"/>
    <col min="15366" max="15366" width="6.25" style="1635" customWidth="1"/>
    <col min="15367" max="15367" width="7.875" style="1635" customWidth="1"/>
    <col min="15368" max="15368" width="9" style="1635" customWidth="1"/>
    <col min="15369" max="15370" width="10.625" style="1635" customWidth="1"/>
    <col min="15371" max="15371" width="14.375" style="1635" customWidth="1"/>
    <col min="15372" max="15372" width="6.25" style="1635" customWidth="1"/>
    <col min="15373" max="15373" width="88.25" style="1635" customWidth="1"/>
    <col min="15374" max="15616" width="9" style="1635"/>
    <col min="15617" max="15617" width="43.25" style="1635" customWidth="1"/>
    <col min="15618" max="15618" width="6.25" style="1635" customWidth="1"/>
    <col min="15619" max="15621" width="13.875" style="1635" customWidth="1"/>
    <col min="15622" max="15622" width="6.25" style="1635" customWidth="1"/>
    <col min="15623" max="15623" width="7.875" style="1635" customWidth="1"/>
    <col min="15624" max="15624" width="9" style="1635" customWidth="1"/>
    <col min="15625" max="15626" width="10.625" style="1635" customWidth="1"/>
    <col min="15627" max="15627" width="14.375" style="1635" customWidth="1"/>
    <col min="15628" max="15628" width="6.25" style="1635" customWidth="1"/>
    <col min="15629" max="15629" width="88.25" style="1635" customWidth="1"/>
    <col min="15630" max="15872" width="9" style="1635"/>
    <col min="15873" max="15873" width="43.25" style="1635" customWidth="1"/>
    <col min="15874" max="15874" width="6.25" style="1635" customWidth="1"/>
    <col min="15875" max="15877" width="13.875" style="1635" customWidth="1"/>
    <col min="15878" max="15878" width="6.25" style="1635" customWidth="1"/>
    <col min="15879" max="15879" width="7.875" style="1635" customWidth="1"/>
    <col min="15880" max="15880" width="9" style="1635" customWidth="1"/>
    <col min="15881" max="15882" width="10.625" style="1635" customWidth="1"/>
    <col min="15883" max="15883" width="14.375" style="1635" customWidth="1"/>
    <col min="15884" max="15884" width="6.25" style="1635" customWidth="1"/>
    <col min="15885" max="15885" width="88.25" style="1635" customWidth="1"/>
    <col min="15886" max="16128" width="9" style="1635"/>
    <col min="16129" max="16129" width="43.25" style="1635" customWidth="1"/>
    <col min="16130" max="16130" width="6.25" style="1635" customWidth="1"/>
    <col min="16131" max="16133" width="13.875" style="1635" customWidth="1"/>
    <col min="16134" max="16134" width="6.25" style="1635" customWidth="1"/>
    <col min="16135" max="16135" width="7.875" style="1635" customWidth="1"/>
    <col min="16136" max="16136" width="9" style="1635" customWidth="1"/>
    <col min="16137" max="16138" width="10.625" style="1635" customWidth="1"/>
    <col min="16139" max="16139" width="14.375" style="1635" customWidth="1"/>
    <col min="16140" max="16140" width="6.25" style="1635" customWidth="1"/>
    <col min="16141" max="16141" width="88.25" style="1635" customWidth="1"/>
    <col min="16142" max="16384" width="9" style="1635"/>
  </cols>
  <sheetData>
    <row r="1" spans="1:13">
      <c r="A1" s="1635" t="s">
        <v>3183</v>
      </c>
      <c r="B1" s="1635" t="s">
        <v>3184</v>
      </c>
      <c r="C1" s="1635" t="s">
        <v>3185</v>
      </c>
      <c r="D1" s="1635" t="s">
        <v>3186</v>
      </c>
      <c r="E1" s="1635" t="s">
        <v>3187</v>
      </c>
      <c r="F1" s="1635" t="s">
        <v>3188</v>
      </c>
      <c r="G1" s="1635" t="s">
        <v>3189</v>
      </c>
      <c r="H1" s="1635" t="s">
        <v>3190</v>
      </c>
      <c r="I1" s="1635" t="s">
        <v>3191</v>
      </c>
      <c r="J1" s="1635" t="s">
        <v>3192</v>
      </c>
      <c r="K1" s="1635" t="s">
        <v>3193</v>
      </c>
      <c r="L1" s="1635" t="s">
        <v>3194</v>
      </c>
      <c r="M1" s="1635" t="s">
        <v>3195</v>
      </c>
    </row>
    <row r="2" spans="1:13" s="2984" customFormat="1">
      <c r="A2" s="2984" t="s">
        <v>3196</v>
      </c>
      <c r="B2" s="2984" t="s">
        <v>3107</v>
      </c>
      <c r="C2" s="2984" t="s">
        <v>3197</v>
      </c>
      <c r="D2" s="2984">
        <v>99493.38</v>
      </c>
      <c r="E2" s="2984">
        <v>218506</v>
      </c>
      <c r="F2" s="2984" t="s">
        <v>3198</v>
      </c>
      <c r="G2" s="2984" t="s">
        <v>3199</v>
      </c>
      <c r="H2" s="2984" t="s">
        <v>3200</v>
      </c>
      <c r="I2" s="2984">
        <v>128000</v>
      </c>
      <c r="J2" s="2984">
        <v>214000</v>
      </c>
      <c r="K2" s="2984">
        <v>9793.7800000000007</v>
      </c>
      <c r="L2" s="2984">
        <v>67.19</v>
      </c>
      <c r="M2" s="2984" t="s">
        <v>3201</v>
      </c>
    </row>
    <row r="3" spans="1:13">
      <c r="A3" s="1635" t="s">
        <v>3202</v>
      </c>
      <c r="B3" s="1635" t="s">
        <v>3107</v>
      </c>
      <c r="C3" s="1635" t="s">
        <v>3197</v>
      </c>
      <c r="D3" s="1635">
        <v>72996.72</v>
      </c>
      <c r="E3" s="1635">
        <v>155965</v>
      </c>
      <c r="F3" s="1635">
        <v>2.14</v>
      </c>
      <c r="G3" s="1635" t="s">
        <v>3199</v>
      </c>
      <c r="H3" s="1635" t="s">
        <v>3203</v>
      </c>
      <c r="I3" s="1635">
        <v>202600</v>
      </c>
      <c r="J3" s="1635">
        <v>254000</v>
      </c>
      <c r="K3" s="1635">
        <v>16285.7</v>
      </c>
      <c r="L3" s="1635">
        <v>25.37</v>
      </c>
      <c r="M3" s="1635" t="s">
        <v>3204</v>
      </c>
    </row>
    <row r="4" spans="1:13">
      <c r="A4" s="1635" t="s">
        <v>3205</v>
      </c>
      <c r="B4" s="1635" t="s">
        <v>3107</v>
      </c>
      <c r="C4" s="1635" t="s">
        <v>3197</v>
      </c>
      <c r="D4" s="1635">
        <v>59994</v>
      </c>
      <c r="E4" s="1635">
        <v>123171</v>
      </c>
      <c r="F4" s="1635">
        <v>2.0499999999999998</v>
      </c>
      <c r="G4" s="1635" t="s">
        <v>3199</v>
      </c>
      <c r="H4" s="1635" t="s">
        <v>3203</v>
      </c>
      <c r="I4" s="1635">
        <v>161500</v>
      </c>
      <c r="J4" s="1635">
        <v>182000</v>
      </c>
      <c r="K4" s="1635">
        <v>14776.2</v>
      </c>
      <c r="L4" s="1635">
        <v>12.69</v>
      </c>
      <c r="M4" s="1635" t="s">
        <v>3206</v>
      </c>
    </row>
    <row r="5" spans="1:13">
      <c r="A5" s="1635" t="s">
        <v>3207</v>
      </c>
      <c r="B5" s="1635" t="s">
        <v>3107</v>
      </c>
      <c r="C5" s="1635" t="s">
        <v>3208</v>
      </c>
      <c r="D5" s="1635">
        <v>95947</v>
      </c>
      <c r="E5" s="1635">
        <v>211083</v>
      </c>
      <c r="F5" s="1635">
        <v>2.2000000000000002</v>
      </c>
      <c r="G5" s="1635" t="s">
        <v>3199</v>
      </c>
      <c r="H5" s="1635" t="s">
        <v>3209</v>
      </c>
      <c r="I5" s="1635">
        <v>370000</v>
      </c>
      <c r="J5" s="1635">
        <v>370000</v>
      </c>
      <c r="K5" s="1635">
        <v>17528.650000000001</v>
      </c>
      <c r="L5" s="1635">
        <v>0</v>
      </c>
      <c r="M5" s="1635" t="s">
        <v>3210</v>
      </c>
    </row>
    <row r="6" spans="1:13">
      <c r="A6" s="1635" t="s">
        <v>3211</v>
      </c>
      <c r="B6" s="1635" t="s">
        <v>3107</v>
      </c>
      <c r="C6" s="1635" t="s">
        <v>3208</v>
      </c>
      <c r="D6" s="1635">
        <v>66465.42</v>
      </c>
      <c r="E6" s="1635">
        <v>99698</v>
      </c>
      <c r="F6" s="1635">
        <v>1.5</v>
      </c>
      <c r="G6" s="1635" t="s">
        <v>3199</v>
      </c>
      <c r="H6" s="1635" t="s">
        <v>3209</v>
      </c>
      <c r="I6" s="1635">
        <v>185000</v>
      </c>
      <c r="J6" s="1635">
        <v>190000</v>
      </c>
      <c r="K6" s="1635">
        <v>19057.54</v>
      </c>
      <c r="L6" s="1635">
        <v>2.7</v>
      </c>
      <c r="M6" s="1635" t="s">
        <v>3212</v>
      </c>
    </row>
    <row r="7" spans="1:13">
      <c r="A7" s="1635" t="s">
        <v>3213</v>
      </c>
      <c r="B7" s="1635" t="s">
        <v>3107</v>
      </c>
      <c r="C7" s="1635" t="s">
        <v>3197</v>
      </c>
      <c r="D7" s="1635">
        <v>48377.1</v>
      </c>
      <c r="E7" s="1635">
        <v>87296.2</v>
      </c>
      <c r="F7" s="1635">
        <v>1.8</v>
      </c>
      <c r="G7" s="1635" t="s">
        <v>3199</v>
      </c>
      <c r="H7" s="1635" t="s">
        <v>3214</v>
      </c>
      <c r="I7" s="1635">
        <v>160000</v>
      </c>
      <c r="J7" s="1635">
        <v>222000</v>
      </c>
      <c r="K7" s="1635">
        <v>25430.65</v>
      </c>
      <c r="L7" s="1635">
        <v>38.75</v>
      </c>
      <c r="M7" s="1635" t="s">
        <v>3215</v>
      </c>
    </row>
    <row r="8" spans="1:13">
      <c r="A8" s="1635" t="s">
        <v>3216</v>
      </c>
      <c r="B8" s="1635" t="s">
        <v>3107</v>
      </c>
      <c r="C8" s="1635" t="s">
        <v>3197</v>
      </c>
      <c r="D8" s="1635">
        <v>81664.259999999995</v>
      </c>
      <c r="E8" s="1635">
        <v>97997</v>
      </c>
      <c r="F8" s="1635">
        <v>1.2</v>
      </c>
      <c r="G8" s="1635" t="s">
        <v>3199</v>
      </c>
      <c r="H8" s="1635" t="s">
        <v>3217</v>
      </c>
      <c r="I8" s="1635">
        <v>90000</v>
      </c>
      <c r="J8" s="1635">
        <v>125000</v>
      </c>
      <c r="K8" s="1635">
        <v>12755.48</v>
      </c>
      <c r="L8" s="1635">
        <v>38.89</v>
      </c>
      <c r="M8" s="1635" t="s">
        <v>3218</v>
      </c>
    </row>
    <row r="9" spans="1:13">
      <c r="A9" s="1635" t="s">
        <v>3219</v>
      </c>
      <c r="B9" s="1635" t="s">
        <v>3107</v>
      </c>
      <c r="C9" s="1635" t="s">
        <v>3208</v>
      </c>
      <c r="D9" s="1635">
        <v>65516.160000000003</v>
      </c>
      <c r="E9" s="1635">
        <v>163790</v>
      </c>
      <c r="F9" s="1635">
        <v>2.5</v>
      </c>
      <c r="G9" s="1635" t="s">
        <v>3199</v>
      </c>
      <c r="H9" s="1635" t="s">
        <v>3220</v>
      </c>
      <c r="I9" s="1635">
        <v>190100</v>
      </c>
      <c r="J9" s="1635">
        <v>240000</v>
      </c>
      <c r="K9" s="1635">
        <v>14652.9</v>
      </c>
      <c r="L9" s="1635">
        <v>26.25</v>
      </c>
      <c r="M9" s="1635" t="s">
        <v>3221</v>
      </c>
    </row>
    <row r="10" spans="1:13" s="2984" customFormat="1">
      <c r="A10" s="2984" t="s">
        <v>3222</v>
      </c>
      <c r="B10" s="2984" t="s">
        <v>3107</v>
      </c>
      <c r="C10" s="2984" t="s">
        <v>3197</v>
      </c>
      <c r="D10" s="2984">
        <v>20342.53</v>
      </c>
      <c r="E10" s="2984">
        <v>61028</v>
      </c>
      <c r="F10" s="2984">
        <v>3</v>
      </c>
      <c r="G10" s="2984" t="s">
        <v>3199</v>
      </c>
      <c r="H10" s="2984" t="s">
        <v>3223</v>
      </c>
      <c r="I10" s="2984">
        <v>60000</v>
      </c>
      <c r="J10" s="2984">
        <v>62000</v>
      </c>
      <c r="K10" s="2984">
        <v>10159.27</v>
      </c>
      <c r="L10" s="2984">
        <v>3.33</v>
      </c>
      <c r="M10" s="2984" t="s">
        <v>3224</v>
      </c>
    </row>
    <row r="11" spans="1:13">
      <c r="A11" s="1635" t="s">
        <v>3225</v>
      </c>
      <c r="B11" s="1635" t="s">
        <v>3107</v>
      </c>
      <c r="C11" s="1635" t="s">
        <v>3197</v>
      </c>
      <c r="D11" s="1635">
        <v>31048.69</v>
      </c>
      <c r="E11" s="1635">
        <v>77622</v>
      </c>
      <c r="F11" s="1635">
        <v>2.5</v>
      </c>
      <c r="G11" s="1635" t="s">
        <v>3199</v>
      </c>
      <c r="H11" s="1635" t="s">
        <v>3226</v>
      </c>
      <c r="I11" s="1635">
        <v>145000</v>
      </c>
      <c r="J11" s="1635">
        <v>146500</v>
      </c>
      <c r="K11" s="1635">
        <v>18873.52</v>
      </c>
      <c r="L11" s="1635">
        <v>1.03</v>
      </c>
      <c r="M11" s="1635" t="s">
        <v>3227</v>
      </c>
    </row>
    <row r="12" spans="1:13">
      <c r="A12" s="1635" t="s">
        <v>3228</v>
      </c>
      <c r="B12" s="1635" t="s">
        <v>3107</v>
      </c>
      <c r="C12" s="1635" t="s">
        <v>3208</v>
      </c>
      <c r="D12" s="1635">
        <v>44353.34</v>
      </c>
      <c r="E12" s="1635">
        <v>97577</v>
      </c>
      <c r="F12" s="1635">
        <v>2.2000000000000002</v>
      </c>
      <c r="G12" s="1635" t="s">
        <v>3199</v>
      </c>
      <c r="H12" s="1635" t="s">
        <v>3226</v>
      </c>
      <c r="I12" s="1635">
        <v>175000</v>
      </c>
      <c r="J12" s="1635">
        <v>222000</v>
      </c>
      <c r="K12" s="1635">
        <v>22751.25</v>
      </c>
      <c r="L12" s="1635">
        <v>26.86</v>
      </c>
      <c r="M12" s="1635" t="s">
        <v>3229</v>
      </c>
    </row>
    <row r="13" spans="1:13" s="2984" customFormat="1">
      <c r="A13" s="2984" t="s">
        <v>3230</v>
      </c>
      <c r="B13" s="2984" t="s">
        <v>3107</v>
      </c>
      <c r="C13" s="2984" t="s">
        <v>3208</v>
      </c>
      <c r="D13" s="2984">
        <v>20763.830000000002</v>
      </c>
      <c r="E13" s="2984">
        <v>45680</v>
      </c>
      <c r="F13" s="2984">
        <v>2.2000000000000002</v>
      </c>
      <c r="G13" s="2984" t="s">
        <v>3199</v>
      </c>
      <c r="H13" s="2984" t="s">
        <v>3226</v>
      </c>
      <c r="I13" s="2984">
        <v>37000</v>
      </c>
      <c r="J13" s="2984">
        <v>37800</v>
      </c>
      <c r="K13" s="2984">
        <v>8274.9500000000007</v>
      </c>
      <c r="L13" s="2984">
        <v>2.16</v>
      </c>
      <c r="M13" s="2984" t="s">
        <v>3227</v>
      </c>
    </row>
    <row r="14" spans="1:13">
      <c r="A14" s="1635" t="s">
        <v>3231</v>
      </c>
      <c r="B14" s="1635" t="s">
        <v>3107</v>
      </c>
      <c r="C14" s="1635" t="s">
        <v>3197</v>
      </c>
      <c r="D14" s="1635">
        <v>151051.70000000001</v>
      </c>
      <c r="E14" s="1635">
        <v>274253</v>
      </c>
      <c r="F14" s="1635" t="s">
        <v>3232</v>
      </c>
      <c r="G14" s="1635" t="s">
        <v>3199</v>
      </c>
      <c r="H14" s="1635" t="s">
        <v>3233</v>
      </c>
      <c r="I14" s="1635">
        <v>385000</v>
      </c>
      <c r="J14" s="1635">
        <v>502000</v>
      </c>
      <c r="K14" s="1635">
        <v>18304.27</v>
      </c>
      <c r="L14" s="1635">
        <v>30.39</v>
      </c>
      <c r="M14" s="1635" t="s">
        <v>3234</v>
      </c>
    </row>
    <row r="15" spans="1:13">
      <c r="A15" s="1635" t="s">
        <v>3235</v>
      </c>
      <c r="B15" s="1635" t="s">
        <v>3107</v>
      </c>
      <c r="C15" s="1635" t="s">
        <v>3208</v>
      </c>
      <c r="D15" s="1635">
        <v>41170.230000000003</v>
      </c>
      <c r="E15" s="1635">
        <v>60109</v>
      </c>
      <c r="F15" s="1635">
        <v>1.46</v>
      </c>
      <c r="G15" s="1635" t="s">
        <v>3199</v>
      </c>
      <c r="H15" s="1635" t="s">
        <v>3236</v>
      </c>
      <c r="I15" s="1635">
        <v>88000</v>
      </c>
      <c r="J15" s="1635">
        <v>121000</v>
      </c>
      <c r="K15" s="1635">
        <v>20130.09</v>
      </c>
      <c r="L15" s="1635">
        <v>37.5</v>
      </c>
      <c r="M15" s="1635" t="s">
        <v>3237</v>
      </c>
    </row>
    <row r="16" spans="1:13">
      <c r="A16" s="1635" t="s">
        <v>3238</v>
      </c>
      <c r="B16" s="1635" t="s">
        <v>3107</v>
      </c>
      <c r="C16" s="1635" t="s">
        <v>3208</v>
      </c>
      <c r="D16" s="1635">
        <v>45104.74</v>
      </c>
      <c r="E16" s="1635">
        <v>112093</v>
      </c>
      <c r="F16" s="1635">
        <v>2.5</v>
      </c>
      <c r="G16" s="1635" t="s">
        <v>3199</v>
      </c>
      <c r="H16" s="1635" t="s">
        <v>3236</v>
      </c>
      <c r="I16" s="1635">
        <v>130000</v>
      </c>
      <c r="J16" s="1635">
        <v>193000</v>
      </c>
      <c r="K16" s="1635">
        <v>17217.84</v>
      </c>
      <c r="L16" s="1635">
        <v>48.46</v>
      </c>
      <c r="M16" s="1635" t="s">
        <v>3239</v>
      </c>
    </row>
    <row r="17" spans="1:13">
      <c r="A17" s="1635" t="s">
        <v>3240</v>
      </c>
      <c r="B17" s="1635" t="s">
        <v>3107</v>
      </c>
      <c r="C17" s="1635" t="s">
        <v>3197</v>
      </c>
      <c r="D17" s="1635">
        <v>32606.69</v>
      </c>
      <c r="E17" s="1635">
        <v>57599</v>
      </c>
      <c r="F17" s="1635" t="s">
        <v>3241</v>
      </c>
      <c r="G17" s="1635" t="s">
        <v>3199</v>
      </c>
      <c r="H17" s="1635" t="s">
        <v>3242</v>
      </c>
      <c r="I17" s="1635">
        <v>77000</v>
      </c>
      <c r="J17" s="1635">
        <v>103000</v>
      </c>
      <c r="K17" s="1635">
        <v>17882.25</v>
      </c>
      <c r="L17" s="1635">
        <v>33.770000000000003</v>
      </c>
      <c r="M17" s="1635" t="s">
        <v>3243</v>
      </c>
    </row>
    <row r="18" spans="1:13">
      <c r="A18" s="1635" t="s">
        <v>3244</v>
      </c>
      <c r="B18" s="1635" t="s">
        <v>3107</v>
      </c>
      <c r="C18" s="1635" t="s">
        <v>3208</v>
      </c>
      <c r="D18" s="1635">
        <v>63029.62</v>
      </c>
      <c r="E18" s="1635">
        <v>126059</v>
      </c>
      <c r="F18" s="1635">
        <v>2</v>
      </c>
      <c r="G18" s="1635" t="s">
        <v>3199</v>
      </c>
      <c r="H18" s="1635" t="s">
        <v>3242</v>
      </c>
      <c r="I18" s="1635">
        <v>240000</v>
      </c>
      <c r="J18" s="1635">
        <v>380000</v>
      </c>
      <c r="K18" s="1635">
        <v>30144.61</v>
      </c>
      <c r="L18" s="1635">
        <v>58.33</v>
      </c>
      <c r="M18" s="1635" t="s">
        <v>3245</v>
      </c>
    </row>
    <row r="19" spans="1:13">
      <c r="A19" s="1635" t="s">
        <v>3246</v>
      </c>
      <c r="B19" s="1635" t="s">
        <v>3107</v>
      </c>
      <c r="C19" s="1635" t="s">
        <v>3208</v>
      </c>
      <c r="D19" s="1635">
        <v>52752.37</v>
      </c>
      <c r="E19" s="1635">
        <v>129006</v>
      </c>
      <c r="F19" s="1635">
        <v>2.4500000000000002</v>
      </c>
      <c r="G19" s="1635" t="s">
        <v>3247</v>
      </c>
      <c r="H19" s="1635" t="s">
        <v>3248</v>
      </c>
      <c r="I19" s="1635" t="s">
        <v>1331</v>
      </c>
      <c r="J19" s="1635">
        <v>67278</v>
      </c>
      <c r="K19" s="1635">
        <v>5215.1000000000004</v>
      </c>
      <c r="L19" s="1635" t="s">
        <v>1331</v>
      </c>
      <c r="M19" s="1635" t="s">
        <v>3249</v>
      </c>
    </row>
    <row r="20" spans="1:13">
      <c r="A20" s="1635" t="s">
        <v>3250</v>
      </c>
      <c r="B20" s="1635" t="s">
        <v>3107</v>
      </c>
      <c r="C20" s="1635" t="s">
        <v>3208</v>
      </c>
      <c r="D20" s="1635">
        <v>32878.9</v>
      </c>
      <c r="E20" s="1635">
        <v>92061</v>
      </c>
      <c r="F20" s="1635">
        <v>2.8</v>
      </c>
      <c r="G20" s="1635" t="s">
        <v>3199</v>
      </c>
      <c r="H20" s="1635" t="s">
        <v>3251</v>
      </c>
      <c r="I20" s="1635">
        <v>113000</v>
      </c>
      <c r="J20" s="1635">
        <v>158000</v>
      </c>
      <c r="K20" s="1635">
        <v>17162.52</v>
      </c>
      <c r="L20" s="1635">
        <v>39.82</v>
      </c>
      <c r="M20" s="1635" t="s">
        <v>3252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1642</v>
      </c>
      <c r="B2" s="3000" t="s">
        <v>1643</v>
      </c>
      <c r="C2" s="3000" t="s">
        <v>1644</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3001"/>
      <c r="B3" s="3001"/>
      <c r="C3" s="3001"/>
      <c r="D3" s="1044" t="s">
        <v>1639</v>
      </c>
      <c r="E3" s="1044" t="s">
        <v>1645</v>
      </c>
      <c r="F3" s="1044" t="s">
        <v>1639</v>
      </c>
      <c r="G3" s="1044" t="s">
        <v>1640</v>
      </c>
      <c r="H3" s="1044" t="s">
        <v>1639</v>
      </c>
      <c r="I3" s="1044" t="s">
        <v>1640</v>
      </c>
    </row>
    <row r="4" spans="1:9" ht="45">
      <c r="A4" s="1973" t="str">
        <f>项目基本情况!S2</f>
        <v>北京市昌平区北七家镇GZT-05-2地块出让国有建设用地使用权及在建建筑物房地产</v>
      </c>
      <c r="B4" s="1044">
        <f>项目基本情况!C17</f>
        <v>85215.679999999964</v>
      </c>
      <c r="C4" s="1044">
        <f>项目基本情况!C18</f>
        <v>22955.7</v>
      </c>
      <c r="D4" s="1044">
        <f ca="1">结果表!D118</f>
        <v>46689</v>
      </c>
      <c r="E4" s="1044">
        <f ca="1">结果表!E118</f>
        <v>5479</v>
      </c>
      <c r="F4" s="1044">
        <f ca="1">结果表!F118</f>
        <v>20297</v>
      </c>
      <c r="G4" s="1044">
        <f ca="1">结果表!G118</f>
        <v>2382</v>
      </c>
      <c r="H4" s="1044">
        <f ca="1">结果表!H118</f>
        <v>66986</v>
      </c>
      <c r="I4" s="1044">
        <f ca="1">结果表!I118</f>
        <v>7861</v>
      </c>
    </row>
    <row r="5" spans="1:9" ht="30" customHeight="1">
      <c r="A5" s="3001" t="s">
        <v>1641</v>
      </c>
      <c r="B5" s="3001"/>
      <c r="C5" s="3001"/>
      <c r="D5" s="3002" t="str">
        <f ca="1">结果表!D119</f>
        <v>肆亿陆仟陆佰捌拾玖万元整</v>
      </c>
      <c r="E5" s="3002"/>
      <c r="F5" s="3002" t="str">
        <f ca="1">结果表!F119</f>
        <v>贰亿零贰佰玖拾柒万元整</v>
      </c>
      <c r="G5" s="3002"/>
      <c r="H5" s="3002" t="str">
        <f ca="1">结果表!H119</f>
        <v>陆亿陆仟玖佰捌拾陆万元整</v>
      </c>
      <c r="I5" s="3002"/>
    </row>
    <row r="6" spans="1:9" ht="15.75">
      <c r="A6" s="3003" t="str">
        <f>结果表!A120</f>
        <v>估价师知悉的法定优先受偿款</v>
      </c>
      <c r="B6" s="3003"/>
      <c r="C6" s="3003"/>
      <c r="D6" s="3003">
        <f>结果表!D120</f>
        <v>0</v>
      </c>
      <c r="E6" s="3003"/>
      <c r="F6" s="3003"/>
      <c r="G6" s="3003"/>
      <c r="H6" s="3003"/>
      <c r="I6" s="3003"/>
    </row>
    <row r="7" spans="1:9" ht="15">
      <c r="A7" s="3001" t="s">
        <v>1641</v>
      </c>
      <c r="B7" s="3001"/>
      <c r="C7" s="3001"/>
      <c r="D7" s="3004" t="str">
        <f>结果表!D121</f>
        <v>零元整</v>
      </c>
      <c r="E7" s="3005"/>
      <c r="F7" s="3005"/>
      <c r="G7" s="3005"/>
      <c r="H7" s="3005"/>
      <c r="I7" s="3006"/>
    </row>
    <row r="8" spans="1:9" ht="15.75">
      <c r="A8" s="3003" t="str">
        <f>结果表!A122</f>
        <v>房地产抵押价值</v>
      </c>
      <c r="B8" s="3003"/>
      <c r="C8" s="3003"/>
      <c r="D8" s="3003">
        <f ca="1">结果表!D122</f>
        <v>66986</v>
      </c>
      <c r="E8" s="3003"/>
      <c r="F8" s="3003"/>
      <c r="G8" s="3003"/>
      <c r="H8" s="3003"/>
      <c r="I8" s="3003"/>
    </row>
    <row r="9" spans="1:9" ht="15">
      <c r="A9" s="3001" t="s">
        <v>1641</v>
      </c>
      <c r="B9" s="3001"/>
      <c r="C9" s="3001"/>
      <c r="D9" s="3002" t="str">
        <f ca="1">结果表!D123</f>
        <v>陆亿陆仟玖佰捌拾陆万元整</v>
      </c>
      <c r="E9" s="3002"/>
      <c r="F9" s="3002"/>
      <c r="G9" s="3002"/>
      <c r="H9" s="3002"/>
      <c r="I9" s="3002"/>
    </row>
    <row r="10" spans="1:9" ht="15.75">
      <c r="A10" s="3003" t="str">
        <f>结果表!A124</f>
        <v/>
      </c>
      <c r="B10" s="3003"/>
      <c r="C10" s="3003"/>
      <c r="D10" s="3003" t="str">
        <f>结果表!D124</f>
        <v>——</v>
      </c>
      <c r="E10" s="3003"/>
      <c r="F10" s="3003"/>
      <c r="G10" s="3003"/>
      <c r="H10" s="3003"/>
      <c r="I10" s="3003"/>
    </row>
    <row r="11" spans="1:9" ht="15">
      <c r="A11" s="3001" t="s">
        <v>1641</v>
      </c>
      <c r="B11" s="3001"/>
      <c r="C11" s="3001"/>
      <c r="D11" s="3002" t="e">
        <f>结果表!D125</f>
        <v>#VALUE!</v>
      </c>
      <c r="E11" s="3002"/>
      <c r="F11" s="3002"/>
      <c r="G11" s="3002"/>
      <c r="H11" s="3002"/>
      <c r="I11" s="3002"/>
    </row>
    <row r="12" spans="1:9" ht="15.75">
      <c r="A12" s="3003" t="str">
        <f>结果表!A126</f>
        <v/>
      </c>
      <c r="B12" s="3003"/>
      <c r="C12" s="3003"/>
      <c r="D12" s="3003" t="str">
        <f>结果表!D126</f>
        <v>——</v>
      </c>
      <c r="E12" s="3003"/>
      <c r="F12" s="3003"/>
      <c r="G12" s="3003"/>
      <c r="H12" s="3003"/>
      <c r="I12" s="3003"/>
    </row>
    <row r="13" spans="1:9" ht="15.75" thickBot="1">
      <c r="A13" s="3007" t="s">
        <v>1641</v>
      </c>
      <c r="B13" s="3007"/>
      <c r="C13" s="3007"/>
      <c r="D13" s="3008" t="e">
        <f>结果表!D127</f>
        <v>#VALUE!</v>
      </c>
      <c r="E13" s="3008"/>
      <c r="F13" s="3008"/>
      <c r="G13" s="3008"/>
      <c r="H13" s="3008"/>
      <c r="I13" s="3008"/>
    </row>
    <row r="14" spans="1:9" ht="15" thickTop="1">
      <c r="A14" s="3009" t="s">
        <v>1646</v>
      </c>
      <c r="B14" s="3009"/>
      <c r="C14" s="3009"/>
      <c r="D14" s="3009"/>
      <c r="E14" s="3009"/>
      <c r="F14" s="3009"/>
      <c r="G14" s="3009"/>
      <c r="H14" s="3009"/>
      <c r="I14" s="3009"/>
    </row>
    <row r="16" spans="1:9" ht="18.75">
      <c r="A16" s="1974" t="s">
        <v>1629</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10" t="s">
        <v>1663</v>
      </c>
      <c r="B1" s="3010"/>
      <c r="C1" s="3010"/>
      <c r="D1" s="3010"/>
    </row>
    <row r="2" spans="1:4" ht="18">
      <c r="A2" s="3011" t="s">
        <v>1647</v>
      </c>
      <c r="B2" s="3011"/>
      <c r="C2" s="3011"/>
      <c r="D2" s="3011"/>
    </row>
    <row r="3" spans="1:4" ht="18.75">
      <c r="A3" s="1977" t="s">
        <v>1648</v>
      </c>
      <c r="B3" s="1977" t="s">
        <v>1649</v>
      </c>
      <c r="C3" s="1977" t="s">
        <v>1650</v>
      </c>
      <c r="D3" s="1977" t="s">
        <v>1651</v>
      </c>
    </row>
    <row r="4" spans="1:4" ht="56.25" customHeight="1">
      <c r="A4" s="1978" t="str">
        <f>项目基本情况!B4</f>
        <v>刘梅</v>
      </c>
      <c r="B4" s="1979">
        <f ca="1">项目基本情况!C4</f>
        <v>1120140022</v>
      </c>
      <c r="C4" s="1980"/>
      <c r="D4" s="1981" t="s">
        <v>1652</v>
      </c>
    </row>
    <row r="5" spans="1:4" ht="56.25" customHeight="1">
      <c r="A5" s="1978" t="str">
        <f>项目基本情况!D4</f>
        <v>吴薇</v>
      </c>
      <c r="B5" s="1979">
        <f ca="1">项目基本情况!E4</f>
        <v>1419970001</v>
      </c>
      <c r="C5" s="1982"/>
      <c r="D5" s="1981" t="s">
        <v>1652</v>
      </c>
    </row>
    <row r="6" spans="1:4" ht="18">
      <c r="A6" s="3011" t="s">
        <v>1653</v>
      </c>
      <c r="B6" s="3011"/>
      <c r="C6" s="3011"/>
      <c r="D6" s="3011"/>
    </row>
    <row r="7" spans="1:4" ht="18.75">
      <c r="A7" s="1977" t="s">
        <v>1648</v>
      </c>
      <c r="B7" s="1979" t="s">
        <v>1654</v>
      </c>
      <c r="C7" s="1977" t="s">
        <v>1650</v>
      </c>
      <c r="D7" s="1977" t="s">
        <v>1651</v>
      </c>
    </row>
    <row r="8" spans="1:4" ht="56.25" customHeight="1">
      <c r="A8" s="1983" t="s">
        <v>869</v>
      </c>
      <c r="B8" s="1983" t="s">
        <v>1</v>
      </c>
      <c r="C8" s="1980"/>
      <c r="D8" s="1981" t="s">
        <v>1652</v>
      </c>
    </row>
    <row r="9" spans="1:4">
      <c r="A9" s="728"/>
      <c r="B9" s="728"/>
      <c r="C9" s="728"/>
      <c r="D9" s="728"/>
    </row>
    <row r="10" spans="1:4" ht="18.75">
      <c r="A10" s="1984" t="s">
        <v>1655</v>
      </c>
      <c r="B10" s="728"/>
      <c r="C10" s="728"/>
      <c r="D10" s="728"/>
    </row>
    <row r="11" spans="1:4" ht="30" customHeight="1">
      <c r="A11" s="3012" t="s">
        <v>1656</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13" t="str">
        <f>IF(项目基本情况!B8="抵押","4.本次评估估价师所知悉的法定优先受偿款情况说明如下：","——")</f>
        <v>4.本次评估估价师所知悉的法定优先受偿款情况说明如下：</v>
      </c>
      <c r="B14" s="3014"/>
      <c r="C14" s="3014"/>
      <c r="D14" s="3014"/>
    </row>
    <row r="15" spans="1:4" ht="42" customHeight="1">
      <c r="A15" s="3013" t="str">
        <f>IF(项目基本情况!B8="抵押","（1）"&amp;CONCATENATE(项目基本情况!L20,项目基本情况!L21,项目基本情况!L22),"——")</f>
        <v>（1）根据估价对象《不动产权证书》原件、，截至价值时点，估价对象已设定抵押。上述抵押权设定日期为2017年7月5日，权利人为渤海银行股份有限公司北京分行，权利范围为，权利价值为。</v>
      </c>
      <c r="B15" s="3013"/>
      <c r="C15" s="3013"/>
      <c r="D15" s="3013"/>
    </row>
    <row r="16" spans="1:4" ht="30" customHeight="1">
      <c r="A16" s="3016" t="s">
        <v>1657</v>
      </c>
      <c r="B16" s="3016"/>
      <c r="C16" s="3016"/>
      <c r="D16" s="3016"/>
    </row>
    <row r="17" spans="1:4" ht="144" customHeight="1">
      <c r="A17" s="3016" t="s">
        <v>1658</v>
      </c>
      <c r="B17" s="3016"/>
      <c r="C17" s="3016"/>
      <c r="D17" s="3016"/>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7"/>
      <c r="C21" s="3017"/>
      <c r="D21" s="3017"/>
    </row>
    <row r="22" spans="1:4" ht="18.75" customHeight="1">
      <c r="A22" s="3018" t="s">
        <v>1659</v>
      </c>
      <c r="B22" s="3018"/>
      <c r="C22" s="3018"/>
      <c r="D22" s="3018"/>
    </row>
    <row r="23" spans="1:4">
      <c r="A23" s="1985"/>
      <c r="B23" s="1957"/>
      <c r="C23" s="1957"/>
      <c r="D23" s="1957"/>
    </row>
    <row r="24" spans="1:4">
      <c r="A24" s="1985"/>
      <c r="B24" s="1957"/>
      <c r="C24" s="1957"/>
      <c r="D24" s="1957"/>
    </row>
    <row r="25" spans="1:4" ht="18.75">
      <c r="A25" s="1986" t="s">
        <v>1660</v>
      </c>
    </row>
    <row r="26" spans="1:4" ht="18">
      <c r="A26" s="1955"/>
    </row>
    <row r="27" spans="1:4" ht="18.75">
      <c r="A27" s="1955" t="s">
        <v>1661</v>
      </c>
    </row>
    <row r="30" spans="1:4" ht="18.75">
      <c r="D30" s="1986" t="s">
        <v>1662</v>
      </c>
    </row>
    <row r="31" spans="1:4" ht="13.5" customHeight="1">
      <c r="C31" s="3015">
        <v>42551</v>
      </c>
      <c r="D31" s="30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1664</v>
      </c>
    </row>
    <row r="3" spans="1:7">
      <c r="A3" s="1991" t="s">
        <v>82</v>
      </c>
      <c r="B3" s="1975" t="s">
        <v>1665</v>
      </c>
      <c r="G3" s="1992"/>
    </row>
    <row r="4" spans="1:7">
      <c r="G4" s="1992"/>
    </row>
    <row r="5" spans="1:7">
      <c r="A5" s="1994" t="s">
        <v>73</v>
      </c>
      <c r="B5" s="1975" t="s">
        <v>1666</v>
      </c>
      <c r="G5" s="1992"/>
    </row>
    <row r="6" spans="1:7">
      <c r="G6" s="1992"/>
    </row>
    <row r="7" spans="1:7">
      <c r="A7" s="1995" t="s">
        <v>135</v>
      </c>
      <c r="B7" s="1975" t="s">
        <v>1667</v>
      </c>
      <c r="G7" s="1992"/>
    </row>
    <row r="8" spans="1:7">
      <c r="G8" s="1992"/>
    </row>
    <row r="9" spans="1:7">
      <c r="A9" s="1996" t="s">
        <v>74</v>
      </c>
      <c r="B9" s="1975" t="s">
        <v>1668</v>
      </c>
    </row>
    <row r="11" spans="1:7">
      <c r="A11" s="1997" t="s">
        <v>75</v>
      </c>
      <c r="B11" s="1998" t="s">
        <v>72</v>
      </c>
    </row>
    <row r="13" spans="1:7">
      <c r="A13" s="1999" t="s">
        <v>1669</v>
      </c>
    </row>
    <row r="15" spans="1:7" ht="13.5">
      <c r="A15" s="3024" t="s">
        <v>1670</v>
      </c>
      <c r="B15" s="3019" t="s">
        <v>136</v>
      </c>
      <c r="C15" s="3020"/>
    </row>
    <row r="16" spans="1:7" ht="13.5">
      <c r="A16" s="3025"/>
      <c r="B16" s="3019" t="s">
        <v>69</v>
      </c>
      <c r="C16" s="3020"/>
    </row>
    <row r="17" spans="1:3" ht="13.5">
      <c r="A17" s="3025"/>
      <c r="B17" s="3022" t="s">
        <v>1671</v>
      </c>
      <c r="C17" s="2000" t="s">
        <v>1670</v>
      </c>
    </row>
    <row r="18" spans="1:3" ht="13.5">
      <c r="A18" s="3025"/>
      <c r="B18" s="3022"/>
      <c r="C18" s="2000" t="s">
        <v>1672</v>
      </c>
    </row>
    <row r="19" spans="1:3" ht="13.5">
      <c r="A19" s="3025"/>
      <c r="B19" s="3022"/>
      <c r="C19" s="2000" t="s">
        <v>1673</v>
      </c>
    </row>
    <row r="20" spans="1:3" ht="13.5">
      <c r="A20" s="3026"/>
      <c r="B20" s="3021" t="s">
        <v>1674</v>
      </c>
      <c r="C20" s="3020"/>
    </row>
    <row r="21" spans="1:3" ht="13.5">
      <c r="A21" s="2001" t="s">
        <v>1675</v>
      </c>
      <c r="B21" s="2002"/>
      <c r="C21" s="2003"/>
    </row>
    <row r="22" spans="1:3" ht="13.5">
      <c r="A22" s="3023" t="s">
        <v>1676</v>
      </c>
      <c r="B22" s="3021" t="s">
        <v>1677</v>
      </c>
      <c r="C22" s="3020"/>
    </row>
    <row r="23" spans="1:3" ht="13.5">
      <c r="A23" s="3023"/>
      <c r="B23" s="3021" t="s">
        <v>1678</v>
      </c>
      <c r="C23" s="3020"/>
    </row>
    <row r="24" spans="1:3" ht="13.5">
      <c r="A24" s="3023"/>
      <c r="B24" s="3021" t="s">
        <v>1679</v>
      </c>
      <c r="C24" s="3020"/>
    </row>
    <row r="25" spans="1:3" ht="13.5">
      <c r="A25" s="3023"/>
      <c r="B25" s="3022" t="s">
        <v>1680</v>
      </c>
      <c r="C25" s="2000" t="s">
        <v>1681</v>
      </c>
    </row>
    <row r="26" spans="1:3" ht="13.5">
      <c r="A26" s="3023"/>
      <c r="B26" s="3022"/>
      <c r="C26" s="2000" t="s">
        <v>1682</v>
      </c>
    </row>
    <row r="27" spans="1:3" ht="13.5">
      <c r="A27" s="3023"/>
      <c r="B27" s="3022"/>
      <c r="C27" s="2000" t="s">
        <v>1683</v>
      </c>
    </row>
    <row r="28" spans="1:3" ht="13.5">
      <c r="A28" s="3023"/>
      <c r="B28" s="3022"/>
      <c r="C28" s="2000" t="s">
        <v>1684</v>
      </c>
    </row>
    <row r="29" spans="1:3" ht="13.5">
      <c r="A29" s="3023"/>
      <c r="B29" s="3022"/>
      <c r="C29" s="2000" t="s">
        <v>1685</v>
      </c>
    </row>
    <row r="30" spans="1:3" ht="13.5">
      <c r="A30" s="3023"/>
      <c r="B30" s="3022"/>
      <c r="C30" s="2000" t="s">
        <v>1686</v>
      </c>
    </row>
    <row r="31" spans="1:3" ht="13.5">
      <c r="A31" s="3023"/>
      <c r="B31" s="3022"/>
      <c r="C31" s="2000" t="s">
        <v>1687</v>
      </c>
    </row>
    <row r="32" spans="1:3" ht="13.5">
      <c r="A32" s="3023"/>
      <c r="B32" s="3022"/>
      <c r="C32" s="2000" t="s">
        <v>1688</v>
      </c>
    </row>
    <row r="33" spans="1:3" ht="13.5">
      <c r="A33" s="3023"/>
      <c r="B33" s="3022"/>
      <c r="C33" s="2000" t="s">
        <v>1689</v>
      </c>
    </row>
    <row r="34" spans="1:3">
      <c r="A34" s="2004" t="s">
        <v>76</v>
      </c>
    </row>
    <row r="37" spans="1:3">
      <c r="A37" s="2004" t="s">
        <v>1690</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43123</v>
      </c>
      <c r="C2" s="1019" t="s">
        <v>826</v>
      </c>
      <c r="D2" s="1019"/>
    </row>
    <row r="3" spans="1:6" ht="24" customHeight="1">
      <c r="A3" s="1020" t="s">
        <v>827</v>
      </c>
      <c r="B3" s="1021" t="s">
        <v>828</v>
      </c>
      <c r="C3" s="2342" t="s">
        <v>829</v>
      </c>
      <c r="D3" s="2345" t="s">
        <v>830</v>
      </c>
      <c r="E3" s="1022" t="s">
        <v>831</v>
      </c>
      <c r="F3" s="1021" t="s">
        <v>829</v>
      </c>
    </row>
    <row r="4" spans="1:6" ht="24" customHeight="1">
      <c r="A4" s="1702" t="s">
        <v>832</v>
      </c>
      <c r="B4" s="1022">
        <f ca="1">IF(C4&lt;B2,"已过期",1119970066)</f>
        <v>1119970066</v>
      </c>
      <c r="C4" s="2343">
        <v>43849</v>
      </c>
      <c r="D4" s="2346" t="s">
        <v>832</v>
      </c>
      <c r="E4" s="1022">
        <f ca="1">IF(F4&lt;B2,"已过期",96010014)</f>
        <v>96010014</v>
      </c>
      <c r="F4" s="1030">
        <v>47118</v>
      </c>
    </row>
    <row r="5" spans="1:6" ht="24" customHeight="1">
      <c r="A5" s="1702" t="s">
        <v>833</v>
      </c>
      <c r="B5" s="1022">
        <f ca="1">IF(C5&lt;B2,"已过期",1119970074)</f>
        <v>1119970074</v>
      </c>
      <c r="C5" s="2343">
        <v>43849</v>
      </c>
      <c r="D5" s="2346" t="s">
        <v>833</v>
      </c>
      <c r="E5" s="1022">
        <f ca="1">IF(F5&lt;B2,"已过期",2002110027)</f>
        <v>2002110027</v>
      </c>
      <c r="F5" s="1030">
        <v>46752</v>
      </c>
    </row>
    <row r="6" spans="1:6" ht="24" customHeight="1">
      <c r="A6" s="1702" t="s">
        <v>834</v>
      </c>
      <c r="B6" s="1022">
        <f ca="1">IF(C6&lt;B2,"已过期",1119970111)</f>
        <v>1119970111</v>
      </c>
      <c r="C6" s="2343">
        <v>43849</v>
      </c>
      <c r="D6" s="2346" t="s">
        <v>834</v>
      </c>
      <c r="E6" s="1022">
        <f ca="1">IF(F6&lt;B2,"已过期",94010078)</f>
        <v>94010078</v>
      </c>
      <c r="F6" s="1030">
        <v>46387</v>
      </c>
    </row>
    <row r="7" spans="1:6" ht="24" customHeight="1">
      <c r="A7" s="1702" t="s">
        <v>835</v>
      </c>
      <c r="B7" s="1022">
        <f ca="1">IF(C7&lt;B2,"已过期",1120050019)</f>
        <v>1120050019</v>
      </c>
      <c r="C7" s="2343">
        <v>43359</v>
      </c>
      <c r="D7" s="2346" t="s">
        <v>835</v>
      </c>
      <c r="E7" s="1022">
        <f ca="1">IF(F7&lt;B2,"已过期",2002110030)</f>
        <v>2002110030</v>
      </c>
      <c r="F7" s="1030">
        <v>46387</v>
      </c>
    </row>
    <row r="8" spans="1:6" ht="24" customHeight="1">
      <c r="A8" s="1702" t="s">
        <v>836</v>
      </c>
      <c r="B8" s="1022">
        <f ca="1">IF(C8&lt;B2,"已过期",1120000080)</f>
        <v>1120000080</v>
      </c>
      <c r="C8" s="2343">
        <v>43849</v>
      </c>
      <c r="D8" s="2346" t="s">
        <v>836</v>
      </c>
      <c r="E8" s="1022">
        <f ca="1">IF(F8&lt;B2,"已过期",2000110082)</f>
        <v>2000110082</v>
      </c>
      <c r="F8" s="1030">
        <v>46387</v>
      </c>
    </row>
    <row r="9" spans="1:6" ht="24" customHeight="1">
      <c r="A9" s="1702" t="s">
        <v>837</v>
      </c>
      <c r="B9" s="1022">
        <f ca="1">IF(C9&lt;B2,"已过期",1419970001)</f>
        <v>1419970001</v>
      </c>
      <c r="C9" s="2343">
        <v>43867</v>
      </c>
      <c r="D9" s="2346" t="s">
        <v>837</v>
      </c>
      <c r="E9" s="1022">
        <f ca="1">IF(F9&lt;B2,"已过期",2002110125)</f>
        <v>2002110125</v>
      </c>
      <c r="F9" s="1030">
        <v>47118</v>
      </c>
    </row>
    <row r="10" spans="1:6" ht="24" customHeight="1">
      <c r="A10" s="1702" t="s">
        <v>838</v>
      </c>
      <c r="B10" s="1022">
        <f ca="1">IF(C10&lt;B2,"已过期",1120060040)</f>
        <v>1120060040</v>
      </c>
      <c r="C10" s="2343">
        <v>43483</v>
      </c>
      <c r="D10" s="2346" t="s">
        <v>838</v>
      </c>
      <c r="E10" s="1022">
        <f ca="1">IF(F10&lt;B2,"已过期",2004110096)</f>
        <v>2004110096</v>
      </c>
      <c r="F10" s="1030">
        <v>47118</v>
      </c>
    </row>
    <row r="11" spans="1:6" ht="24" customHeight="1">
      <c r="A11" s="1702" t="s">
        <v>839</v>
      </c>
      <c r="B11" s="1022">
        <f ca="1">IF(C11&lt;B2,"已过期",1120100036)</f>
        <v>1120100036</v>
      </c>
      <c r="C11" s="2343">
        <v>43622</v>
      </c>
      <c r="D11" s="2346" t="s">
        <v>839</v>
      </c>
      <c r="E11" s="1022">
        <f ca="1">IF(F11&lt;B2,"已过期",2010110070)</f>
        <v>2010110070</v>
      </c>
      <c r="F11" s="1030">
        <v>47907</v>
      </c>
    </row>
    <row r="12" spans="1:6" ht="24" customHeight="1">
      <c r="A12" s="1702"/>
      <c r="B12" s="1022"/>
      <c r="C12" s="2343"/>
      <c r="D12" s="2346"/>
      <c r="E12" s="1022"/>
      <c r="F12" s="1022"/>
    </row>
    <row r="13" spans="1:6" ht="24" customHeight="1">
      <c r="A13" s="1702" t="s">
        <v>840</v>
      </c>
      <c r="B13" s="1022">
        <f ca="1">IF(C13&lt;B2,"已过期",1120070131)</f>
        <v>1120070131</v>
      </c>
      <c r="C13" s="2343">
        <v>43814</v>
      </c>
      <c r="D13" s="2346" t="s">
        <v>840</v>
      </c>
      <c r="E13" s="1022">
        <v>2014110011</v>
      </c>
      <c r="F13" s="1030">
        <v>49302</v>
      </c>
    </row>
    <row r="14" spans="1:6" ht="24" customHeight="1">
      <c r="A14" s="1702" t="s">
        <v>841</v>
      </c>
      <c r="B14" s="1022">
        <f ca="1">IF(C14&lt;B2,"已过期",1120130020)</f>
        <v>1120130020</v>
      </c>
      <c r="C14" s="2343">
        <v>43622</v>
      </c>
      <c r="D14" s="2346"/>
      <c r="E14" s="1022"/>
      <c r="F14" s="1022"/>
    </row>
    <row r="15" spans="1:6" ht="24" customHeight="1">
      <c r="A15" s="1703" t="s">
        <v>1149</v>
      </c>
      <c r="B15" s="1022">
        <v>1120070085</v>
      </c>
      <c r="C15" s="2343">
        <v>43814</v>
      </c>
      <c r="D15" s="2347" t="s">
        <v>1149</v>
      </c>
      <c r="E15" s="1022">
        <v>2004110128</v>
      </c>
      <c r="F15" s="1023">
        <v>47118</v>
      </c>
    </row>
    <row r="16" spans="1:6" ht="24" customHeight="1">
      <c r="A16" s="1702" t="s">
        <v>842</v>
      </c>
      <c r="B16" s="1022">
        <f ca="1">IF(C16&lt;B2,"已过期",1120140022)</f>
        <v>1120140022</v>
      </c>
      <c r="C16" s="2343">
        <v>44029</v>
      </c>
      <c r="D16" s="2346" t="s">
        <v>842</v>
      </c>
      <c r="E16" s="1022">
        <f ca="1">IF(F16&lt;B2,"已过期",2008110059)</f>
        <v>2008110059</v>
      </c>
      <c r="F16" s="1030">
        <v>47177</v>
      </c>
    </row>
    <row r="17" spans="1:7" ht="24" customHeight="1">
      <c r="A17" s="1702"/>
      <c r="B17" s="1022"/>
      <c r="C17" s="2343"/>
      <c r="D17" s="2346"/>
      <c r="E17" s="1022"/>
      <c r="F17" s="1030"/>
    </row>
    <row r="18" spans="1:7" ht="24" customHeight="1">
      <c r="A18" s="1702"/>
      <c r="B18" s="1022"/>
      <c r="C18" s="2343"/>
      <c r="D18" s="2346"/>
      <c r="E18" s="1022"/>
      <c r="F18" s="1030"/>
    </row>
    <row r="19" spans="1:7" ht="24" customHeight="1">
      <c r="A19" s="1702"/>
      <c r="B19" s="1022"/>
      <c r="C19" s="2343"/>
      <c r="D19" s="2346"/>
      <c r="E19" s="1022"/>
      <c r="F19" s="1022"/>
    </row>
    <row r="20" spans="1:7" ht="24" customHeight="1">
      <c r="A20" s="1702"/>
      <c r="B20" s="1022"/>
      <c r="C20" s="2343"/>
      <c r="D20" s="2346"/>
      <c r="E20" s="1022"/>
      <c r="F20" s="1022"/>
    </row>
    <row r="21" spans="1:7" ht="24" customHeight="1">
      <c r="A21" s="1702"/>
      <c r="B21" s="1022"/>
      <c r="C21" s="2343"/>
      <c r="D21" s="2346" t="s">
        <v>843</v>
      </c>
      <c r="E21" s="1022">
        <f ca="1">IF(F21&lt;B2,"已过期",2011110090)</f>
        <v>2011110090</v>
      </c>
      <c r="F21" s="1030">
        <v>48302</v>
      </c>
    </row>
    <row r="22" spans="1:7" ht="24" customHeight="1">
      <c r="A22" s="1702" t="s">
        <v>844</v>
      </c>
      <c r="B22" s="1022">
        <f ca="1">IF(C22&lt;B2,"已过期",1120020033)</f>
        <v>1120020033</v>
      </c>
      <c r="C22" s="2343">
        <v>43304</v>
      </c>
      <c r="D22" s="2346" t="s">
        <v>844</v>
      </c>
      <c r="E22" s="1022">
        <f ca="1">IF(F22&lt;B2,"已过期",2000110137)</f>
        <v>2000110137</v>
      </c>
      <c r="F22" s="1030">
        <v>46387</v>
      </c>
    </row>
    <row r="23" spans="1:7" ht="24" customHeight="1">
      <c r="A23" s="1702" t="s">
        <v>845</v>
      </c>
      <c r="B23" s="1022">
        <f ca="1">IF(C23&lt;B2,"已过期",1120130048)</f>
        <v>1120130048</v>
      </c>
      <c r="C23" s="2343">
        <v>43686</v>
      </c>
      <c r="D23" s="2346"/>
      <c r="E23" s="1022"/>
      <c r="F23" s="1022"/>
    </row>
    <row r="24" spans="1:7" s="1024" customFormat="1" ht="24" customHeight="1">
      <c r="A24" s="1703" t="s">
        <v>1333</v>
      </c>
      <c r="B24" s="1703" t="s">
        <v>1333</v>
      </c>
      <c r="C24" s="2344" t="s">
        <v>1333</v>
      </c>
      <c r="D24" s="2347" t="s">
        <v>1333</v>
      </c>
      <c r="E24" s="1703" t="s">
        <v>1333</v>
      </c>
      <c r="F24" s="1703" t="s">
        <v>1333</v>
      </c>
    </row>
    <row r="25" spans="1:7" ht="24" customHeight="1">
      <c r="A25" s="3027" t="s">
        <v>846</v>
      </c>
      <c r="B25" s="3027"/>
      <c r="C25" s="3027"/>
      <c r="D25" s="3027"/>
      <c r="E25" s="3027"/>
      <c r="F25" s="3027"/>
      <c r="G25" s="3027"/>
    </row>
    <row r="26" spans="1:7" s="1025" customFormat="1" ht="24" customHeight="1">
      <c r="A26" s="3028" t="s">
        <v>847</v>
      </c>
      <c r="B26" s="3028"/>
      <c r="C26" s="3029"/>
      <c r="D26" s="3030" t="s">
        <v>848</v>
      </c>
      <c r="E26" s="3028"/>
      <c r="F26" s="3028"/>
    </row>
    <row r="27" spans="1:7" s="1027" customFormat="1" ht="24" customHeight="1">
      <c r="A27" s="1026" t="s">
        <v>849</v>
      </c>
      <c r="B27" s="1021" t="s">
        <v>850</v>
      </c>
      <c r="C27" s="2342" t="s">
        <v>851</v>
      </c>
      <c r="D27" s="2350" t="s">
        <v>849</v>
      </c>
      <c r="E27" s="1021" t="s">
        <v>850</v>
      </c>
      <c r="F27" s="1021" t="s">
        <v>851</v>
      </c>
    </row>
    <row r="28" spans="1:7" s="1027" customFormat="1" ht="24" customHeight="1">
      <c r="A28" s="1028" t="s">
        <v>852</v>
      </c>
      <c r="B28" s="1029" t="s">
        <v>853</v>
      </c>
      <c r="C28" s="2348">
        <v>43725</v>
      </c>
      <c r="D28" s="2351" t="s">
        <v>854</v>
      </c>
      <c r="E28" s="1028" t="s">
        <v>855</v>
      </c>
      <c r="F28" s="1058">
        <v>44377</v>
      </c>
    </row>
    <row r="29" spans="1:7" s="1027" customFormat="1" ht="24" customHeight="1">
      <c r="A29" s="1028"/>
      <c r="B29" s="1028"/>
      <c r="C29" s="2349"/>
      <c r="D29" s="2351"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基准地价修正</vt:lpstr>
      <vt:lpstr>地价</vt:lpstr>
      <vt:lpstr>假设开发法</vt:lpstr>
      <vt:lpstr>收益法（仓储）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收益法（车库）</vt:lpstr>
      <vt:lpstr>典型户型修正</vt:lpstr>
      <vt:lpstr>成本法（废）</vt:lpstr>
      <vt:lpstr>区片价</vt:lpstr>
      <vt:lpstr>因素修正幅度</vt:lpstr>
      <vt:lpstr>存贷款利率</vt:lpstr>
      <vt:lpstr>区片价（范围）</vt:lpstr>
      <vt:lpstr>Sheet1</vt:lpstr>
      <vt:lpstr>土地案例及位置</vt:lpstr>
      <vt:lpstr>估价师及机构信息!Print_Area</vt:lpstr>
      <vt:lpstr>'收益法 (元)'!Print_Area</vt:lpstr>
      <vt:lpstr>'收益法（仓储）'!Print_Area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2018-01-23T03:42:15Z</dcterms:modified>
</cp:coreProperties>
</file>