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372" yWindow="276" windowWidth="16296" windowHeight="10788"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权属文件" sheetId="84" state="hidden" r:id="rId16"/>
    <sheet name="估价对象房地状况" sheetId="20" state="hidden" r:id="rId17"/>
    <sheet name="结果汇总表" sheetId="81" state="hidden" r:id="rId18"/>
    <sheet name="Sheet1" sheetId="87" r:id="rId19"/>
    <sheet name="面积表" sheetId="78" state="hidden" r:id="rId20"/>
    <sheet name="Sheet4" sheetId="89" r:id="rId21"/>
    <sheet name="结果汇总表1" sheetId="86"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r:id="rId36"/>
    <sheet name="成本逼近法" sheetId="85"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Sheet5" sheetId="90" state="hidden" r:id="rId48"/>
    <sheet name="Sheet3" sheetId="88" state="hidden" r:id="rId49"/>
    <sheet name="土地一级开发成本案例" sheetId="80" state="hidden" r:id="rId50"/>
    <sheet name="地价" sheetId="71" r:id="rId51"/>
    <sheet name="结果表" sheetId="9" state="hidden" r:id="rId52"/>
    <sheet name="系统读取表" sheetId="74" r:id="rId53"/>
    <sheet name="Sheet2" sheetId="83" r:id="rId54"/>
    <sheet name="区片价（范围）" sheetId="75"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5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'土地比较法-住宅、综合'!$A$1:$O$66,'土地比较法-住宅、综合'!$A$69:$M$132</definedName>
    <definedName name="_xlnm.Print_Area" localSheetId="5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7" i="89" l="1"/>
  <c r="D37" i="89"/>
  <c r="E36" i="89" l="1"/>
  <c r="D36" i="89" l="1"/>
  <c r="D38" i="89" l="1"/>
  <c r="E31" i="89"/>
  <c r="Y6" i="1"/>
  <c r="F36" i="68" l="1"/>
  <c r="L14" i="1" l="1"/>
  <c r="I38" i="39"/>
  <c r="G38" i="39"/>
  <c r="E38" i="39"/>
  <c r="I46" i="39"/>
  <c r="G46" i="39"/>
  <c r="E46" i="39"/>
  <c r="I5" i="39"/>
  <c r="G5" i="39"/>
  <c r="E5" i="39"/>
  <c r="W11" i="90"/>
  <c r="V11" i="90"/>
  <c r="T11" i="90"/>
  <c r="S11" i="90"/>
  <c r="W10" i="90"/>
  <c r="V10" i="90"/>
  <c r="U10" i="90"/>
  <c r="T10" i="90"/>
  <c r="S10" i="90"/>
  <c r="W9" i="90"/>
  <c r="V9" i="90"/>
  <c r="T9" i="90"/>
  <c r="S9" i="90"/>
  <c r="W8" i="90"/>
  <c r="V8" i="90"/>
  <c r="U8" i="90"/>
  <c r="T8" i="90"/>
  <c r="S8" i="90"/>
  <c r="W7" i="90"/>
  <c r="V7" i="90"/>
  <c r="T7" i="90"/>
  <c r="S7" i="90"/>
  <c r="W6" i="90"/>
  <c r="V6" i="90"/>
  <c r="T6" i="90"/>
  <c r="S6" i="90"/>
  <c r="W5" i="90"/>
  <c r="V5" i="90"/>
  <c r="T5" i="90"/>
  <c r="S5" i="90"/>
  <c r="W4" i="90"/>
  <c r="V4" i="90"/>
  <c r="T4" i="90"/>
  <c r="S4" i="90"/>
  <c r="W3" i="90"/>
  <c r="V3" i="90"/>
  <c r="S3" i="90"/>
  <c r="T3" i="90" s="1"/>
  <c r="S2" i="90"/>
  <c r="T2" i="90" s="1"/>
  <c r="V2" i="90" s="1"/>
  <c r="W2" i="90" s="1"/>
  <c r="O10" i="90"/>
  <c r="N10" i="90"/>
  <c r="M10" i="90"/>
  <c r="L10" i="90"/>
  <c r="J14" i="88" l="1"/>
  <c r="D33" i="68" l="1"/>
  <c r="F12" i="89"/>
  <c r="F6" i="89"/>
  <c r="E6" i="89"/>
  <c r="G6" i="89" s="1"/>
  <c r="E5" i="89"/>
  <c r="J7" i="39"/>
  <c r="H7" i="39"/>
  <c r="F7" i="39"/>
  <c r="K20" i="88"/>
  <c r="J20" i="88"/>
  <c r="J18" i="88"/>
  <c r="K18" i="88" s="1"/>
  <c r="K17" i="88"/>
  <c r="J17" i="88"/>
  <c r="J16" i="88"/>
  <c r="K16" i="88" s="1"/>
  <c r="J12" i="88"/>
  <c r="K12" i="88" s="1"/>
  <c r="J9" i="88"/>
  <c r="K8" i="88"/>
  <c r="I8" i="88"/>
  <c r="J8" i="88" s="1"/>
  <c r="F8" i="88"/>
  <c r="J7" i="88"/>
  <c r="K7" i="88" s="1"/>
  <c r="K6" i="88"/>
  <c r="J5" i="88"/>
  <c r="K5" i="88" s="1"/>
  <c r="I4" i="88"/>
  <c r="J4" i="88" s="1"/>
  <c r="K4" i="88" s="1"/>
  <c r="J3" i="88"/>
  <c r="K3" i="88" s="1"/>
  <c r="I2" i="88"/>
  <c r="J2" i="88" s="1"/>
  <c r="K2" i="88" s="1"/>
  <c r="H2" i="88"/>
  <c r="D29" i="43"/>
  <c r="N54" i="87"/>
  <c r="M54" i="87"/>
  <c r="L54" i="87"/>
  <c r="K54" i="87"/>
  <c r="J54" i="87"/>
  <c r="I54" i="87"/>
  <c r="H54" i="87"/>
  <c r="D54" i="87"/>
  <c r="G53" i="87"/>
  <c r="B53" i="87"/>
  <c r="G52" i="87"/>
  <c r="B52" i="87" s="1"/>
  <c r="C52" i="87"/>
  <c r="G51" i="87"/>
  <c r="C51" i="87"/>
  <c r="B51" i="87" s="1"/>
  <c r="G50" i="87"/>
  <c r="C50" i="87"/>
  <c r="B50" i="87"/>
  <c r="L49" i="87"/>
  <c r="G49" i="87"/>
  <c r="F49" i="87"/>
  <c r="F54" i="87" s="1"/>
  <c r="E49" i="87"/>
  <c r="E54" i="87" s="1"/>
  <c r="D49" i="87"/>
  <c r="F46" i="87"/>
  <c r="D31" i="87"/>
  <c r="I28" i="87"/>
  <c r="J28" i="87" s="1"/>
  <c r="N21" i="87"/>
  <c r="M21" i="87"/>
  <c r="L21" i="87"/>
  <c r="K21" i="87"/>
  <c r="J21" i="87"/>
  <c r="I21" i="87"/>
  <c r="G21" i="87"/>
  <c r="F21" i="87"/>
  <c r="E21" i="87"/>
  <c r="D21" i="87"/>
  <c r="C21" i="87"/>
  <c r="B21" i="87"/>
  <c r="C11" i="87"/>
  <c r="D10" i="87"/>
  <c r="N9" i="87"/>
  <c r="M9" i="87"/>
  <c r="K9" i="87"/>
  <c r="J9" i="87"/>
  <c r="I9" i="87"/>
  <c r="H9" i="87"/>
  <c r="G9" i="87"/>
  <c r="F9" i="87"/>
  <c r="E9" i="87"/>
  <c r="C9" i="87"/>
  <c r="B9" i="87"/>
  <c r="B10" i="87" s="1"/>
  <c r="L4" i="87"/>
  <c r="L9" i="87" s="1"/>
  <c r="F4" i="87"/>
  <c r="E4" i="87"/>
  <c r="D4" i="87"/>
  <c r="D9" i="87" s="1"/>
  <c r="H1" i="87"/>
  <c r="F1" i="87"/>
  <c r="B56" i="1"/>
  <c r="AN17" i="3"/>
  <c r="AN16" i="3"/>
  <c r="AN15" i="3"/>
  <c r="AN14" i="3"/>
  <c r="AN13" i="3"/>
  <c r="AL16" i="3"/>
  <c r="AL15" i="3"/>
  <c r="AL14" i="3"/>
  <c r="AL13" i="3"/>
  <c r="C16" i="3"/>
  <c r="C15" i="3"/>
  <c r="C14" i="3"/>
  <c r="C13" i="3"/>
  <c r="G54" i="87" l="1"/>
  <c r="C49" i="87"/>
  <c r="D19" i="86"/>
  <c r="H22" i="78"/>
  <c r="C54" i="87" l="1"/>
  <c r="B49" i="87"/>
  <c r="B54" i="87" s="1"/>
  <c r="H14" i="86"/>
  <c r="C14" i="86"/>
  <c r="D6" i="86" l="1"/>
  <c r="D12" i="86" l="1"/>
  <c r="D5" i="86" l="1"/>
  <c r="D11" i="86" l="1"/>
  <c r="D14" i="86" l="1"/>
  <c r="E14" i="86" s="1"/>
  <c r="F14" i="86" s="1"/>
  <c r="C16" i="86" s="1"/>
  <c r="C11" i="86" l="1"/>
  <c r="E11" i="86" s="1"/>
  <c r="C6" i="86"/>
  <c r="C5" i="86"/>
  <c r="C4" i="86"/>
  <c r="C10" i="86" s="1"/>
  <c r="H6" i="86" l="1"/>
  <c r="E6" i="86"/>
  <c r="F6" i="86" s="1"/>
  <c r="H5" i="86"/>
  <c r="E5" i="86"/>
  <c r="C12" i="86"/>
  <c r="E12" i="86" s="1"/>
  <c r="F7" i="86" l="1"/>
  <c r="F5" i="86"/>
  <c r="C18" i="86" s="1"/>
  <c r="F38" i="68"/>
  <c r="O6" i="71" l="1"/>
  <c r="P6" i="71"/>
  <c r="Q6" i="71"/>
  <c r="G17" i="85" l="1"/>
  <c r="C16" i="85"/>
  <c r="C15" i="85"/>
  <c r="C14" i="85"/>
  <c r="E12" i="85"/>
  <c r="D12" i="85"/>
  <c r="C9" i="85"/>
  <c r="C12" i="85"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M32" i="43"/>
  <c r="B43" i="78" l="1"/>
  <c r="I20" i="78"/>
  <c r="G41" i="43" l="1"/>
  <c r="H20" i="78"/>
  <c r="C14" i="74" l="1"/>
  <c r="B59" i="1"/>
  <c r="Q30" i="80" l="1"/>
  <c r="Q22" i="80"/>
  <c r="Q24" i="80"/>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E7" i="81"/>
  <c r="G7" i="81" s="1"/>
  <c r="E6" i="81"/>
  <c r="G6" i="81" s="1"/>
  <c r="E5" i="81"/>
  <c r="G5" i="81" s="1"/>
  <c r="G3" i="81" s="1"/>
  <c r="M4" i="81"/>
  <c r="N3" i="81"/>
  <c r="N33" i="80"/>
  <c r="M33" i="80"/>
  <c r="L33" i="80"/>
  <c r="P32" i="80"/>
  <c r="P31" i="80"/>
  <c r="P30" i="80"/>
  <c r="P29" i="80"/>
  <c r="P28" i="80"/>
  <c r="P27" i="80"/>
  <c r="P26" i="80"/>
  <c r="P25" i="80"/>
  <c r="O25" i="80"/>
  <c r="P24" i="80"/>
  <c r="P23" i="80"/>
  <c r="P22" i="80"/>
  <c r="P21" i="80"/>
  <c r="P20" i="80"/>
  <c r="P19" i="80"/>
  <c r="O19" i="80"/>
  <c r="P18" i="80"/>
  <c r="P17" i="80"/>
  <c r="P16" i="80"/>
  <c r="P15" i="80"/>
  <c r="P14" i="80"/>
  <c r="O14" i="80"/>
  <c r="P13" i="80"/>
  <c r="P12" i="80"/>
  <c r="P11" i="80"/>
  <c r="O11" i="80"/>
  <c r="P10" i="80"/>
  <c r="O10" i="80"/>
  <c r="P9" i="80"/>
  <c r="P8" i="80"/>
  <c r="P7" i="80"/>
  <c r="P6" i="80"/>
  <c r="P5" i="80"/>
  <c r="P4" i="80"/>
  <c r="E3" i="81" l="1"/>
  <c r="F5" i="81"/>
  <c r="M5" i="81" s="1"/>
  <c r="F6" i="81"/>
  <c r="M6" i="81" s="1"/>
  <c r="F7" i="81"/>
  <c r="M7" i="81" s="1"/>
  <c r="H16" i="8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H23" i="81"/>
  <c r="H25" i="81" s="1"/>
  <c r="M17" i="81"/>
  <c r="F16" i="81"/>
  <c r="F22" i="81"/>
  <c r="I22" i="81" s="1"/>
  <c r="G22" i="81"/>
  <c r="I9" i="81"/>
  <c r="M9" i="81"/>
  <c r="F19" i="81" l="1"/>
  <c r="I19" i="81" s="1"/>
  <c r="G20" i="81"/>
  <c r="E20" i="81" s="1"/>
  <c r="N9" i="81"/>
  <c r="M16" i="81"/>
  <c r="F15" i="81"/>
  <c r="E23" i="81" l="1"/>
  <c r="F23" i="81" s="1"/>
  <c r="I23" i="81" s="1"/>
  <c r="I15" i="81"/>
  <c r="M15" i="81"/>
  <c r="G23" i="81"/>
  <c r="G25" i="81"/>
  <c r="F25" i="81" l="1"/>
  <c r="N15" i="81"/>
  <c r="M19" i="81"/>
  <c r="N19" i="81" s="1"/>
  <c r="M22" i="81"/>
  <c r="N22" i="81" s="1"/>
  <c r="E25" i="81"/>
  <c r="E26" i="81" s="1"/>
  <c r="M20" i="81" l="1"/>
  <c r="N20" i="81" s="1"/>
  <c r="F26" i="81"/>
  <c r="I25" i="81"/>
  <c r="M23" i="81" l="1"/>
  <c r="N23" i="81" s="1"/>
  <c r="M25" i="81" l="1"/>
  <c r="N25" i="81" s="1"/>
  <c r="S9" i="78"/>
  <c r="S5" i="78"/>
  <c r="AY3" i="3"/>
  <c r="G19" i="78"/>
  <c r="H19" i="78"/>
  <c r="I19" i="78"/>
  <c r="J19" i="78"/>
  <c r="K19" i="78"/>
  <c r="L19" i="78"/>
  <c r="M19" i="78"/>
  <c r="N19" i="78"/>
  <c r="O19" i="78"/>
  <c r="D19" i="78"/>
  <c r="E19" i="78"/>
  <c r="F19" i="78"/>
  <c r="C19" i="78"/>
  <c r="AZ3" i="3" s="1"/>
  <c r="B19" i="78"/>
  <c r="B20" i="78" s="1"/>
  <c r="N20" i="78" l="1"/>
  <c r="S10" i="78"/>
  <c r="O1" i="78"/>
  <c r="Q15" i="78"/>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s="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Q30" i="71"/>
  <c r="F31" i="71" s="1"/>
  <c r="P30" i="71"/>
  <c r="O30" i="71"/>
  <c r="C31" i="71" s="1"/>
  <c r="N30" i="71"/>
  <c r="B31" i="71" s="1"/>
  <c r="B32" i="71" s="1"/>
  <c r="B33" i="71" s="1"/>
  <c r="S33" i="71" s="1"/>
  <c r="D30" i="71"/>
  <c r="Q29" i="71"/>
  <c r="P29" i="71"/>
  <c r="O29" i="71"/>
  <c r="N29" i="71"/>
  <c r="X29" i="71" s="1"/>
  <c r="Q28" i="71"/>
  <c r="P28" i="71"/>
  <c r="AA28" i="71" s="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E35" i="71"/>
  <c r="E36" i="71" s="1"/>
  <c r="E37" i="71" s="1"/>
  <c r="AA34" i="71"/>
  <c r="E31" i="71"/>
  <c r="E32" i="71" s="1"/>
  <c r="E33" i="71" s="1"/>
  <c r="U33" i="71" s="1"/>
  <c r="AA27" i="71"/>
  <c r="AA29" i="71"/>
  <c r="AA31" i="71"/>
  <c r="AA32" i="71"/>
  <c r="AA33" i="71"/>
  <c r="Y34" i="71"/>
  <c r="Z34" i="71" s="1"/>
  <c r="X35" i="71"/>
  <c r="AA35" i="71"/>
  <c r="F48" i="71"/>
  <c r="F49" i="71" s="1"/>
  <c r="V49" i="71" s="1"/>
  <c r="C25" i="71"/>
  <c r="Y22" i="71"/>
  <c r="Z22" i="71" s="1"/>
  <c r="Y24" i="71"/>
  <c r="Z24" i="71" s="1"/>
  <c r="X23" i="71"/>
  <c r="C40" i="71"/>
  <c r="D40" i="71" s="1"/>
  <c r="C48" i="71"/>
  <c r="D48" i="71" s="1"/>
  <c r="P25" i="7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AB22" i="71"/>
  <c r="E25" i="71"/>
  <c r="E24" i="71" s="1"/>
  <c r="E23" i="71" s="1"/>
  <c r="AA3" i="71"/>
  <c r="AA23" i="71"/>
  <c r="AA25" i="71"/>
  <c r="D25" i="71"/>
  <c r="C63" i="71"/>
  <c r="O63" i="71" s="1"/>
  <c r="O64" i="71"/>
  <c r="D64" i="71"/>
  <c r="C79" i="71"/>
  <c r="D79" i="71" s="1"/>
  <c r="D84" i="71"/>
  <c r="C83" i="71"/>
  <c r="D83" i="71" s="1"/>
  <c r="P64" i="71"/>
  <c r="E63" i="71"/>
  <c r="P62" i="71" s="1"/>
  <c r="C49" i="71"/>
  <c r="D49" i="71" s="1"/>
  <c r="C41" i="71"/>
  <c r="D41" i="71" s="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S21" i="34"/>
  <c r="H25" i="40"/>
  <c r="U25" i="40" s="1"/>
  <c r="J25" i="40"/>
  <c r="AC25" i="40" s="1"/>
  <c r="H29" i="39"/>
  <c r="U29" i="39" s="1"/>
  <c r="J29" i="39"/>
  <c r="AC29" i="39" s="1"/>
  <c r="J18" i="36"/>
  <c r="AC18" i="36" s="1"/>
  <c r="H18" i="35"/>
  <c r="G68" i="35"/>
  <c r="J18" i="35"/>
  <c r="AC18" i="35" s="1"/>
  <c r="H21" i="37"/>
  <c r="U21" i="37" s="1"/>
  <c r="F21" i="37"/>
  <c r="H21" i="34"/>
  <c r="AB21" i="34" s="1"/>
  <c r="F83" i="33"/>
  <c r="H21" i="33"/>
  <c r="U21" i="33" s="1"/>
  <c r="F21" i="33"/>
  <c r="AA21" i="33" s="1"/>
  <c r="E83" i="21"/>
  <c r="F83" i="21" s="1"/>
  <c r="G83" i="21" s="1"/>
  <c r="H1" i="69"/>
  <c r="W25" i="40"/>
  <c r="AB25" i="40"/>
  <c r="AB29" i="39"/>
  <c r="AB21" i="37"/>
  <c r="AB21" i="33"/>
  <c r="W18" i="35"/>
  <c r="J21" i="37"/>
  <c r="AC21" i="37" s="1"/>
  <c r="J21" i="34"/>
  <c r="AC21" i="34" s="1"/>
  <c r="G83" i="33"/>
  <c r="J21" i="33"/>
  <c r="AC21" i="33" s="1"/>
  <c r="H21" i="21"/>
  <c r="F38" i="69"/>
  <c r="E37" i="69"/>
  <c r="F36" i="69"/>
  <c r="F35" i="69"/>
  <c r="F21" i="69"/>
  <c r="F40" i="69" s="1"/>
  <c r="F20" i="69"/>
  <c r="F39" i="69" s="1"/>
  <c r="E10" i="69"/>
  <c r="E9" i="69"/>
  <c r="W21" i="34"/>
  <c r="J21" i="21"/>
  <c r="W21" i="21" s="1"/>
  <c r="E37"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F12" i="1"/>
  <c r="F13" i="1"/>
  <c r="D6" i="1"/>
  <c r="D9" i="1"/>
  <c r="D10" i="1"/>
  <c r="D11" i="1"/>
  <c r="G11" i="1" s="1"/>
  <c r="D12" i="1"/>
  <c r="D13" i="1"/>
  <c r="D7" i="1"/>
  <c r="D8" i="1"/>
  <c r="A7" i="1"/>
  <c r="B7" i="1" s="1"/>
  <c r="A8" i="1"/>
  <c r="B8" i="1" s="1"/>
  <c r="E8" i="1" s="1"/>
  <c r="A9" i="1"/>
  <c r="A10" i="1"/>
  <c r="A11" i="1"/>
  <c r="B11" i="1" s="1"/>
  <c r="E11" i="1" s="1"/>
  <c r="A12" i="1"/>
  <c r="K12" i="1" s="1"/>
  <c r="M12" i="1" s="1"/>
  <c r="A13" i="1"/>
  <c r="K13" i="1" s="1"/>
  <c r="M13" i="1" s="1"/>
  <c r="O13" i="1" s="1"/>
  <c r="P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L48" i="3" s="1"/>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BT44" i="3"/>
  <c r="BS44" i="3"/>
  <c r="BR44" i="3"/>
  <c r="BQ44" i="3"/>
  <c r="BL44" i="3" s="1"/>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J5" i="3" s="1"/>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S5" i="3" s="1"/>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B97" i="35"/>
  <c r="J34" i="35" s="1"/>
  <c r="B77" i="35"/>
  <c r="B75" i="35"/>
  <c r="J24" i="35" s="1"/>
  <c r="B73" i="35"/>
  <c r="F23" i="35" s="1"/>
  <c r="B57" i="35"/>
  <c r="J11" i="35" s="1"/>
  <c r="AC11" i="35" s="1"/>
  <c r="B61" i="35"/>
  <c r="B59" i="35"/>
  <c r="B131" i="34"/>
  <c r="B129" i="34"/>
  <c r="B127" i="34"/>
  <c r="B99" i="34"/>
  <c r="F32" i="34" s="1"/>
  <c r="B97" i="34"/>
  <c r="B95" i="34"/>
  <c r="B93" i="34"/>
  <c r="B75" i="34"/>
  <c r="F14" i="34" s="1"/>
  <c r="S14" i="34" s="1"/>
  <c r="B73" i="34"/>
  <c r="B71" i="34"/>
  <c r="B130" i="33"/>
  <c r="J46" i="33" s="1"/>
  <c r="AC46" i="33" s="1"/>
  <c r="B128" i="33"/>
  <c r="B126" i="33"/>
  <c r="J44" i="33" s="1"/>
  <c r="AC44" i="33" s="1"/>
  <c r="B98" i="33"/>
  <c r="H31" i="33" s="1"/>
  <c r="B96" i="33"/>
  <c r="J30" i="33" s="1"/>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B130" i="21"/>
  <c r="B128" i="21"/>
  <c r="J45" i="21" s="1"/>
  <c r="B126" i="21"/>
  <c r="B98" i="21"/>
  <c r="H31" i="21" s="1"/>
  <c r="AB31" i="21" s="1"/>
  <c r="B96" i="21"/>
  <c r="B94" i="21"/>
  <c r="J29" i="21" s="1"/>
  <c r="AC29" i="21" s="1"/>
  <c r="B92" i="2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E22" i="6" s="1"/>
  <c r="K9" i="1" s="1"/>
  <c r="M9" i="1" s="1"/>
  <c r="O9" i="1" s="1"/>
  <c r="P9" i="1" s="1"/>
  <c r="R5" i="3"/>
  <c r="S5" i="3"/>
  <c r="E23" i="6" s="1"/>
  <c r="K10" i="1" s="1"/>
  <c r="M10" i="1" s="1"/>
  <c r="O10" i="1" s="1"/>
  <c r="T5" i="3"/>
  <c r="U5" i="3"/>
  <c r="V5" i="3"/>
  <c r="W5" i="3"/>
  <c r="X5" i="3"/>
  <c r="Y5" i="3"/>
  <c r="Z5" i="3"/>
  <c r="AA5" i="3"/>
  <c r="AB5" i="3"/>
  <c r="H585" i="3"/>
  <c r="G585" i="3" s="1"/>
  <c r="H586" i="3"/>
  <c r="G586" i="3" s="1"/>
  <c r="H587" i="3"/>
  <c r="G587" i="3" s="1"/>
  <c r="F5" i="3"/>
  <c r="F34" i="21"/>
  <c r="H34" i="21"/>
  <c r="F43" i="21"/>
  <c r="S43" i="21" s="1"/>
  <c r="H38" i="21"/>
  <c r="U38" i="21" s="1"/>
  <c r="H43" i="21"/>
  <c r="AB43" i="21" s="1"/>
  <c r="F38" i="21"/>
  <c r="S38" i="21" s="1"/>
  <c r="F36" i="2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26" i="21"/>
  <c r="W26" i="21" s="1"/>
  <c r="F26" i="21"/>
  <c r="S26" i="21" s="1"/>
  <c r="S41" i="21"/>
  <c r="AA41" i="21"/>
  <c r="F45" i="39"/>
  <c r="S45" i="39" s="1"/>
  <c r="J45" i="39"/>
  <c r="J44" i="39"/>
  <c r="AC44" i="39" s="1"/>
  <c r="H36" i="39"/>
  <c r="AB36" i="39" s="1"/>
  <c r="J36" i="39"/>
  <c r="W25" i="37"/>
  <c r="U30" i="37"/>
  <c r="W31" i="37"/>
  <c r="E103" i="37"/>
  <c r="F103" i="37" s="1"/>
  <c r="G103" i="37" s="1"/>
  <c r="H103" i="37" s="1"/>
  <c r="I103" i="37" s="1"/>
  <c r="J103" i="37" s="1"/>
  <c r="K103" i="37" s="1"/>
  <c r="L103" i="37" s="1"/>
  <c r="M103" i="37" s="1"/>
  <c r="F39" i="37"/>
  <c r="F29" i="36"/>
  <c r="AA29" i="36" s="1"/>
  <c r="F16" i="36"/>
  <c r="AA16" i="36" s="1"/>
  <c r="AC31" i="36"/>
  <c r="W31" i="36"/>
  <c r="H22" i="35"/>
  <c r="AB22" i="35" s="1"/>
  <c r="W28" i="35"/>
  <c r="F36" i="34"/>
  <c r="J35" i="34"/>
  <c r="AC35" i="34" s="1"/>
  <c r="S34" i="34"/>
  <c r="H39" i="33"/>
  <c r="F26" i="33"/>
  <c r="AA26" i="33" s="1"/>
  <c r="S40" i="33"/>
  <c r="F11" i="40"/>
  <c r="AA11" i="40" s="1"/>
  <c r="H11" i="40"/>
  <c r="AB11" i="40" s="1"/>
  <c r="W8" i="40"/>
  <c r="AC40" i="40"/>
  <c r="AA9" i="40"/>
  <c r="AC9" i="40"/>
  <c r="U9" i="40"/>
  <c r="S34" i="40"/>
  <c r="S40"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C27" i="39"/>
  <c r="S40" i="39"/>
  <c r="H32" i="33"/>
  <c r="AB32" i="33" s="1"/>
  <c r="H11" i="21"/>
  <c r="U11" i="21" s="1"/>
  <c r="J11" i="21"/>
  <c r="W11" i="21" s="1"/>
  <c r="H37" i="40"/>
  <c r="U37" i="40" s="1"/>
  <c r="H36" i="40"/>
  <c r="F35" i="40"/>
  <c r="AA35" i="40" s="1"/>
  <c r="H23" i="40"/>
  <c r="H17" i="40"/>
  <c r="U17" i="40" s="1"/>
  <c r="J15" i="40"/>
  <c r="J11" i="40"/>
  <c r="AC12" i="34"/>
  <c r="S44" i="39"/>
  <c r="U30" i="36"/>
  <c r="J30" i="35"/>
  <c r="W30" i="35" s="1"/>
  <c r="H30" i="35"/>
  <c r="F22" i="35"/>
  <c r="AA22" i="35" s="1"/>
  <c r="H10" i="35"/>
  <c r="U10" i="35" s="1"/>
  <c r="H16" i="36"/>
  <c r="AB16" i="36" s="1"/>
  <c r="E85" i="36"/>
  <c r="F85" i="36" s="1"/>
  <c r="G85" i="36" s="1"/>
  <c r="H85" i="36" s="1"/>
  <c r="I85" i="36" s="1"/>
  <c r="J85" i="36" s="1"/>
  <c r="K85" i="36" s="1"/>
  <c r="L85" i="36" s="1"/>
  <c r="M85" i="36" s="1"/>
  <c r="J29" i="36"/>
  <c r="AC29" i="36" s="1"/>
  <c r="F12" i="36"/>
  <c r="S10"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H15" i="34"/>
  <c r="AB15" i="34" s="1"/>
  <c r="S9"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F17" i="40"/>
  <c r="AA17" i="40" s="1"/>
  <c r="J17" i="40"/>
  <c r="W17" i="40" s="1"/>
  <c r="F15" i="40"/>
  <c r="S15" i="40" s="1"/>
  <c r="H15" i="40"/>
  <c r="AB30" i="36"/>
  <c r="U33" i="35"/>
  <c r="F29" i="35"/>
  <c r="S29" i="35" s="1"/>
  <c r="H29" i="35"/>
  <c r="H33" i="37"/>
  <c r="AB33" i="37" s="1"/>
  <c r="F33" i="37"/>
  <c r="AA33" i="37" s="1"/>
  <c r="J43" i="34"/>
  <c r="W43" i="34" s="1"/>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AC38" i="34"/>
  <c r="AA38" i="34"/>
  <c r="J37" i="34"/>
  <c r="AC37" i="34" s="1"/>
  <c r="J11" i="33"/>
  <c r="W11" i="33" s="1"/>
  <c r="J42" i="21"/>
  <c r="AC42" i="21" s="1"/>
  <c r="H42" i="21"/>
  <c r="U42" i="21" s="1"/>
  <c r="J44" i="34"/>
  <c r="AC44" i="34" s="1"/>
  <c r="F44" i="34"/>
  <c r="AA44" i="34" s="1"/>
  <c r="J10" i="35"/>
  <c r="J14" i="21"/>
  <c r="W14" i="21" s="1"/>
  <c r="F14" i="21"/>
  <c r="H14" i="21"/>
  <c r="U14" i="21" s="1"/>
  <c r="F119" i="21"/>
  <c r="G119" i="21" s="1"/>
  <c r="H119" i="21" s="1"/>
  <c r="I119" i="21" s="1"/>
  <c r="J119" i="21" s="1"/>
  <c r="K119" i="21" s="1"/>
  <c r="L119" i="21" s="1"/>
  <c r="M119" i="21" s="1"/>
  <c r="J28" i="33"/>
  <c r="W28" i="33" s="1"/>
  <c r="F33" i="35"/>
  <c r="J33" i="35"/>
  <c r="AC33" i="35" s="1"/>
  <c r="F30" i="35"/>
  <c r="S30" i="35" s="1"/>
  <c r="H10" i="36"/>
  <c r="AB10" i="36" s="1"/>
  <c r="J14" i="36"/>
  <c r="H14" i="36"/>
  <c r="U14" i="36" s="1"/>
  <c r="F28" i="36"/>
  <c r="AA28" i="36" s="1"/>
  <c r="F27" i="21"/>
  <c r="AA27" i="21" s="1"/>
  <c r="J31" i="21"/>
  <c r="AC31" i="21" s="1"/>
  <c r="F45" i="21"/>
  <c r="AA45" i="21" s="1"/>
  <c r="J13" i="33"/>
  <c r="H29" i="33"/>
  <c r="F31" i="33"/>
  <c r="S31" i="33" s="1"/>
  <c r="J14" i="34"/>
  <c r="W14" i="34" s="1"/>
  <c r="F30" i="34"/>
  <c r="S30" i="34" s="1"/>
  <c r="J32" i="34"/>
  <c r="H11" i="35"/>
  <c r="J26" i="36"/>
  <c r="W26" i="36" s="1"/>
  <c r="H28" i="36"/>
  <c r="U28" i="36" s="1"/>
  <c r="H32" i="36"/>
  <c r="AB32" i="36" s="1"/>
  <c r="J32" i="36"/>
  <c r="W32" i="36" s="1"/>
  <c r="F11" i="36"/>
  <c r="AA11" i="36" s="1"/>
  <c r="J29" i="37"/>
  <c r="W29" i="37" s="1"/>
  <c r="F29" i="37"/>
  <c r="S29" i="37" s="1"/>
  <c r="F105" i="37"/>
  <c r="H36" i="37"/>
  <c r="AB36" i="37" s="1"/>
  <c r="F107" i="37"/>
  <c r="G107" i="37" s="1"/>
  <c r="J37" i="37"/>
  <c r="AC37" i="37" s="1"/>
  <c r="H37" i="37"/>
  <c r="AC12" i="40"/>
  <c r="W12" i="40"/>
  <c r="F14" i="33"/>
  <c r="S14" i="33" s="1"/>
  <c r="H30" i="33"/>
  <c r="AB30" i="33" s="1"/>
  <c r="F30" i="33"/>
  <c r="S30" i="33" s="1"/>
  <c r="H44" i="33"/>
  <c r="F44" i="33"/>
  <c r="S44"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J13" i="40"/>
  <c r="F14" i="37"/>
  <c r="S14" i="37" s="1"/>
  <c r="F13" i="39"/>
  <c r="S13" i="39" s="1"/>
  <c r="H14" i="40"/>
  <c r="AB14" i="40"/>
  <c r="J14" i="40"/>
  <c r="W14" i="40"/>
  <c r="F14" i="40"/>
  <c r="AA14" i="40"/>
  <c r="J14" i="37"/>
  <c r="AC14" i="37"/>
  <c r="AA13" i="35"/>
  <c r="U31" i="34"/>
  <c r="J36" i="37"/>
  <c r="AC36" i="37" s="1"/>
  <c r="G105" i="37"/>
  <c r="J10" i="36"/>
  <c r="AC10" i="36" s="1"/>
  <c r="W31" i="34"/>
  <c r="BA586" i="3"/>
  <c r="F17" i="21"/>
  <c r="AA17" i="21" s="1"/>
  <c r="H17" i="21"/>
  <c r="AB17" i="21" s="1"/>
  <c r="F15" i="21"/>
  <c r="S15" i="21" s="1"/>
  <c r="AB11" i="21"/>
  <c r="W44" i="39"/>
  <c r="U36" i="39"/>
  <c r="G528" i="3"/>
  <c r="G500" i="3"/>
  <c r="BL580" i="3"/>
  <c r="BL526" i="3"/>
  <c r="BL582" i="3"/>
  <c r="BL532" i="3"/>
  <c r="BL504" i="3"/>
  <c r="BA548" i="3"/>
  <c r="BA532" i="3"/>
  <c r="BA522" i="3"/>
  <c r="BA510" i="3"/>
  <c r="BA502" i="3"/>
  <c r="BA494" i="3"/>
  <c r="BA575" i="3"/>
  <c r="BA559" i="3"/>
  <c r="BA547" i="3"/>
  <c r="BA539" i="3"/>
  <c r="BA531" i="3"/>
  <c r="BA523" i="3"/>
  <c r="BA513" i="3"/>
  <c r="BA503" i="3"/>
  <c r="BA495" i="3"/>
  <c r="G569" i="3"/>
  <c r="AC557" i="3"/>
  <c r="BQ557" i="3"/>
  <c r="BQ583" i="3"/>
  <c r="BQ581" i="3"/>
  <c r="BQ579" i="3"/>
  <c r="BQ577" i="3"/>
  <c r="BQ575" i="3"/>
  <c r="BQ573" i="3"/>
  <c r="BQ571" i="3"/>
  <c r="BL571" i="3" s="1"/>
  <c r="BQ569" i="3"/>
  <c r="BQ567" i="3"/>
  <c r="BQ565" i="3"/>
  <c r="BQ563" i="3"/>
  <c r="BQ561" i="3"/>
  <c r="BQ559" i="3"/>
  <c r="G553" i="3"/>
  <c r="G543" i="3"/>
  <c r="BQ555" i="3"/>
  <c r="BQ553" i="3"/>
  <c r="BQ551" i="3"/>
  <c r="BQ549" i="3"/>
  <c r="BQ547" i="3"/>
  <c r="BL547" i="3" s="1"/>
  <c r="BQ545" i="3"/>
  <c r="BQ543" i="3"/>
  <c r="BQ541" i="3"/>
  <c r="BQ539" i="3"/>
  <c r="BL539" i="3" s="1"/>
  <c r="AZ539" i="3" s="1"/>
  <c r="BQ537" i="3"/>
  <c r="BQ535" i="3"/>
  <c r="BQ533" i="3"/>
  <c r="BQ531" i="3"/>
  <c r="BL531" i="3" s="1"/>
  <c r="BQ529" i="3"/>
  <c r="BQ527" i="3"/>
  <c r="BQ525" i="3"/>
  <c r="BQ523" i="3"/>
  <c r="BL523" i="3" s="1"/>
  <c r="AZ523" i="3" s="1"/>
  <c r="AC521" i="3"/>
  <c r="G521" i="3" s="1"/>
  <c r="BQ521" i="3"/>
  <c r="G517" i="3"/>
  <c r="BQ519" i="3"/>
  <c r="BQ517" i="3"/>
  <c r="BQ515" i="3"/>
  <c r="BL515" i="3" s="1"/>
  <c r="BQ513" i="3"/>
  <c r="BQ511" i="3"/>
  <c r="AC509" i="3"/>
  <c r="BQ509" i="3"/>
  <c r="G507" i="3"/>
  <c r="G499" i="3"/>
  <c r="BQ507" i="3"/>
  <c r="BL507" i="3" s="1"/>
  <c r="AZ507" i="3" s="1"/>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32" i="33"/>
  <c r="AA36" i="39"/>
  <c r="F39" i="33"/>
  <c r="AA39" i="33" s="1"/>
  <c r="F42" i="33"/>
  <c r="AA42" i="33" s="1"/>
  <c r="H28" i="34"/>
  <c r="F14" i="36"/>
  <c r="AA14" i="36" s="1"/>
  <c r="F22" i="36"/>
  <c r="S22" i="36" s="1"/>
  <c r="F26" i="36"/>
  <c r="H27" i="34"/>
  <c r="AB27" i="34" s="1"/>
  <c r="H35" i="34"/>
  <c r="U35" i="34" s="1"/>
  <c r="F41" i="34"/>
  <c r="S41" i="34" s="1"/>
  <c r="H41" i="34"/>
  <c r="J41" i="34"/>
  <c r="AC41" i="34" s="1"/>
  <c r="F10" i="35"/>
  <c r="S10" i="35" s="1"/>
  <c r="H24" i="35"/>
  <c r="H23" i="37"/>
  <c r="AB23" i="37" s="1"/>
  <c r="J32" i="37"/>
  <c r="F36" i="37"/>
  <c r="AA36" i="37" s="1"/>
  <c r="F37" i="37"/>
  <c r="AA37" i="37" s="1"/>
  <c r="F31" i="40"/>
  <c r="AA31" i="40" s="1"/>
  <c r="H31" i="40"/>
  <c r="H32" i="40"/>
  <c r="AB32" i="40" s="1"/>
  <c r="J36" i="40"/>
  <c r="W36" i="40" s="1"/>
  <c r="H19" i="37"/>
  <c r="H42" i="33"/>
  <c r="J43" i="33"/>
  <c r="AC43" i="33" s="1"/>
  <c r="S28" i="31"/>
  <c r="S27" i="31"/>
  <c r="S26" i="31"/>
  <c r="U14" i="40"/>
  <c r="AC32" i="36"/>
  <c r="U35" i="35"/>
  <c r="AA12" i="35"/>
  <c r="W14" i="37"/>
  <c r="AB28" i="37"/>
  <c r="U33" i="37"/>
  <c r="W47" i="34"/>
  <c r="AB13" i="34"/>
  <c r="W37" i="34"/>
  <c r="AB37" i="34"/>
  <c r="AC36" i="34"/>
  <c r="W44" i="33"/>
  <c r="U11" i="33"/>
  <c r="U19" i="21"/>
  <c r="AB38" i="21"/>
  <c r="F43" i="33"/>
  <c r="AA43" i="33"/>
  <c r="W15" i="34"/>
  <c r="AC15" i="34"/>
  <c r="W16" i="35"/>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F31" i="37"/>
  <c r="S31" i="37" s="1"/>
  <c r="F12" i="39"/>
  <c r="S12" i="39" s="1"/>
  <c r="J42" i="39"/>
  <c r="H21" i="40"/>
  <c r="AB21" i="40" s="1"/>
  <c r="AC12" i="37"/>
  <c r="H31" i="37"/>
  <c r="F71" i="37"/>
  <c r="G71" i="37" s="1"/>
  <c r="J15" i="37"/>
  <c r="U12" i="37"/>
  <c r="AT6" i="3"/>
  <c r="H19" i="40"/>
  <c r="U19" i="40" s="1"/>
  <c r="F88" i="40"/>
  <c r="G88" i="40" s="1"/>
  <c r="F19" i="40"/>
  <c r="S19" i="40" s="1"/>
  <c r="S14" i="40"/>
  <c r="AB33" i="40"/>
  <c r="U45" i="39"/>
  <c r="H25" i="39"/>
  <c r="AB25" i="39" s="1"/>
  <c r="F25" i="39"/>
  <c r="AA25" i="39" s="1"/>
  <c r="S42" i="39"/>
  <c r="W14" i="39"/>
  <c r="W9" i="39"/>
  <c r="J19" i="40"/>
  <c r="AC19" i="40" s="1"/>
  <c r="J50" i="40"/>
  <c r="B54" i="72"/>
  <c r="H103" i="9"/>
  <c r="D8" i="53" s="1"/>
  <c r="B16" i="53"/>
  <c r="B33" i="72" s="1"/>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AZ315" i="3" s="1"/>
  <c r="G316" i="3"/>
  <c r="BA318" i="3"/>
  <c r="AZ318" i="3" s="1"/>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AZ245" i="3"/>
  <c r="BA379" i="3"/>
  <c r="BL380" i="3"/>
  <c r="AZ380" i="3" s="1"/>
  <c r="G381" i="3"/>
  <c r="BA383" i="3"/>
  <c r="BL384" i="3"/>
  <c r="G385" i="3"/>
  <c r="BA387" i="3"/>
  <c r="BL388" i="3"/>
  <c r="G389" i="3"/>
  <c r="BA391" i="3"/>
  <c r="AZ391" i="3" s="1"/>
  <c r="BL392" i="3"/>
  <c r="G393" i="3"/>
  <c r="AZ506" i="3"/>
  <c r="G548" i="3"/>
  <c r="G520" i="3"/>
  <c r="BG5" i="3"/>
  <c r="BA17" i="3"/>
  <c r="AZ390" i="3"/>
  <c r="F81" i="43"/>
  <c r="F48" i="43"/>
  <c r="H52" i="43" s="1"/>
  <c r="M11" i="43"/>
  <c r="D17" i="43"/>
  <c r="I17" i="43"/>
  <c r="J17" i="43"/>
  <c r="F6" i="1"/>
  <c r="G6" i="1" s="1"/>
  <c r="S14" i="35"/>
  <c r="U43" i="21"/>
  <c r="U35" i="21"/>
  <c r="AC35" i="21"/>
  <c r="W37" i="37"/>
  <c r="W44" i="34"/>
  <c r="U12" i="40"/>
  <c r="AA12" i="40"/>
  <c r="J37" i="33"/>
  <c r="AC17" i="34"/>
  <c r="F106" i="33"/>
  <c r="G106" i="33" s="1"/>
  <c r="H106" i="33" s="1"/>
  <c r="I106" i="33" s="1"/>
  <c r="J106" i="33" s="1"/>
  <c r="K106" i="33" s="1"/>
  <c r="L106" i="33" s="1"/>
  <c r="M106" i="33" s="1"/>
  <c r="J34" i="33"/>
  <c r="W34" i="33" s="1"/>
  <c r="F33" i="34"/>
  <c r="S33" i="34" s="1"/>
  <c r="W12" i="36"/>
  <c r="AC12" i="36"/>
  <c r="H20" i="36"/>
  <c r="U20" i="36" s="1"/>
  <c r="J20" i="36"/>
  <c r="J27" i="36"/>
  <c r="W27" i="36"/>
  <c r="AB25" i="37"/>
  <c r="AC33" i="40"/>
  <c r="G111" i="40"/>
  <c r="H111" i="40" s="1"/>
  <c r="I111" i="40" s="1"/>
  <c r="J111" i="40" s="1"/>
  <c r="K111" i="40" s="1"/>
  <c r="L111" i="40" s="1"/>
  <c r="M111" i="40" s="1"/>
  <c r="H35" i="40"/>
  <c r="AB35" i="40"/>
  <c r="AC29" i="35"/>
  <c r="W29" i="35"/>
  <c r="H35" i="37"/>
  <c r="U35" i="37"/>
  <c r="H20" i="35"/>
  <c r="F20" i="35"/>
  <c r="AA20" i="35" s="1"/>
  <c r="AB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J39" i="39"/>
  <c r="AC39" i="39" s="1"/>
  <c r="E97" i="39"/>
  <c r="F97" i="39" s="1"/>
  <c r="G97" i="39" s="1"/>
  <c r="AZ232" i="3"/>
  <c r="AZ240" i="3"/>
  <c r="AZ243" i="3"/>
  <c r="AZ248" i="3"/>
  <c r="AZ69" i="3"/>
  <c r="AZ77" i="3"/>
  <c r="F23" i="39"/>
  <c r="AA23" i="39" s="1"/>
  <c r="H27" i="36"/>
  <c r="U27" i="36" s="1"/>
  <c r="F27" i="36"/>
  <c r="AA27" i="36" s="1"/>
  <c r="H33" i="34"/>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S13" i="1"/>
  <c r="AR13" i="1" s="1"/>
  <c r="R13" i="1"/>
  <c r="S11" i="1"/>
  <c r="AQ11" i="1" s="1"/>
  <c r="R11" i="1"/>
  <c r="J51" i="67"/>
  <c r="H100" i="43"/>
  <c r="AC34" i="33"/>
  <c r="J100" i="43"/>
  <c r="AB37" i="40"/>
  <c r="S35" i="40"/>
  <c r="U35" i="40"/>
  <c r="AC36" i="40"/>
  <c r="S17" i="40"/>
  <c r="AC17" i="40"/>
  <c r="S30" i="40"/>
  <c r="S28" i="40"/>
  <c r="AB19" i="40"/>
  <c r="W39" i="39"/>
  <c r="S43" i="39"/>
  <c r="F32" i="39"/>
  <c r="F107" i="39"/>
  <c r="G107" i="39" s="1"/>
  <c r="H107" i="39" s="1"/>
  <c r="I107" i="39" s="1"/>
  <c r="J107" i="39" s="1"/>
  <c r="K107" i="39" s="1"/>
  <c r="L107" i="39" s="1"/>
  <c r="M107" i="39" s="1"/>
  <c r="U25" i="39"/>
  <c r="F21" i="39"/>
  <c r="S21" i="39" s="1"/>
  <c r="H21" i="39"/>
  <c r="U21" i="39" s="1"/>
  <c r="S9" i="39"/>
  <c r="U14" i="39"/>
  <c r="AC13" i="39"/>
  <c r="AC27" i="36"/>
  <c r="S27" i="36"/>
  <c r="AA34" i="36"/>
  <c r="S29" i="36"/>
  <c r="AC26" i="36"/>
  <c r="AB14" i="36"/>
  <c r="U22" i="36"/>
  <c r="S16" i="36"/>
  <c r="AA25" i="36"/>
  <c r="U24" i="36"/>
  <c r="U23" i="36"/>
  <c r="AB20" i="36"/>
  <c r="U16" i="36"/>
  <c r="S14" i="36"/>
  <c r="U10" i="36"/>
  <c r="W10" i="36"/>
  <c r="AA25" i="35"/>
  <c r="AB13" i="35"/>
  <c r="U28" i="35"/>
  <c r="AB27" i="35"/>
  <c r="U32" i="35"/>
  <c r="AC30" i="35"/>
  <c r="S32" i="35"/>
  <c r="W32" i="35"/>
  <c r="S28" i="35"/>
  <c r="AB16" i="35"/>
  <c r="U22" i="35"/>
  <c r="S20" i="35"/>
  <c r="AC20" i="35"/>
  <c r="S22" i="35"/>
  <c r="U14" i="35"/>
  <c r="AA10" i="35"/>
  <c r="AB10" i="35"/>
  <c r="AC9" i="35"/>
  <c r="W13" i="35"/>
  <c r="F9" i="35"/>
  <c r="F26" i="35"/>
  <c r="AA26" i="35" s="1"/>
  <c r="J26" i="35"/>
  <c r="H26" i="35"/>
  <c r="S25" i="37"/>
  <c r="AC9" i="37"/>
  <c r="AC29" i="37"/>
  <c r="U29" i="37"/>
  <c r="S32" i="37"/>
  <c r="W30" i="37"/>
  <c r="S36" i="37"/>
  <c r="AA38" i="37"/>
  <c r="W38" i="37"/>
  <c r="AC35" i="37"/>
  <c r="S30" i="37"/>
  <c r="S37" i="37"/>
  <c r="J17" i="37"/>
  <c r="W17" i="37" s="1"/>
  <c r="G73" i="37"/>
  <c r="F17" i="37"/>
  <c r="AA17" i="37" s="1"/>
  <c r="F75" i="37"/>
  <c r="F19" i="37"/>
  <c r="F79" i="37"/>
  <c r="F23" i="37"/>
  <c r="S23" i="37" s="1"/>
  <c r="U23" i="37"/>
  <c r="U15" i="37"/>
  <c r="U9" i="37"/>
  <c r="AA12" i="37"/>
  <c r="AA9" i="37"/>
  <c r="H10" i="37"/>
  <c r="H60" i="37"/>
  <c r="F63" i="37"/>
  <c r="F11" i="37"/>
  <c r="S27" i="34"/>
  <c r="W25" i="34"/>
  <c r="AB8" i="34"/>
  <c r="AA33" i="34"/>
  <c r="U43" i="34"/>
  <c r="W41" i="34"/>
  <c r="AC42" i="34"/>
  <c r="AB35" i="34"/>
  <c r="U39" i="34"/>
  <c r="S43" i="34"/>
  <c r="AA45" i="34"/>
  <c r="W34" i="34"/>
  <c r="AA25" i="34"/>
  <c r="S17" i="34"/>
  <c r="AA29" i="34"/>
  <c r="U27" i="34"/>
  <c r="S23" i="34"/>
  <c r="U15" i="34"/>
  <c r="S10" i="34"/>
  <c r="S13" i="34"/>
  <c r="H10" i="34"/>
  <c r="F11" i="34"/>
  <c r="S11" i="34" s="1"/>
  <c r="F70" i="34"/>
  <c r="W42" i="33"/>
  <c r="S27" i="33"/>
  <c r="S32" i="33"/>
  <c r="W38" i="33"/>
  <c r="H41" i="33"/>
  <c r="F121" i="33"/>
  <c r="G121" i="33" s="1"/>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s="1"/>
  <c r="W19" i="33"/>
  <c r="J17" i="33"/>
  <c r="S15" i="33"/>
  <c r="W15" i="33"/>
  <c r="U9" i="33"/>
  <c r="J10" i="33"/>
  <c r="H10" i="33"/>
  <c r="AA10" i="33"/>
  <c r="AC11" i="33"/>
  <c r="W43" i="21"/>
  <c r="W41" i="21"/>
  <c r="AB39" i="21"/>
  <c r="AA43" i="21"/>
  <c r="S39" i="21"/>
  <c r="AA38" i="21"/>
  <c r="AC40" i="21"/>
  <c r="J15" i="21"/>
  <c r="W15" i="21"/>
  <c r="G77" i="21"/>
  <c r="F23" i="21"/>
  <c r="S23" i="21"/>
  <c r="E85" i="21"/>
  <c r="AC11" i="21"/>
  <c r="AB8" i="21"/>
  <c r="S8" i="21"/>
  <c r="M3" i="43"/>
  <c r="M1" i="43"/>
  <c r="N8" i="43"/>
  <c r="D120" i="9"/>
  <c r="D121" i="9" s="1"/>
  <c r="D7" i="52" s="1"/>
  <c r="C18" i="9"/>
  <c r="D18" i="9" s="1"/>
  <c r="BA13" i="3"/>
  <c r="BL17" i="3"/>
  <c r="J56" i="9"/>
  <c r="J57" i="9" s="1"/>
  <c r="J59" i="9" s="1"/>
  <c r="J61" i="9" s="1"/>
  <c r="A24" i="51"/>
  <c r="B18" i="72" s="1"/>
  <c r="U29" i="34"/>
  <c r="E32" i="6"/>
  <c r="G1" i="68"/>
  <c r="K1" i="12"/>
  <c r="E19" i="69"/>
  <c r="E19" i="68"/>
  <c r="E19" i="11"/>
  <c r="G26" i="12"/>
  <c r="C100" i="43"/>
  <c r="E81" i="43"/>
  <c r="B79" i="43" s="1"/>
  <c r="F100" i="43"/>
  <c r="H17" i="43"/>
  <c r="F33" i="43"/>
  <c r="F34" i="43"/>
  <c r="N6" i="43"/>
  <c r="N3" i="43"/>
  <c r="F37" i="43"/>
  <c r="M9" i="43"/>
  <c r="N5" i="43"/>
  <c r="M12" i="43"/>
  <c r="B19" i="53"/>
  <c r="B37" i="72" s="1"/>
  <c r="C7" i="21"/>
  <c r="C58" i="21" s="1"/>
  <c r="T35" i="4"/>
  <c r="A19" i="51" s="1"/>
  <c r="B14" i="72" s="1"/>
  <c r="A4" i="51"/>
  <c r="B6" i="72" s="1"/>
  <c r="C4" i="12"/>
  <c r="H66" i="43"/>
  <c r="H64" i="43"/>
  <c r="L20" i="6"/>
  <c r="B6" i="1"/>
  <c r="E6" i="1" s="1"/>
  <c r="K11" i="1"/>
  <c r="M11" i="1" s="1"/>
  <c r="O11" i="1" s="1"/>
  <c r="AP6" i="1"/>
  <c r="B9" i="1"/>
  <c r="E9" i="1" s="1"/>
  <c r="G1" i="15"/>
  <c r="G1" i="69"/>
  <c r="G1" i="67"/>
  <c r="W23" i="40"/>
  <c r="U32" i="40"/>
  <c r="S37" i="40"/>
  <c r="AB28" i="40"/>
  <c r="W28" i="40"/>
  <c r="W34" i="40"/>
  <c r="W19" i="40"/>
  <c r="W27" i="40"/>
  <c r="S36" i="40"/>
  <c r="W37" i="40"/>
  <c r="AC14" i="40"/>
  <c r="S33" i="40"/>
  <c r="AA15" i="40"/>
  <c r="U11" i="40"/>
  <c r="S31" i="40"/>
  <c r="AB17" i="40"/>
  <c r="U8" i="40"/>
  <c r="S8" i="40"/>
  <c r="AB23" i="39"/>
  <c r="AA13" i="39"/>
  <c r="S14" i="39"/>
  <c r="AA14" i="39"/>
  <c r="U43" i="39"/>
  <c r="S23" i="39"/>
  <c r="AA45" i="39"/>
  <c r="S8" i="39"/>
  <c r="S20" i="36"/>
  <c r="AC25" i="36"/>
  <c r="S28" i="36"/>
  <c r="U32" i="36"/>
  <c r="W29" i="36"/>
  <c r="U25" i="36"/>
  <c r="AB28" i="36"/>
  <c r="W22" i="36"/>
  <c r="AC25" i="35"/>
  <c r="U25" i="35"/>
  <c r="W33" i="35"/>
  <c r="AA30" i="35"/>
  <c r="S35" i="35"/>
  <c r="W35" i="35"/>
  <c r="AA16" i="35"/>
  <c r="AA35" i="37"/>
  <c r="W36" i="37"/>
  <c r="S28" i="37"/>
  <c r="U36" i="37"/>
  <c r="U38" i="37"/>
  <c r="S33" i="37"/>
  <c r="AC34" i="37"/>
  <c r="AB35" i="37"/>
  <c r="AA31" i="37"/>
  <c r="AA29" i="37"/>
  <c r="AA8" i="37"/>
  <c r="U8" i="37"/>
  <c r="AA40" i="34"/>
  <c r="AB40" i="34"/>
  <c r="U19" i="34"/>
  <c r="W19" i="34"/>
  <c r="AC45" i="34"/>
  <c r="AA31" i="34"/>
  <c r="AA30" i="34"/>
  <c r="AB45" i="34"/>
  <c r="AB47" i="34"/>
  <c r="U25" i="34"/>
  <c r="AB36" i="34"/>
  <c r="W33" i="34"/>
  <c r="AC14" i="34"/>
  <c r="AC29" i="34"/>
  <c r="S32" i="34"/>
  <c r="AA32" i="34"/>
  <c r="S37" i="34"/>
  <c r="U38" i="34"/>
  <c r="AC40" i="34"/>
  <c r="W40" i="34"/>
  <c r="AA19" i="34"/>
  <c r="S19" i="34"/>
  <c r="AA36" i="34"/>
  <c r="S36" i="34"/>
  <c r="AA8" i="34"/>
  <c r="S8" i="34"/>
  <c r="AC43" i="34"/>
  <c r="AA11" i="34"/>
  <c r="W23" i="34"/>
  <c r="AC23" i="34"/>
  <c r="W35" i="34"/>
  <c r="W46" i="33"/>
  <c r="U38" i="33"/>
  <c r="S33" i="33"/>
  <c r="AB34" i="33"/>
  <c r="U44" i="33"/>
  <c r="AB44" i="33"/>
  <c r="AA30" i="33"/>
  <c r="AC30" i="33"/>
  <c r="W30" i="33"/>
  <c r="AA31" i="33"/>
  <c r="W13" i="33"/>
  <c r="AC13" i="33"/>
  <c r="U15" i="33"/>
  <c r="S11" i="33"/>
  <c r="U37" i="33"/>
  <c r="AC28" i="33"/>
  <c r="W8" i="33"/>
  <c r="AB42" i="21"/>
  <c r="AA11" i="21"/>
  <c r="S45" i="21"/>
  <c r="I101" i="21"/>
  <c r="J101" i="21" s="1"/>
  <c r="K101" i="21" s="1"/>
  <c r="L101" i="21" s="1"/>
  <c r="M101" i="21" s="1"/>
  <c r="F33" i="21"/>
  <c r="J33" i="21"/>
  <c r="W33" i="21" s="1"/>
  <c r="H33" i="21"/>
  <c r="AB33" i="21" s="1"/>
  <c r="F37" i="21"/>
  <c r="AA37" i="21" s="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U17" i="21"/>
  <c r="W29" i="21"/>
  <c r="S19" i="21"/>
  <c r="S9" i="21"/>
  <c r="K141" i="21"/>
  <c r="K144" i="21"/>
  <c r="K143" i="21"/>
  <c r="AB25" i="21"/>
  <c r="W42" i="21"/>
  <c r="F10" i="21"/>
  <c r="S10" i="21" s="1"/>
  <c r="K145" i="21"/>
  <c r="W17" i="21"/>
  <c r="W25" i="21"/>
  <c r="AA29" i="21"/>
  <c r="W31" i="21"/>
  <c r="S27"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E7" i="70"/>
  <c r="AA39" i="40"/>
  <c r="S39" i="40"/>
  <c r="S12" i="33"/>
  <c r="AA12" i="33"/>
  <c r="J32" i="39"/>
  <c r="AC32" i="39" s="1"/>
  <c r="H32" i="39"/>
  <c r="AB32" i="39" s="1"/>
  <c r="AA32" i="39"/>
  <c r="S32" i="39"/>
  <c r="AB21" i="39"/>
  <c r="S26"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AA23" i="33"/>
  <c r="S23" i="33"/>
  <c r="AA17" i="33"/>
  <c r="S17" i="33"/>
  <c r="AC23" i="21"/>
  <c r="W23" i="21"/>
  <c r="AC11" i="37"/>
  <c r="W11" i="37"/>
  <c r="AC11" i="34"/>
  <c r="AE7" i="1"/>
  <c r="AE8" i="1"/>
  <c r="AG6" i="1"/>
  <c r="H109" i="9"/>
  <c r="M49" i="9" s="1"/>
  <c r="D16" i="53"/>
  <c r="B34" i="72" s="1"/>
  <c r="H112" i="9"/>
  <c r="D21" i="53" s="1"/>
  <c r="B39" i="72" s="1"/>
  <c r="H111" i="9"/>
  <c r="D126" i="9" s="1"/>
  <c r="AD3" i="71"/>
  <c r="H67" i="43"/>
  <c r="H60" i="43"/>
  <c r="M4" i="43"/>
  <c r="M5" i="43"/>
  <c r="N12" i="43"/>
  <c r="N11" i="43"/>
  <c r="M10" i="43"/>
  <c r="M2" i="43"/>
  <c r="M7" i="43"/>
  <c r="N9" i="43"/>
  <c r="M8" i="43"/>
  <c r="N10" i="43"/>
  <c r="M6" i="43"/>
  <c r="N7" i="43"/>
  <c r="F70" i="43" s="1"/>
  <c r="N4" i="43"/>
  <c r="N2" i="43"/>
  <c r="N17" i="43"/>
  <c r="O17" i="43"/>
  <c r="E17" i="43"/>
  <c r="AB19" i="71"/>
  <c r="X17" i="71"/>
  <c r="X16" i="71"/>
  <c r="AA17" i="71"/>
  <c r="AA16" i="71"/>
  <c r="X20" i="71"/>
  <c r="Y16" i="71"/>
  <c r="Z16" i="71" s="1"/>
  <c r="AB17" i="71"/>
  <c r="AB16" i="71"/>
  <c r="C94" i="9"/>
  <c r="C92" i="9"/>
  <c r="F18" i="71"/>
  <c r="F17" i="71" s="1"/>
  <c r="F16" i="71" s="1"/>
  <c r="F15" i="71" s="1"/>
  <c r="F14" i="71" s="1"/>
  <c r="Y17" i="71"/>
  <c r="Z17" i="71" s="1"/>
  <c r="X3" i="71"/>
  <c r="F34" i="68"/>
  <c r="F7" i="67"/>
  <c r="F26" i="15"/>
  <c r="M6" i="67"/>
  <c r="M6" i="15"/>
  <c r="F36" i="67"/>
  <c r="M22" i="67"/>
  <c r="M23" i="15"/>
  <c r="M28" i="15"/>
  <c r="B8" i="76"/>
  <c r="F4" i="73"/>
  <c r="M22" i="15"/>
  <c r="F40" i="15"/>
  <c r="M27" i="15"/>
  <c r="AO10" i="1"/>
  <c r="AO7" i="1"/>
  <c r="J15" i="15"/>
  <c r="B12" i="76"/>
  <c r="M26" i="15"/>
  <c r="L47" i="67"/>
  <c r="D2" i="36"/>
  <c r="F38" i="15"/>
  <c r="AO9" i="1"/>
  <c r="E10" i="76"/>
  <c r="F13" i="15"/>
  <c r="E13" i="76"/>
  <c r="F8" i="15"/>
  <c r="E7" i="76"/>
  <c r="B11" i="76"/>
  <c r="M9" i="15"/>
  <c r="E12" i="76"/>
  <c r="F9" i="15"/>
  <c r="M27" i="67"/>
  <c r="L47" i="15"/>
  <c r="M8" i="67"/>
  <c r="AO11" i="1"/>
  <c r="D2" i="34"/>
  <c r="AO8" i="1"/>
  <c r="D35" i="9"/>
  <c r="F9" i="67"/>
  <c r="F37" i="15"/>
  <c r="E8" i="76"/>
  <c r="F20" i="31"/>
  <c r="F3" i="73"/>
  <c r="F6" i="73"/>
  <c r="B13" i="76"/>
  <c r="F40" i="67"/>
  <c r="M28" i="67"/>
  <c r="M24" i="67"/>
  <c r="F43" i="15"/>
  <c r="C76" i="67"/>
  <c r="M26" i="67"/>
  <c r="D20" i="9"/>
  <c r="F6" i="15"/>
  <c r="D34" i="9"/>
  <c r="M29" i="67"/>
  <c r="F43" i="67"/>
  <c r="D2" i="21"/>
  <c r="M9" i="67"/>
  <c r="F7" i="73"/>
  <c r="F37" i="67"/>
  <c r="F13" i="67"/>
  <c r="L48" i="15"/>
  <c r="B9" i="76"/>
  <c r="F26" i="67"/>
  <c r="E2" i="68"/>
  <c r="B7" i="76"/>
  <c r="F36" i="15"/>
  <c r="F16" i="15"/>
  <c r="F41" i="67"/>
  <c r="E9" i="76"/>
  <c r="M8" i="15"/>
  <c r="D2" i="35"/>
  <c r="D19" i="9"/>
  <c r="D2" i="33"/>
  <c r="C20" i="9"/>
  <c r="M23" i="67"/>
  <c r="F6" i="67"/>
  <c r="E11" i="76"/>
  <c r="F38" i="67"/>
  <c r="L48" i="67"/>
  <c r="F5" i="73"/>
  <c r="B10" i="76"/>
  <c r="E2" i="69"/>
  <c r="C19" i="9"/>
  <c r="AO12" i="1"/>
  <c r="C76" i="15"/>
  <c r="M29" i="15"/>
  <c r="F16" i="67"/>
  <c r="F42" i="67"/>
  <c r="AO13" i="1"/>
  <c r="D2" i="37"/>
  <c r="M24" i="15"/>
  <c r="J15" i="67"/>
  <c r="F8" i="67"/>
  <c r="F42" i="15"/>
  <c r="AH6" i="1" l="1"/>
  <c r="F3" i="35"/>
  <c r="F34" i="15"/>
  <c r="F62" i="15" s="1"/>
  <c r="M20" i="67"/>
  <c r="F34" i="67"/>
  <c r="F62" i="67" s="1"/>
  <c r="AZ44" i="3"/>
  <c r="AZ48" i="3"/>
  <c r="BL47" i="3"/>
  <c r="BL50" i="3"/>
  <c r="AR11" i="1"/>
  <c r="G19" i="43"/>
  <c r="O19" i="43" s="1"/>
  <c r="C7" i="33"/>
  <c r="C58" i="33" s="1"/>
  <c r="C7" i="36"/>
  <c r="C46" i="36" s="1"/>
  <c r="D46" i="36" s="1"/>
  <c r="E46" i="36" s="1"/>
  <c r="F46" i="36" s="1"/>
  <c r="G46" i="36" s="1"/>
  <c r="H46" i="36" s="1"/>
  <c r="I46" i="36" s="1"/>
  <c r="M47" i="9"/>
  <c r="C7" i="35"/>
  <c r="C48" i="35" s="1"/>
  <c r="D48" i="35" s="1"/>
  <c r="C42" i="1"/>
  <c r="C24" i="12" s="1"/>
  <c r="C7" i="34"/>
  <c r="C59" i="34" s="1"/>
  <c r="D59" i="34" s="1"/>
  <c r="E59" i="34" s="1"/>
  <c r="F59" i="34" s="1"/>
  <c r="G59" i="34" s="1"/>
  <c r="H59" i="34" s="1"/>
  <c r="I59" i="34" s="1"/>
  <c r="J59" i="34" s="1"/>
  <c r="J1" i="73"/>
  <c r="C7" i="40"/>
  <c r="C63" i="40" s="1"/>
  <c r="C7" i="39"/>
  <c r="C68" i="39" s="1"/>
  <c r="G13" i="1"/>
  <c r="W25" i="33"/>
  <c r="S11" i="37"/>
  <c r="AA11" i="37"/>
  <c r="U20" i="35"/>
  <c r="AB20" i="35"/>
  <c r="W20" i="36"/>
  <c r="AC20" i="36"/>
  <c r="W37" i="33"/>
  <c r="AC37" i="33"/>
  <c r="W15" i="37"/>
  <c r="AC15" i="37"/>
  <c r="U31" i="37"/>
  <c r="AB31" i="37"/>
  <c r="AB42" i="33"/>
  <c r="U42" i="33"/>
  <c r="U31" i="40"/>
  <c r="AB31" i="40"/>
  <c r="AC32" i="37"/>
  <c r="W32" i="37"/>
  <c r="AB24" i="35"/>
  <c r="U24" i="35"/>
  <c r="AB28" i="34"/>
  <c r="U28" i="34"/>
  <c r="AC5" i="3"/>
  <c r="G509" i="3"/>
  <c r="W13" i="40"/>
  <c r="AC13" i="40"/>
  <c r="W32" i="34"/>
  <c r="AC32" i="34"/>
  <c r="U29" i="33"/>
  <c r="AB29" i="33"/>
  <c r="W15" i="40"/>
  <c r="AC15" i="40"/>
  <c r="AB23" i="40"/>
  <c r="U23" i="40"/>
  <c r="AB36" i="40"/>
  <c r="U36" i="40"/>
  <c r="AB39" i="33"/>
  <c r="U39" i="33"/>
  <c r="S39" i="37"/>
  <c r="AA39" i="37"/>
  <c r="W45" i="39"/>
  <c r="AC45" i="39"/>
  <c r="AB26" i="21"/>
  <c r="U26" i="21"/>
  <c r="AB10" i="21"/>
  <c r="U10" i="21"/>
  <c r="S36" i="21"/>
  <c r="AA36" i="21"/>
  <c r="AA34" i="21"/>
  <c r="S34" i="21"/>
  <c r="U33" i="34"/>
  <c r="AB33" i="34"/>
  <c r="S39" i="39"/>
  <c r="AA39" i="39"/>
  <c r="AB32" i="37"/>
  <c r="U32" i="37"/>
  <c r="S15" i="37"/>
  <c r="H83" i="43"/>
  <c r="H88" i="43"/>
  <c r="AC42" i="39"/>
  <c r="W42" i="39"/>
  <c r="AB19" i="37"/>
  <c r="U19" i="37"/>
  <c r="U41" i="34"/>
  <c r="AB41" i="34"/>
  <c r="S26" i="36"/>
  <c r="AA26" i="36"/>
  <c r="U17" i="37"/>
  <c r="AB17" i="37"/>
  <c r="AZ531" i="3"/>
  <c r="AZ547" i="3"/>
  <c r="U37" i="37"/>
  <c r="AB37" i="37"/>
  <c r="U11" i="35"/>
  <c r="AB11" i="35"/>
  <c r="AC14" i="36"/>
  <c r="W14" i="36"/>
  <c r="S33" i="35"/>
  <c r="AA33" i="35"/>
  <c r="S14" i="21"/>
  <c r="AA14" i="21"/>
  <c r="W10" i="35"/>
  <c r="AC10" i="35"/>
  <c r="AB29" i="35"/>
  <c r="U29" i="35"/>
  <c r="AB15" i="40"/>
  <c r="U15" i="40"/>
  <c r="AA23" i="40"/>
  <c r="S23" i="40"/>
  <c r="BL587" i="3"/>
  <c r="F28" i="34"/>
  <c r="J28" i="34"/>
  <c r="J29" i="33"/>
  <c r="AC29" i="33" s="1"/>
  <c r="F29" i="33"/>
  <c r="AB31" i="33"/>
  <c r="U31" i="33"/>
  <c r="H45" i="33"/>
  <c r="U45" i="33" s="1"/>
  <c r="F45" i="33"/>
  <c r="AA45" i="33" s="1"/>
  <c r="H30" i="34"/>
  <c r="J30" i="34"/>
  <c r="W30" i="34" s="1"/>
  <c r="H46" i="34"/>
  <c r="U46" i="34" s="1"/>
  <c r="J46" i="34"/>
  <c r="H12" i="35"/>
  <c r="J12" i="35"/>
  <c r="W27" i="35"/>
  <c r="AC27" i="35"/>
  <c r="U12" i="36"/>
  <c r="AB12" i="36"/>
  <c r="H11" i="36"/>
  <c r="U11" i="36" s="1"/>
  <c r="J11" i="36"/>
  <c r="H13" i="37"/>
  <c r="F13" i="37"/>
  <c r="J13" i="37"/>
  <c r="H27" i="37"/>
  <c r="F27" i="37"/>
  <c r="J27" i="37"/>
  <c r="H40" i="37"/>
  <c r="F40" i="37"/>
  <c r="J39" i="37"/>
  <c r="H39" i="37"/>
  <c r="AC40" i="39"/>
  <c r="W40" i="39"/>
  <c r="H13" i="40"/>
  <c r="F13" i="40"/>
  <c r="W31" i="35"/>
  <c r="AC31" i="35"/>
  <c r="AA30" i="36"/>
  <c r="S30" i="36"/>
  <c r="H35" i="39"/>
  <c r="F35" i="39"/>
  <c r="AA35" i="39" s="1"/>
  <c r="BL566" i="3"/>
  <c r="BL564" i="3"/>
  <c r="BA554" i="3"/>
  <c r="BA544" i="3"/>
  <c r="BL536" i="3"/>
  <c r="BA536" i="3"/>
  <c r="AZ536" i="3" s="1"/>
  <c r="BL534" i="3"/>
  <c r="BL528" i="3"/>
  <c r="BA528" i="3"/>
  <c r="BA524" i="3"/>
  <c r="BA518" i="3"/>
  <c r="BL516" i="3"/>
  <c r="BL514" i="3"/>
  <c r="BA514" i="3"/>
  <c r="AZ514" i="3" s="1"/>
  <c r="BL498" i="3"/>
  <c r="AZ498" i="3" s="1"/>
  <c r="BL496" i="3"/>
  <c r="W36" i="21"/>
  <c r="H9" i="35"/>
  <c r="S8" i="35"/>
  <c r="U26" i="36"/>
  <c r="S23" i="36"/>
  <c r="AC14" i="35"/>
  <c r="AZ377" i="3"/>
  <c r="AZ345" i="3"/>
  <c r="AZ322" i="3"/>
  <c r="AZ311" i="3"/>
  <c r="AZ378" i="3"/>
  <c r="W8" i="39"/>
  <c r="H15" i="39"/>
  <c r="J25" i="39"/>
  <c r="AB44" i="39"/>
  <c r="AC43" i="39"/>
  <c r="F36" i="35"/>
  <c r="AC8" i="37"/>
  <c r="F32" i="40"/>
  <c r="S32" i="40" s="1"/>
  <c r="F24" i="35"/>
  <c r="BL497" i="3"/>
  <c r="BL501" i="3"/>
  <c r="BL509" i="3"/>
  <c r="AZ509" i="3" s="1"/>
  <c r="BL517" i="3"/>
  <c r="BL525" i="3"/>
  <c r="BL533" i="3"/>
  <c r="BL541" i="3"/>
  <c r="BL553" i="3"/>
  <c r="BL569" i="3"/>
  <c r="H13" i="39"/>
  <c r="J40" i="37"/>
  <c r="F11" i="35"/>
  <c r="F46" i="34"/>
  <c r="H32" i="34"/>
  <c r="H14" i="34"/>
  <c r="J45" i="33"/>
  <c r="J31" i="33"/>
  <c r="F13" i="33"/>
  <c r="F31" i="21"/>
  <c r="H29" i="21"/>
  <c r="H27" i="21"/>
  <c r="S42" i="34"/>
  <c r="S34" i="37"/>
  <c r="W8" i="34"/>
  <c r="AB8" i="36"/>
  <c r="W30" i="36"/>
  <c r="W31" i="40"/>
  <c r="S27" i="35"/>
  <c r="AC36" i="39"/>
  <c r="W36" i="39"/>
  <c r="J9" i="33"/>
  <c r="F9" i="33"/>
  <c r="C32" i="71"/>
  <c r="D31" i="71"/>
  <c r="G551" i="3"/>
  <c r="G150" i="3"/>
  <c r="G182" i="3"/>
  <c r="BA185" i="3"/>
  <c r="BL187" i="3"/>
  <c r="AZ187" i="3" s="1"/>
  <c r="BL111" i="3"/>
  <c r="AC21" i="21"/>
  <c r="C40" i="69"/>
  <c r="W21" i="33"/>
  <c r="W29" i="39"/>
  <c r="S21" i="21"/>
  <c r="U18" i="36"/>
  <c r="V25" i="71"/>
  <c r="C71" i="71"/>
  <c r="D71" i="71" s="1"/>
  <c r="AB24" i="71"/>
  <c r="AA24" i="71"/>
  <c r="X25" i="71"/>
  <c r="B25" i="71"/>
  <c r="Y23" i="71"/>
  <c r="Z23" i="71" s="1"/>
  <c r="AB30" i="71"/>
  <c r="Y26" i="71"/>
  <c r="Z26" i="71" s="1"/>
  <c r="X30" i="71"/>
  <c r="Y29" i="71"/>
  <c r="Z29" i="71" s="1"/>
  <c r="AA30" i="71"/>
  <c r="X31" i="71"/>
  <c r="X22" i="71"/>
  <c r="AA22" i="71"/>
  <c r="BL400" i="3"/>
  <c r="G403" i="3"/>
  <c r="G405" i="3"/>
  <c r="G407" i="3"/>
  <c r="BL408" i="3"/>
  <c r="G415" i="3"/>
  <c r="BA416" i="3"/>
  <c r="BA418" i="3"/>
  <c r="BA422" i="3"/>
  <c r="BL424" i="3"/>
  <c r="G431" i="3"/>
  <c r="BA432" i="3"/>
  <c r="BA434" i="3"/>
  <c r="G441" i="3"/>
  <c r="BL442" i="3"/>
  <c r="BL444" i="3"/>
  <c r="BA446" i="3"/>
  <c r="BL446" i="3"/>
  <c r="G447" i="3"/>
  <c r="BL448" i="3"/>
  <c r="BL450" i="3"/>
  <c r="BL452" i="3"/>
  <c r="BL454" i="3"/>
  <c r="BA460" i="3"/>
  <c r="G465" i="3"/>
  <c r="G485" i="3"/>
  <c r="BA486" i="3"/>
  <c r="BA488" i="3"/>
  <c r="G311" i="3"/>
  <c r="G313" i="3"/>
  <c r="BL314" i="3"/>
  <c r="AZ314" i="3" s="1"/>
  <c r="BA316" i="3"/>
  <c r="AZ316" i="3" s="1"/>
  <c r="G327" i="3"/>
  <c r="BL328" i="3"/>
  <c r="AZ328" i="3" s="1"/>
  <c r="BA331" i="3"/>
  <c r="AZ331" i="3" s="1"/>
  <c r="BA333" i="3"/>
  <c r="AZ333" i="3" s="1"/>
  <c r="BL333" i="3"/>
  <c r="G339" i="3"/>
  <c r="BL340" i="3"/>
  <c r="AZ340" i="3" s="1"/>
  <c r="BL353" i="3"/>
  <c r="G358" i="3"/>
  <c r="BL359" i="3"/>
  <c r="AZ359" i="3" s="1"/>
  <c r="BA366" i="3"/>
  <c r="AZ366" i="3" s="1"/>
  <c r="BL368" i="3"/>
  <c r="BA370" i="3"/>
  <c r="AZ370" i="3" s="1"/>
  <c r="BA374" i="3"/>
  <c r="AZ374" i="3" s="1"/>
  <c r="BA384" i="3"/>
  <c r="AZ384" i="3" s="1"/>
  <c r="BA386" i="3"/>
  <c r="G397" i="3"/>
  <c r="BA208" i="3"/>
  <c r="AB23" i="71"/>
  <c r="C24" i="71"/>
  <c r="K56" i="9"/>
  <c r="AA23" i="35"/>
  <c r="S23" i="35"/>
  <c r="U17" i="33"/>
  <c r="H110" i="9"/>
  <c r="D18" i="53" s="1"/>
  <c r="B35" i="72" s="1"/>
  <c r="AB19" i="33"/>
  <c r="W27" i="33"/>
  <c r="AC10" i="34"/>
  <c r="I20" i="43"/>
  <c r="AZ351"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G454" i="3"/>
  <c r="BA455" i="3"/>
  <c r="G456" i="3"/>
  <c r="BL457" i="3"/>
  <c r="G458" i="3"/>
  <c r="BA459" i="3"/>
  <c r="AZ459" i="3" s="1"/>
  <c r="BL461" i="3"/>
  <c r="G462" i="3"/>
  <c r="BL463" i="3"/>
  <c r="G464" i="3"/>
  <c r="BA465" i="3"/>
  <c r="G466" i="3"/>
  <c r="BA467" i="3"/>
  <c r="BL467" i="3"/>
  <c r="AZ467" i="3" s="1"/>
  <c r="BL468" i="3"/>
  <c r="G469" i="3"/>
  <c r="BL470" i="3"/>
  <c r="G471" i="3"/>
  <c r="BL472" i="3"/>
  <c r="BA474" i="3"/>
  <c r="G475" i="3"/>
  <c r="BA476" i="3"/>
  <c r="G477" i="3"/>
  <c r="BA478" i="3"/>
  <c r="G479" i="3"/>
  <c r="BA480" i="3"/>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G22" i="69"/>
  <c r="M17" i="43"/>
  <c r="L17" i="43"/>
  <c r="H49" i="43"/>
  <c r="C6" i="43"/>
  <c r="H55" i="43"/>
  <c r="F38" i="43"/>
  <c r="K17" i="43"/>
  <c r="G17" i="43" s="1"/>
  <c r="C16"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BL557" i="3"/>
  <c r="BA557" i="3"/>
  <c r="G557" i="3"/>
  <c r="BL556" i="3"/>
  <c r="BA556" i="3"/>
  <c r="BA555" i="3"/>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F28" i="6" s="1"/>
  <c r="G19" i="3"/>
  <c r="G16" i="3"/>
  <c r="BL16" i="3"/>
  <c r="AZ16" i="3" s="1"/>
  <c r="P10" i="1"/>
  <c r="BN5" i="3"/>
  <c r="BA24" i="3"/>
  <c r="I4" i="6"/>
  <c r="G3" i="43" s="1"/>
  <c r="J22" i="43" s="1"/>
  <c r="H5" i="3"/>
  <c r="G13" i="3"/>
  <c r="E2" i="70"/>
  <c r="AQ13" i="1"/>
  <c r="G14" i="3"/>
  <c r="T12" i="1"/>
  <c r="BA27" i="3"/>
  <c r="BC5" i="3"/>
  <c r="BK5" i="3"/>
  <c r="BL26" i="3"/>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J53" i="15"/>
  <c r="L56" i="15" s="1"/>
  <c r="J57" i="15"/>
  <c r="J55" i="15" s="1"/>
  <c r="J58" i="15" s="1"/>
  <c r="Q50" i="15" s="1"/>
  <c r="I54" i="15"/>
  <c r="B20" i="31"/>
  <c r="B21" i="31" s="1"/>
  <c r="I1" i="73"/>
  <c r="B39" i="1" s="1"/>
  <c r="F51" i="67"/>
  <c r="F65" i="67"/>
  <c r="B12" i="70"/>
  <c r="J53" i="67"/>
  <c r="J57" i="67"/>
  <c r="J55" i="67" s="1"/>
  <c r="J58" i="67" s="1"/>
  <c r="Q50" i="67" s="1"/>
  <c r="L56" i="67"/>
  <c r="I54" i="67"/>
  <c r="F51" i="15"/>
  <c r="F71" i="15"/>
  <c r="B7" i="70"/>
  <c r="F69" i="67"/>
  <c r="F66" i="67"/>
  <c r="B11" i="70"/>
  <c r="N59" i="15"/>
  <c r="L59" i="15" s="1"/>
  <c r="L58" i="15"/>
  <c r="M59" i="15"/>
  <c r="B8" i="70"/>
  <c r="F66" i="15"/>
  <c r="Q71" i="67"/>
  <c r="F64" i="15"/>
  <c r="F70" i="67"/>
  <c r="D103" i="9"/>
  <c r="C27" i="67"/>
  <c r="F71" i="67"/>
  <c r="C27" i="15"/>
  <c r="F65" i="15"/>
  <c r="B9" i="70"/>
  <c r="G20" i="9"/>
  <c r="C103" i="9"/>
  <c r="N59" i="67"/>
  <c r="L59" i="67"/>
  <c r="L58" i="67"/>
  <c r="M59" i="67"/>
  <c r="B13" i="70"/>
  <c r="M7" i="67"/>
  <c r="J6" i="67" s="1"/>
  <c r="F50" i="67"/>
  <c r="F68" i="67"/>
  <c r="F64" i="67"/>
  <c r="F68" i="15"/>
  <c r="D6" i="73"/>
  <c r="D5" i="73"/>
  <c r="C36" i="68"/>
  <c r="D4" i="73"/>
  <c r="F7" i="15"/>
  <c r="C16" i="15"/>
  <c r="F27" i="69"/>
  <c r="D3" i="73"/>
  <c r="D7" i="73"/>
  <c r="C36" i="69"/>
  <c r="C16" i="67"/>
  <c r="F50" i="15" l="1"/>
  <c r="C49" i="15" s="1"/>
  <c r="C6" i="15"/>
  <c r="M7" i="15"/>
  <c r="J6" i="15" s="1"/>
  <c r="AB34" i="39"/>
  <c r="K1" i="73"/>
  <c r="J7" i="36"/>
  <c r="AZ550" i="3"/>
  <c r="B24" i="71"/>
  <c r="B23" i="71" s="1"/>
  <c r="S25" i="71"/>
  <c r="U29" i="21"/>
  <c r="AB29" i="21"/>
  <c r="S13" i="33"/>
  <c r="AA13" i="33"/>
  <c r="W45" i="33"/>
  <c r="AC45" i="33"/>
  <c r="AB32" i="34"/>
  <c r="U32" i="34"/>
  <c r="S11" i="35"/>
  <c r="AA11" i="35"/>
  <c r="AB13" i="39"/>
  <c r="U13" i="39"/>
  <c r="AA24" i="35"/>
  <c r="S24" i="35"/>
  <c r="W25" i="39"/>
  <c r="AC25" i="39"/>
  <c r="AZ528" i="3"/>
  <c r="U13" i="40"/>
  <c r="AB13" i="40"/>
  <c r="AC39" i="37"/>
  <c r="W39" i="37"/>
  <c r="U40" i="37"/>
  <c r="AB40" i="37"/>
  <c r="AA27" i="37"/>
  <c r="S27" i="37"/>
  <c r="W13" i="37"/>
  <c r="AC13" i="37"/>
  <c r="AB13" i="37"/>
  <c r="U13" i="37"/>
  <c r="AB30" i="34"/>
  <c r="U30" i="34"/>
  <c r="AZ95" i="3"/>
  <c r="AZ555" i="3"/>
  <c r="AZ558" i="3"/>
  <c r="C5" i="43"/>
  <c r="AZ293" i="3"/>
  <c r="AZ480" i="3"/>
  <c r="AZ478" i="3"/>
  <c r="AZ476" i="3"/>
  <c r="AZ455" i="3"/>
  <c r="AZ453" i="3"/>
  <c r="AZ403" i="3"/>
  <c r="D32" i="71"/>
  <c r="C33" i="71"/>
  <c r="AC9" i="33"/>
  <c r="W9" i="33"/>
  <c r="AB27" i="21"/>
  <c r="U27" i="21"/>
  <c r="S31" i="21"/>
  <c r="AA31" i="21"/>
  <c r="W31" i="33"/>
  <c r="AC31" i="33"/>
  <c r="AB14" i="34"/>
  <c r="U14" i="34"/>
  <c r="AA46" i="34"/>
  <c r="S46" i="34"/>
  <c r="AC40" i="37"/>
  <c r="W40" i="37"/>
  <c r="AA36" i="35"/>
  <c r="S36" i="35"/>
  <c r="U15" i="39"/>
  <c r="AB15" i="39"/>
  <c r="AB9" i="35"/>
  <c r="U9" i="35"/>
  <c r="AA13" i="40"/>
  <c r="S13" i="40"/>
  <c r="AB39" i="37"/>
  <c r="U39" i="37"/>
  <c r="AA40" i="37"/>
  <c r="S40" i="37"/>
  <c r="AC27" i="37"/>
  <c r="W27" i="37"/>
  <c r="U27" i="37"/>
  <c r="AB27" i="37"/>
  <c r="S13" i="37"/>
  <c r="AA13" i="37"/>
  <c r="AC11" i="36"/>
  <c r="W11" i="36"/>
  <c r="W12" i="35"/>
  <c r="AC12" i="35"/>
  <c r="AC46" i="34"/>
  <c r="W46" i="34"/>
  <c r="S29" i="33"/>
  <c r="AA29" i="33"/>
  <c r="W28" i="34"/>
  <c r="AC28" i="34"/>
  <c r="AZ285" i="3"/>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F30" i="6" s="1"/>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5" i="3" s="1"/>
  <c r="AY6" i="3" s="1"/>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F54" i="9"/>
  <c r="G30" i="6"/>
  <c r="G31" i="6" s="1"/>
  <c r="E10" i="6"/>
  <c r="L101" i="43"/>
  <c r="L109" i="43" s="1"/>
  <c r="G5" i="3"/>
  <c r="B3" i="3" s="1"/>
  <c r="E569" i="3" s="1"/>
  <c r="BL5" i="3"/>
  <c r="Z11" i="43"/>
  <c r="M101" i="43"/>
  <c r="M109" i="43" s="1"/>
  <c r="AE11" i="43"/>
  <c r="AE13" i="43" s="1"/>
  <c r="AH11" i="43"/>
  <c r="AH13" i="43" s="1"/>
  <c r="G101" i="43"/>
  <c r="G102" i="43" s="1"/>
  <c r="N101" i="43"/>
  <c r="N106" i="43" s="1"/>
  <c r="AA11" i="43"/>
  <c r="AA13" i="43" s="1"/>
  <c r="AI11" i="43"/>
  <c r="AI13" i="43" s="1"/>
  <c r="AD11" i="43"/>
  <c r="AD13" i="43" s="1"/>
  <c r="G22" i="43"/>
  <c r="J101" i="43"/>
  <c r="J104" i="43" s="1"/>
  <c r="E101" i="43"/>
  <c r="E107" i="43" s="1"/>
  <c r="H22" i="43"/>
  <c r="K101" i="43"/>
  <c r="K107" i="43" s="1"/>
  <c r="Y11" i="43"/>
  <c r="Y13" i="43" s="1"/>
  <c r="AC11" i="43"/>
  <c r="AC13" i="43" s="1"/>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E15" i="6"/>
  <c r="E60" i="40" s="1"/>
  <c r="E14" i="6"/>
  <c r="E64" i="39" s="1"/>
  <c r="E237" i="3"/>
  <c r="E402" i="3"/>
  <c r="D19" i="12"/>
  <c r="C19" i="12" s="1"/>
  <c r="F45" i="69"/>
  <c r="E434" i="3"/>
  <c r="E302" i="3"/>
  <c r="E567" i="3"/>
  <c r="E311" i="3"/>
  <c r="E252" i="3"/>
  <c r="E164" i="3"/>
  <c r="E525" i="3"/>
  <c r="P6" i="3"/>
  <c r="E217" i="3"/>
  <c r="E322" i="3"/>
  <c r="E336" i="3"/>
  <c r="S6" i="3"/>
  <c r="E523" i="3"/>
  <c r="E321" i="3"/>
  <c r="E169" i="3"/>
  <c r="E61" i="3"/>
  <c r="E253" i="3"/>
  <c r="E199" i="3"/>
  <c r="E493" i="3"/>
  <c r="T6" i="3"/>
  <c r="E405" i="3"/>
  <c r="E456" i="3"/>
  <c r="E512" i="3"/>
  <c r="E422" i="3"/>
  <c r="E408" i="3"/>
  <c r="E477" i="3"/>
  <c r="E367" i="3"/>
  <c r="E505" i="3"/>
  <c r="E581" i="3"/>
  <c r="E403" i="3"/>
  <c r="E444" i="3"/>
  <c r="E417" i="3"/>
  <c r="E404" i="3"/>
  <c r="E447" i="3"/>
  <c r="E71" i="3"/>
  <c r="E56" i="3"/>
  <c r="E27" i="3"/>
  <c r="E70" i="3"/>
  <c r="E95" i="3"/>
  <c r="E121" i="3"/>
  <c r="E182" i="3"/>
  <c r="E126" i="3"/>
  <c r="E132" i="3"/>
  <c r="E192" i="3"/>
  <c r="E211" i="3"/>
  <c r="E258" i="3"/>
  <c r="E210" i="3"/>
  <c r="E273" i="3"/>
  <c r="E291" i="3"/>
  <c r="E331" i="3"/>
  <c r="E363" i="3"/>
  <c r="E377" i="3"/>
  <c r="E334" i="3"/>
  <c r="E384" i="3"/>
  <c r="E416" i="3"/>
  <c r="E465" i="3"/>
  <c r="E360" i="3"/>
  <c r="E344" i="3"/>
  <c r="E556" i="3"/>
  <c r="E587" i="3"/>
  <c r="AH6" i="3"/>
  <c r="AE6" i="3"/>
  <c r="J6" i="3"/>
  <c r="E13" i="3"/>
  <c r="E498" i="3"/>
  <c r="E494" i="3"/>
  <c r="E429" i="3"/>
  <c r="E452" i="3"/>
  <c r="E468" i="3"/>
  <c r="E483" i="3"/>
  <c r="E496" i="3"/>
  <c r="E401" i="3"/>
  <c r="E420" i="3"/>
  <c r="E463" i="3"/>
  <c r="E26" i="3"/>
  <c r="E55" i="3"/>
  <c r="E104" i="3"/>
  <c r="E106" i="3"/>
  <c r="E25" i="3"/>
  <c r="E73" i="3"/>
  <c r="E108" i="3"/>
  <c r="E115" i="3"/>
  <c r="E178" i="3"/>
  <c r="E198" i="3"/>
  <c r="E203" i="3"/>
  <c r="E139" i="3"/>
  <c r="E171" i="3"/>
  <c r="E202" i="3"/>
  <c r="E256" i="3"/>
  <c r="E242" i="3"/>
  <c r="E226" i="3"/>
  <c r="E276" i="3"/>
  <c r="E346" i="3"/>
  <c r="E391" i="3"/>
  <c r="E372" i="3"/>
  <c r="E14" i="3"/>
  <c r="AL6" i="3"/>
  <c r="E31" i="3"/>
  <c r="E42" i="3"/>
  <c r="E60" i="3"/>
  <c r="E94" i="3"/>
  <c r="E43" i="3"/>
  <c r="E75" i="3"/>
  <c r="E428" i="3"/>
  <c r="E473" i="3"/>
  <c r="E482" i="3"/>
  <c r="E455" i="3"/>
  <c r="E18" i="3"/>
  <c r="E96" i="3"/>
  <c r="E78" i="3"/>
  <c r="E129" i="3"/>
  <c r="E170" i="3"/>
  <c r="E174" i="3"/>
  <c r="E194" i="3"/>
  <c r="E220" i="3"/>
  <c r="E275" i="3"/>
  <c r="E219" i="3"/>
  <c r="E235" i="3"/>
  <c r="E324" i="3"/>
  <c r="E339" i="3"/>
  <c r="E383" i="3"/>
  <c r="E342" i="3"/>
  <c r="E392" i="3"/>
  <c r="E522" i="3"/>
  <c r="E35" i="3"/>
  <c r="E52" i="3"/>
  <c r="E86" i="3"/>
  <c r="E34" i="3"/>
  <c r="E112" i="3"/>
  <c r="E49" i="3"/>
  <c r="E206" i="3"/>
  <c r="E147" i="3"/>
  <c r="E232" i="3"/>
  <c r="E251" i="3"/>
  <c r="E340" i="3"/>
  <c r="E370" i="3"/>
  <c r="AF6" i="3"/>
  <c r="E50" i="3"/>
  <c r="E102" i="3"/>
  <c r="E80" i="3"/>
  <c r="E62" i="3"/>
  <c r="E113" i="3"/>
  <c r="E158" i="3"/>
  <c r="E218" i="3"/>
  <c r="E287" i="3"/>
  <c r="E308" i="3"/>
  <c r="E365" i="3"/>
  <c r="E326" i="3"/>
  <c r="E22" i="3"/>
  <c r="E101" i="3"/>
  <c r="E83" i="3"/>
  <c r="E214" i="3"/>
  <c r="E257" i="3"/>
  <c r="E274" i="3"/>
  <c r="E315" i="3"/>
  <c r="E357" i="3"/>
  <c r="E394" i="3"/>
  <c r="E362" i="3"/>
  <c r="E389" i="3"/>
  <c r="E572" i="3"/>
  <c r="AM6" i="3"/>
  <c r="E544" i="3"/>
  <c r="E30" i="3"/>
  <c r="E44" i="3"/>
  <c r="E76" i="3"/>
  <c r="E109"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 i="6"/>
  <c r="E62" i="39" s="1"/>
  <c r="C29" i="69"/>
  <c r="D27" i="69" s="1"/>
  <c r="Z13" i="43"/>
  <c r="E13" i="6"/>
  <c r="E58" i="40" s="1"/>
  <c r="E11" i="6"/>
  <c r="BA5" i="3"/>
  <c r="E29" i="6"/>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J105" i="43"/>
  <c r="H14" i="74"/>
  <c r="B7" i="74" s="1"/>
  <c r="D10" i="52"/>
  <c r="D125" i="9"/>
  <c r="D11" i="52" s="1"/>
  <c r="B20" i="71"/>
  <c r="B19" i="71" s="1"/>
  <c r="B18" i="71" s="1"/>
  <c r="B17" i="71" s="1"/>
  <c r="S21" i="71"/>
  <c r="B63" i="71"/>
  <c r="N64" i="71"/>
  <c r="U39" i="40"/>
  <c r="AB39" i="40"/>
  <c r="AB38" i="40"/>
  <c r="U38" i="40"/>
  <c r="W36" i="35"/>
  <c r="AC36" i="35"/>
  <c r="S34" i="35"/>
  <c r="AA34" i="35"/>
  <c r="H109" i="43"/>
  <c r="M102" i="43"/>
  <c r="N107" i="43"/>
  <c r="F59" i="67"/>
  <c r="H7" i="37"/>
  <c r="AB7" i="37" s="1"/>
  <c r="T42" i="37" s="1"/>
  <c r="G42" i="37" s="1"/>
  <c r="H7" i="33"/>
  <c r="J7" i="33"/>
  <c r="D65" i="40"/>
  <c r="E63" i="40"/>
  <c r="F48" i="35"/>
  <c r="U7" i="36"/>
  <c r="U7" i="34"/>
  <c r="F7" i="33"/>
  <c r="E58" i="21"/>
  <c r="AC7" i="36"/>
  <c r="V36" i="36" s="1"/>
  <c r="I36" i="36" s="1"/>
  <c r="W7" i="36"/>
  <c r="F7" i="37"/>
  <c r="W7" i="34"/>
  <c r="M17" i="67"/>
  <c r="M17" i="15"/>
  <c r="F59" i="15"/>
  <c r="P24" i="43"/>
  <c r="B66" i="40" s="1"/>
  <c r="P21" i="43"/>
  <c r="C49" i="67"/>
  <c r="P25" i="43"/>
  <c r="P23" i="43"/>
  <c r="B71" i="39" s="1"/>
  <c r="C32" i="9"/>
  <c r="Q60" i="67"/>
  <c r="Q73" i="67"/>
  <c r="M28" i="43"/>
  <c r="N28" i="43"/>
  <c r="O28" i="43"/>
  <c r="G20" i="43" s="1"/>
  <c r="P28" i="43"/>
  <c r="M11" i="67"/>
  <c r="J10" i="67" s="1"/>
  <c r="J5" i="67" s="1"/>
  <c r="F11" i="15"/>
  <c r="M11" i="15"/>
  <c r="F11" i="67"/>
  <c r="F1" i="15"/>
  <c r="Q52" i="15"/>
  <c r="F1" i="67"/>
  <c r="Q52" i="67"/>
  <c r="Q60" i="15"/>
  <c r="Q73" i="15"/>
  <c r="Q61" i="67"/>
  <c r="Q74" i="67"/>
  <c r="Q74" i="15"/>
  <c r="Q61" i="15"/>
  <c r="AE6" i="1"/>
  <c r="G1" i="73"/>
  <c r="D9" i="68"/>
  <c r="D9" i="69"/>
  <c r="J10" i="15" l="1"/>
  <c r="J5" i="15" s="1"/>
  <c r="J24" i="15" s="1"/>
  <c r="J18" i="15"/>
  <c r="E190" i="3"/>
  <c r="E38" i="3"/>
  <c r="E412" i="3"/>
  <c r="E488" i="3"/>
  <c r="E93" i="3"/>
  <c r="L6" i="3"/>
  <c r="E333" i="3"/>
  <c r="E243" i="3"/>
  <c r="E225" i="3"/>
  <c r="E119" i="3"/>
  <c r="E146" i="3"/>
  <c r="E41" i="3"/>
  <c r="E40" i="3"/>
  <c r="E454" i="3"/>
  <c r="E470" i="3"/>
  <c r="E419" i="3"/>
  <c r="E577" i="3"/>
  <c r="E497" i="3"/>
  <c r="E376" i="3"/>
  <c r="E451" i="3"/>
  <c r="E349" i="3"/>
  <c r="E292" i="3"/>
  <c r="E295" i="3"/>
  <c r="E186" i="3"/>
  <c r="E162" i="3"/>
  <c r="E37" i="3"/>
  <c r="E28" i="3"/>
  <c r="E476" i="3"/>
  <c r="E547" i="3"/>
  <c r="E443" i="3"/>
  <c r="E486" i="3"/>
  <c r="E534" i="3"/>
  <c r="E77" i="3"/>
  <c r="E418" i="3"/>
  <c r="X6" i="3"/>
  <c r="E464" i="3"/>
  <c r="AB6" i="3"/>
  <c r="E574" i="3"/>
  <c r="E379" i="3"/>
  <c r="E490" i="3"/>
  <c r="E430" i="3"/>
  <c r="E317" i="3"/>
  <c r="E316" i="3"/>
  <c r="E241" i="3"/>
  <c r="E272" i="3"/>
  <c r="E166" i="3"/>
  <c r="E152" i="3"/>
  <c r="E92" i="3"/>
  <c r="E88" i="3"/>
  <c r="E479" i="3"/>
  <c r="E546" i="3"/>
  <c r="AS6" i="3"/>
  <c r="E558" i="3"/>
  <c r="E400" i="3"/>
  <c r="E469" i="3"/>
  <c r="E543" i="3"/>
  <c r="E519" i="3"/>
  <c r="E290" i="3"/>
  <c r="E338" i="3"/>
  <c r="E246" i="3"/>
  <c r="E268" i="3"/>
  <c r="E421" i="3"/>
  <c r="E335" i="3"/>
  <c r="E153" i="3"/>
  <c r="E136" i="3"/>
  <c r="E85" i="3"/>
  <c r="K109" i="43"/>
  <c r="L104" i="43"/>
  <c r="E390" i="3"/>
  <c r="AJ6" i="3"/>
  <c r="E414" i="3"/>
  <c r="E552" i="3"/>
  <c r="E189" i="3"/>
  <c r="E227" i="3"/>
  <c r="E304" i="3"/>
  <c r="E16" i="3"/>
  <c r="E172" i="3"/>
  <c r="E312" i="3"/>
  <c r="E116" i="3"/>
  <c r="E269" i="3"/>
  <c r="E314" i="3"/>
  <c r="E213" i="3"/>
  <c r="E328" i="3"/>
  <c r="E570" i="3"/>
  <c r="E91" i="3"/>
  <c r="E542" i="3"/>
  <c r="E487" i="3"/>
  <c r="E526" i="3"/>
  <c r="E583" i="3"/>
  <c r="E293" i="3"/>
  <c r="E506" i="3"/>
  <c r="E298" i="3"/>
  <c r="E117" i="3"/>
  <c r="E313" i="3"/>
  <c r="E564" i="3"/>
  <c r="E427" i="3"/>
  <c r="E507" i="3"/>
  <c r="E440" i="3"/>
  <c r="E345" i="3"/>
  <c r="E557" i="3"/>
  <c r="E531" i="3"/>
  <c r="E489" i="3"/>
  <c r="E436" i="3"/>
  <c r="E39" i="3"/>
  <c r="E90" i="3"/>
  <c r="E57" i="3"/>
  <c r="E131" i="3"/>
  <c r="E187" i="3"/>
  <c r="E155" i="3"/>
  <c r="E240" i="3"/>
  <c r="E297" i="3"/>
  <c r="E259" i="3"/>
  <c r="E348" i="3"/>
  <c r="E378" i="3"/>
  <c r="E375" i="3"/>
  <c r="E449" i="3"/>
  <c r="E288" i="3"/>
  <c r="E562" i="3"/>
  <c r="W6" i="3"/>
  <c r="E571" i="3"/>
  <c r="E537" i="3"/>
  <c r="E450" i="3"/>
  <c r="E471" i="3"/>
  <c r="E433" i="3"/>
  <c r="E475" i="3"/>
  <c r="E72" i="3"/>
  <c r="E54" i="3"/>
  <c r="E111" i="3"/>
  <c r="E168" i="3"/>
  <c r="E150" i="3"/>
  <c r="E208" i="3"/>
  <c r="E281" i="3"/>
  <c r="E332" i="3"/>
  <c r="E356" i="3"/>
  <c r="E580" i="3"/>
  <c r="E74" i="3"/>
  <c r="E32" i="3"/>
  <c r="E409" i="3"/>
  <c r="E15" i="3"/>
  <c r="E79" i="3"/>
  <c r="E100" i="3"/>
  <c r="E137" i="3"/>
  <c r="E234" i="3"/>
  <c r="E299" i="3"/>
  <c r="E325" i="3"/>
  <c r="AQ6" i="3"/>
  <c r="E36" i="3"/>
  <c r="E123" i="3"/>
  <c r="E289" i="3"/>
  <c r="E364" i="3"/>
  <c r="E20" i="3"/>
  <c r="E176" i="3"/>
  <c r="E265" i="3"/>
  <c r="E524" i="3"/>
  <c r="E279" i="3"/>
  <c r="E351" i="3"/>
  <c r="E318" i="3"/>
  <c r="E504" i="3"/>
  <c r="E58" i="3"/>
  <c r="E110" i="3"/>
  <c r="E540" i="3"/>
  <c r="E521" i="3"/>
  <c r="E319" i="3"/>
  <c r="E285" i="3"/>
  <c r="E385" i="3"/>
  <c r="N104" i="43"/>
  <c r="H106" i="43"/>
  <c r="I107" i="43"/>
  <c r="C32" i="67"/>
  <c r="G103" i="43"/>
  <c r="E65" i="39"/>
  <c r="C109" i="43"/>
  <c r="E423" i="3"/>
  <c r="E120" i="3"/>
  <c r="E296" i="3"/>
  <c r="E191" i="3"/>
  <c r="E260" i="3"/>
  <c r="E579" i="3"/>
  <c r="F27" i="11"/>
  <c r="C29" i="11" s="1"/>
  <c r="D27" i="11" s="1"/>
  <c r="E105" i="43"/>
  <c r="C105" i="43"/>
  <c r="AC7" i="37"/>
  <c r="V42" i="37" s="1"/>
  <c r="I42" i="37" s="1"/>
  <c r="S7" i="36"/>
  <c r="D33" i="71"/>
  <c r="T33" i="71"/>
  <c r="K102" i="43"/>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K16" i="1" s="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C47" i="68"/>
  <c r="D45" i="68" s="1"/>
  <c r="E16" i="6"/>
  <c r="F45" i="68"/>
  <c r="E3" i="6"/>
  <c r="D3" i="33" s="1"/>
  <c r="E63" i="39"/>
  <c r="E57" i="40"/>
  <c r="E61" i="39"/>
  <c r="E56" i="40"/>
  <c r="J10" i="39"/>
  <c r="AC10" i="39" s="1"/>
  <c r="S3" i="43"/>
  <c r="S6" i="43"/>
  <c r="S2" i="43"/>
  <c r="C23" i="43"/>
  <c r="S7" i="43"/>
  <c r="S5" i="43"/>
  <c r="S4" i="43"/>
  <c r="W10" i="39"/>
  <c r="H10" i="39"/>
  <c r="AB10" i="39" s="1"/>
  <c r="H10" i="40"/>
  <c r="F10" i="40"/>
  <c r="J10" i="40"/>
  <c r="W10" i="40" s="1"/>
  <c r="F68" i="39"/>
  <c r="E70" i="39"/>
  <c r="U7" i="37"/>
  <c r="C19" i="71"/>
  <c r="D20" i="71"/>
  <c r="C115" i="43"/>
  <c r="N62" i="71"/>
  <c r="N63" i="71"/>
  <c r="B16" i="71"/>
  <c r="B15" i="71" s="1"/>
  <c r="B14" i="71" s="1"/>
  <c r="B13" i="71" s="1"/>
  <c r="S17" i="71"/>
  <c r="M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4" i="15"/>
  <c r="C24" i="15" s="1"/>
  <c r="C35" i="9"/>
  <c r="F41" i="15"/>
  <c r="F69" i="15" l="1"/>
  <c r="J26" i="15"/>
  <c r="J29" i="15" s="1"/>
  <c r="C47" i="11"/>
  <c r="D45" i="11" s="1"/>
  <c r="C21" i="43"/>
  <c r="K19" i="6"/>
  <c r="M19" i="6" s="1"/>
  <c r="L17" i="1" s="1"/>
  <c r="K22" i="6"/>
  <c r="M22" i="6" s="1"/>
  <c r="I22" i="6" s="1"/>
  <c r="K20" i="6"/>
  <c r="AC6" i="3"/>
  <c r="H6" i="3"/>
  <c r="E6" i="3" s="1"/>
  <c r="E12" i="71"/>
  <c r="E11" i="71" s="1"/>
  <c r="E10" i="71" s="1"/>
  <c r="E9" i="71" s="1"/>
  <c r="V13" i="71"/>
  <c r="E70" i="43"/>
  <c r="B68" i="43" s="1"/>
  <c r="C24" i="43" s="1"/>
  <c r="T7" i="43" s="1"/>
  <c r="V7" i="43" s="1"/>
  <c r="L18" i="9"/>
  <c r="F3" i="6"/>
  <c r="H38" i="39"/>
  <c r="J38" i="39"/>
  <c r="F38" i="39"/>
  <c r="D3" i="34"/>
  <c r="M20" i="6"/>
  <c r="I20" i="6" s="1"/>
  <c r="S20" i="6" s="1"/>
  <c r="S7" i="1"/>
  <c r="M21" i="6"/>
  <c r="I21" i="6" s="1"/>
  <c r="S21" i="6" s="1"/>
  <c r="S8"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4" i="9"/>
  <c r="C38" i="15"/>
  <c r="C66" i="67"/>
  <c r="C60" i="67"/>
  <c r="C17" i="67"/>
  <c r="C17" i="15"/>
  <c r="C14" i="67"/>
  <c r="C15" i="67" l="1"/>
  <c r="C18" i="67"/>
  <c r="S6" i="1"/>
  <c r="T6" i="1" s="1"/>
  <c r="S22" i="6"/>
  <c r="H22" i="6"/>
  <c r="R22" i="6" s="1"/>
  <c r="R9" i="1" s="1"/>
  <c r="S9" i="1"/>
  <c r="T9" i="1" s="1"/>
  <c r="C36" i="43"/>
  <c r="T9" i="43"/>
  <c r="V9" i="43" s="1"/>
  <c r="T10" i="43"/>
  <c r="V10" i="43" s="1"/>
  <c r="T6" i="43"/>
  <c r="V6" i="43" s="1"/>
  <c r="T15" i="43"/>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3" i="43"/>
  <c r="T3" i="43"/>
  <c r="V3" i="43" s="1"/>
  <c r="C39" i="43"/>
  <c r="C35" i="43"/>
  <c r="E8" i="71"/>
  <c r="E7" i="71" s="1"/>
  <c r="E6" i="71" s="1"/>
  <c r="E5" i="71" s="1"/>
  <c r="V9" i="71"/>
  <c r="T2" i="43"/>
  <c r="V2" i="43" s="1"/>
  <c r="T4" i="43"/>
  <c r="V4" i="43" s="1"/>
  <c r="E38" i="43"/>
  <c r="E36" i="43"/>
  <c r="G36" i="43"/>
  <c r="I36" i="43" s="1"/>
  <c r="B2" i="34"/>
  <c r="B3" i="34" s="1"/>
  <c r="I19" i="6"/>
  <c r="S19" i="6" s="1"/>
  <c r="H20" i="6"/>
  <c r="R20" i="6" s="1"/>
  <c r="R7" i="1" s="1"/>
  <c r="K27" i="6"/>
  <c r="W38" i="39"/>
  <c r="AC38" i="39"/>
  <c r="AA38" i="39"/>
  <c r="S38" i="39"/>
  <c r="AB38" i="39"/>
  <c r="U38" i="39"/>
  <c r="H21" i="6"/>
  <c r="R21" i="6" s="1"/>
  <c r="R8" i="1" s="1"/>
  <c r="M23" i="6"/>
  <c r="I23" i="6" s="1"/>
  <c r="S23" i="6" s="1"/>
  <c r="S10" i="1"/>
  <c r="AR8" i="1"/>
  <c r="AQ8" i="1"/>
  <c r="T8" i="1"/>
  <c r="AR7" i="1"/>
  <c r="T7" i="1"/>
  <c r="AQ7" i="1"/>
  <c r="C7" i="74"/>
  <c r="H24" i="6"/>
  <c r="R24" i="6" s="1"/>
  <c r="D10" i="11"/>
  <c r="C10" i="11" s="1"/>
  <c r="H26" i="6"/>
  <c r="R26" i="6" s="1"/>
  <c r="D6" i="6"/>
  <c r="C24" i="11"/>
  <c r="C14" i="12"/>
  <c r="D30" i="6"/>
  <c r="D16" i="6"/>
  <c r="C25" i="11"/>
  <c r="G70" i="39"/>
  <c r="H68" i="39"/>
  <c r="C17" i="71"/>
  <c r="D18" i="71"/>
  <c r="B8" i="71"/>
  <c r="B7" i="71" s="1"/>
  <c r="B6" i="71" s="1"/>
  <c r="B5" i="71" s="1"/>
  <c r="S9" i="71"/>
  <c r="P14" i="1"/>
  <c r="P16" i="1" s="1"/>
  <c r="C11" i="12" s="1"/>
  <c r="D8" i="74"/>
  <c r="D7" i="74"/>
  <c r="C21" i="9"/>
  <c r="D21" i="9"/>
  <c r="G21" i="9"/>
  <c r="C34" i="11"/>
  <c r="N16" i="1"/>
  <c r="L16" i="1"/>
  <c r="A7" i="51"/>
  <c r="B7" i="72" s="1"/>
  <c r="C4" i="52"/>
  <c r="B45" i="72" s="1"/>
  <c r="A10" i="51"/>
  <c r="B9" i="72" s="1"/>
  <c r="D27" i="6"/>
  <c r="R25" i="6"/>
  <c r="G65" i="40"/>
  <c r="H63" i="40"/>
  <c r="C43" i="37"/>
  <c r="B2" i="37" s="1"/>
  <c r="B3" i="37" s="1"/>
  <c r="C42" i="37"/>
  <c r="I48" i="35"/>
  <c r="C48" i="33"/>
  <c r="C49" i="33"/>
  <c r="B2" i="33" s="1"/>
  <c r="B3" i="33" s="1"/>
  <c r="H58" i="21"/>
  <c r="E47" i="37"/>
  <c r="F47" i="37" s="1"/>
  <c r="E46" i="37"/>
  <c r="F46" i="37" s="1"/>
  <c r="I47" i="37"/>
  <c r="J47" i="37" s="1"/>
  <c r="E53" i="33"/>
  <c r="F53" i="33" s="1"/>
  <c r="E52" i="33"/>
  <c r="F52" i="33" s="1"/>
  <c r="C34" i="69"/>
  <c r="C14" i="15"/>
  <c r="D10" i="69"/>
  <c r="F35" i="67"/>
  <c r="C34" i="68"/>
  <c r="M21" i="67"/>
  <c r="C6" i="68" l="1"/>
  <c r="C6" i="69"/>
  <c r="C7" i="69" s="1"/>
  <c r="S16" i="1"/>
  <c r="AR6" i="1"/>
  <c r="AQ6" i="1"/>
  <c r="C30" i="43"/>
  <c r="E30" i="43" s="1"/>
  <c r="E11" i="89"/>
  <c r="C19" i="67"/>
  <c r="C20" i="67" s="1"/>
  <c r="C26" i="67" s="1"/>
  <c r="C18" i="15"/>
  <c r="C15" i="15"/>
  <c r="J20" i="67"/>
  <c r="F63" i="67"/>
  <c r="C62" i="67" s="1"/>
  <c r="C34" i="67"/>
  <c r="C35" i="69"/>
  <c r="C38" i="69"/>
  <c r="AR9" i="1"/>
  <c r="H19" i="6"/>
  <c r="R19" i="6" s="1"/>
  <c r="AQ9" i="1"/>
  <c r="L31" i="43"/>
  <c r="E37" i="43"/>
  <c r="C37" i="68"/>
  <c r="G34" i="43"/>
  <c r="I34" i="43" s="1"/>
  <c r="E29" i="43"/>
  <c r="E35" i="43"/>
  <c r="G35" i="43"/>
  <c r="I35" i="43" s="1"/>
  <c r="G39" i="43"/>
  <c r="I39" i="43" s="1"/>
  <c r="E39" i="43"/>
  <c r="C26" i="43" s="1"/>
  <c r="E33" i="43"/>
  <c r="G33" i="43"/>
  <c r="I33" i="43" s="1"/>
  <c r="I27" i="6"/>
  <c r="S27" i="6"/>
  <c r="H23" i="6"/>
  <c r="R23" i="6" s="1"/>
  <c r="R10" i="1" s="1"/>
  <c r="C22" i="11"/>
  <c r="C31" i="11" s="1"/>
  <c r="D19" i="68"/>
  <c r="C10" i="68"/>
  <c r="C8" i="68" s="1"/>
  <c r="D19" i="69"/>
  <c r="D37" i="69" s="1"/>
  <c r="C37" i="69" s="1"/>
  <c r="M27" i="6"/>
  <c r="AQ10" i="1"/>
  <c r="T10" i="1"/>
  <c r="T16" i="1" s="1"/>
  <c r="AR10" i="1"/>
  <c r="C10" i="69"/>
  <c r="C8" i="69" s="1"/>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C5" i="69" l="1"/>
  <c r="C23" i="69" s="1"/>
  <c r="D37" i="68"/>
  <c r="D13" i="85"/>
  <c r="C13" i="85" s="1"/>
  <c r="C11" i="85" s="1"/>
  <c r="C10" i="85" s="1"/>
  <c r="C19" i="15"/>
  <c r="C20" i="15" s="1"/>
  <c r="C26" i="15" s="1"/>
  <c r="C23" i="67"/>
  <c r="C29" i="67" s="1"/>
  <c r="J14" i="67" s="1"/>
  <c r="C33" i="69"/>
  <c r="C39" i="69" s="1"/>
  <c r="C43" i="69" s="1"/>
  <c r="J7" i="21"/>
  <c r="AC7" i="21" s="1"/>
  <c r="V48" i="21" s="1"/>
  <c r="I48" i="21" s="1"/>
  <c r="C27" i="43"/>
  <c r="B2" i="43"/>
  <c r="H27" i="6"/>
  <c r="C19" i="68"/>
  <c r="R27" i="6"/>
  <c r="R6" i="1"/>
  <c r="I6" i="6"/>
  <c r="C11" i="39" s="1"/>
  <c r="C33" i="11"/>
  <c r="C39" i="11" s="1"/>
  <c r="J68" i="39"/>
  <c r="I70" i="39"/>
  <c r="C16" i="12"/>
  <c r="C21" i="12" s="1"/>
  <c r="C22" i="12" s="1"/>
  <c r="C30" i="12" s="1"/>
  <c r="C28" i="12" s="1"/>
  <c r="C33" i="68"/>
  <c r="C15" i="71"/>
  <c r="D16" i="71"/>
  <c r="U7" i="21"/>
  <c r="AB7" i="21"/>
  <c r="T48" i="21" s="1"/>
  <c r="G48" i="21" s="1"/>
  <c r="S7" i="21"/>
  <c r="AA7" i="21"/>
  <c r="R48" i="21" s="1"/>
  <c r="J63" i="40"/>
  <c r="I65" i="40"/>
  <c r="K48" i="35"/>
  <c r="L48" i="35" s="1"/>
  <c r="M48" i="35" s="1"/>
  <c r="N48" i="35" s="1"/>
  <c r="O48" i="35" s="1"/>
  <c r="H7" i="35" s="1"/>
  <c r="B6" i="76"/>
  <c r="M21" i="15"/>
  <c r="F35" i="15"/>
  <c r="E6" i="76"/>
  <c r="C20" i="69" l="1"/>
  <c r="C34" i="15"/>
  <c r="F63" i="15"/>
  <c r="C62" i="15" s="1"/>
  <c r="J20" i="15"/>
  <c r="R16" i="1"/>
  <c r="J19" i="67"/>
  <c r="J17" i="67" s="1"/>
  <c r="C42" i="69"/>
  <c r="C41" i="69" s="1"/>
  <c r="Q49" i="67"/>
  <c r="C33" i="67"/>
  <c r="C31" i="67" s="1"/>
  <c r="J59" i="67"/>
  <c r="J60" i="67" s="1"/>
  <c r="Q48" i="67" s="1"/>
  <c r="C57" i="67"/>
  <c r="C64" i="67" s="1"/>
  <c r="C13" i="67"/>
  <c r="C75" i="67" s="1"/>
  <c r="C36" i="67"/>
  <c r="C23" i="15"/>
  <c r="C29" i="15" s="1"/>
  <c r="C33" i="15" s="1"/>
  <c r="C31" i="15" s="1"/>
  <c r="C61" i="67"/>
  <c r="C59" i="67" s="1"/>
  <c r="J13" i="67"/>
  <c r="J23" i="67" s="1"/>
  <c r="J22" i="67"/>
  <c r="W7" i="21"/>
  <c r="E2" i="76"/>
  <c r="E33" i="68"/>
  <c r="C39" i="68"/>
  <c r="B2" i="76"/>
  <c r="B3" i="43"/>
  <c r="C24" i="68"/>
  <c r="G11" i="39"/>
  <c r="H11" i="39" s="1"/>
  <c r="I11" i="39"/>
  <c r="J11" i="39" s="1"/>
  <c r="E11" i="39"/>
  <c r="F11" i="39" s="1"/>
  <c r="C42" i="11"/>
  <c r="J7" i="35"/>
  <c r="AC7" i="35" s="1"/>
  <c r="V38" i="35" s="1"/>
  <c r="I38" i="35" s="1"/>
  <c r="J70" i="39"/>
  <c r="K68" i="3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C56" i="67" l="1"/>
  <c r="C65" i="67" s="1"/>
  <c r="C58" i="67" s="1"/>
  <c r="C67" i="67" s="1"/>
  <c r="C68" i="67" s="1"/>
  <c r="C71" i="67" s="1"/>
  <c r="Q70" i="67"/>
  <c r="C37" i="67"/>
  <c r="C30" i="67" s="1"/>
  <c r="C39" i="67" s="1"/>
  <c r="Q69" i="67" s="1"/>
  <c r="L46" i="67"/>
  <c r="J19" i="15"/>
  <c r="J17" i="15" s="1"/>
  <c r="C36" i="15"/>
  <c r="Q49" i="15"/>
  <c r="C13" i="15"/>
  <c r="C75" i="15" s="1"/>
  <c r="J14" i="15"/>
  <c r="J13" i="15" s="1"/>
  <c r="J23" i="15" s="1"/>
  <c r="J59" i="15"/>
  <c r="J60" i="15" s="1"/>
  <c r="L46" i="15" s="1"/>
  <c r="C57" i="15"/>
  <c r="C61" i="15" s="1"/>
  <c r="C59" i="15" s="1"/>
  <c r="J16" i="67"/>
  <c r="J25" i="67" s="1"/>
  <c r="B3" i="76"/>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8" i="67" l="1"/>
  <c r="C80" i="67"/>
  <c r="C79" i="67" s="1"/>
  <c r="C40" i="67"/>
  <c r="C45" i="67" s="1"/>
  <c r="C46" i="67" s="1"/>
  <c r="J22" i="15"/>
  <c r="J16" i="15" s="1"/>
  <c r="J25" i="15" s="1"/>
  <c r="C64" i="15"/>
  <c r="Q70" i="15"/>
  <c r="C56" i="15"/>
  <c r="C65" i="15" s="1"/>
  <c r="C37" i="15"/>
  <c r="C30" i="15" s="1"/>
  <c r="C39" i="15" s="1"/>
  <c r="C40" i="15" s="1"/>
  <c r="Q48" i="15"/>
  <c r="L70" i="39"/>
  <c r="M68" i="39"/>
  <c r="C52" i="69"/>
  <c r="B2" i="69" s="1"/>
  <c r="C49" i="68"/>
  <c r="C51" i="68" s="1"/>
  <c r="C12" i="71"/>
  <c r="T13" i="71"/>
  <c r="D13" i="71"/>
  <c r="U13" i="71" s="1"/>
  <c r="C56" i="11"/>
  <c r="C57" i="11" s="1"/>
  <c r="R39" i="35"/>
  <c r="E38" i="35"/>
  <c r="M63" i="40"/>
  <c r="L65" i="40"/>
  <c r="L51" i="67"/>
  <c r="B3" i="69"/>
  <c r="Q67" i="67" l="1"/>
  <c r="L57" i="67"/>
  <c r="L60" i="67" s="1"/>
  <c r="Q57" i="67" s="1"/>
  <c r="C83" i="67"/>
  <c r="C82" i="67" s="1"/>
  <c r="Q65" i="67"/>
  <c r="Q56" i="67"/>
  <c r="Q47" i="67"/>
  <c r="Q53" i="67" s="1"/>
  <c r="C43" i="67"/>
  <c r="D2" i="67"/>
  <c r="B3" i="67" s="1"/>
  <c r="C58" i="15"/>
  <c r="C67" i="15" s="1"/>
  <c r="C68" i="15" s="1"/>
  <c r="C71" i="15" s="1"/>
  <c r="Q69" i="15"/>
  <c r="Q68" i="15" s="1"/>
  <c r="C80" i="15"/>
  <c r="C79" i="15" s="1"/>
  <c r="Q65" i="15"/>
  <c r="C43" i="15"/>
  <c r="B2" i="15"/>
  <c r="Q47" i="15"/>
  <c r="Q53" i="15" s="1"/>
  <c r="Q56" i="15"/>
  <c r="C83" i="15"/>
  <c r="C82" i="15" s="1"/>
  <c r="D51" i="68"/>
  <c r="E51" i="68"/>
  <c r="M70" i="39"/>
  <c r="N68" i="39"/>
  <c r="C57" i="69"/>
  <c r="C56" i="69" s="1"/>
  <c r="D12" i="71"/>
  <c r="C11" i="71"/>
  <c r="C39" i="35"/>
  <c r="B2" i="35" s="1"/>
  <c r="B3" i="35" s="1"/>
  <c r="C38" i="35"/>
  <c r="N63" i="40"/>
  <c r="M65" i="40"/>
  <c r="E43" i="35"/>
  <c r="F43" i="35" s="1"/>
  <c r="E42" i="35"/>
  <c r="F42" i="35" s="1"/>
  <c r="I43" i="35"/>
  <c r="J43" i="35" s="1"/>
  <c r="L51" i="15"/>
  <c r="AO6" i="1"/>
  <c r="B6" i="70" l="1"/>
  <c r="B2" i="70" s="1"/>
  <c r="B3" i="70" s="1"/>
  <c r="B3" i="15"/>
  <c r="D30" i="89" s="1"/>
  <c r="Q66" i="67"/>
  <c r="Q75" i="67" s="1"/>
  <c r="Q62" i="67"/>
  <c r="L57" i="15"/>
  <c r="L60" i="15" s="1"/>
  <c r="Q57" i="15" s="1"/>
  <c r="Q62" i="15" s="1"/>
  <c r="Q67" i="15"/>
  <c r="B2" i="67"/>
  <c r="C46" i="15"/>
  <c r="N70" i="39"/>
  <c r="O68" i="39"/>
  <c r="O70" i="39" s="1"/>
  <c r="D11" i="71"/>
  <c r="C10" i="71"/>
  <c r="O63" i="40"/>
  <c r="O65" i="40" s="1"/>
  <c r="N65" i="40"/>
  <c r="Q66" i="15" l="1"/>
  <c r="Q75" i="15" s="1"/>
  <c r="AC7" i="39"/>
  <c r="V47" i="39" s="1"/>
  <c r="I47" i="39" s="1"/>
  <c r="W7" i="39"/>
  <c r="AB7" i="39"/>
  <c r="T47" i="39" s="1"/>
  <c r="G47" i="39" s="1"/>
  <c r="U7" i="39"/>
  <c r="AA7" i="39"/>
  <c r="R47" i="39" s="1"/>
  <c r="S7" i="39"/>
  <c r="D10" i="71"/>
  <c r="C9" i="71"/>
  <c r="J7" i="40"/>
  <c r="F7" i="40"/>
  <c r="H7" i="40"/>
  <c r="R48" i="39" l="1"/>
  <c r="E47" i="39"/>
  <c r="I52" i="39" s="1"/>
  <c r="J52" i="39" s="1"/>
  <c r="G51" i="39"/>
  <c r="H51" i="39" s="1"/>
  <c r="G52" i="39"/>
  <c r="H52" i="39" s="1"/>
  <c r="I51" i="39"/>
  <c r="J51" i="39" s="1"/>
  <c r="C8" i="71"/>
  <c r="T9" i="71"/>
  <c r="D9" i="71"/>
  <c r="U9" i="71" s="1"/>
  <c r="U7" i="40"/>
  <c r="AB7" i="40"/>
  <c r="T42" i="40" s="1"/>
  <c r="G42" i="40" s="1"/>
  <c r="AA7" i="40"/>
  <c r="R42" i="40" s="1"/>
  <c r="S7" i="40"/>
  <c r="AC7" i="40"/>
  <c r="V42" i="40" s="1"/>
  <c r="I42" i="40" s="1"/>
  <c r="W7" i="40"/>
  <c r="C48" i="39" l="1"/>
  <c r="C47" i="39"/>
  <c r="E8" i="85" s="1"/>
  <c r="E52" i="39"/>
  <c r="F52" i="39" s="1"/>
  <c r="E51" i="39"/>
  <c r="F51" i="39" s="1"/>
  <c r="D8" i="71"/>
  <c r="C7" i="71"/>
  <c r="I46" i="40"/>
  <c r="J46" i="40" s="1"/>
  <c r="R43" i="40"/>
  <c r="E42" i="40"/>
  <c r="G47" i="40"/>
  <c r="H47" i="40" s="1"/>
  <c r="G46" i="40"/>
  <c r="H46" i="40" s="1"/>
  <c r="C8" i="85" l="1"/>
  <c r="C7" i="85" s="1"/>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8" i="85" l="1"/>
  <c r="C17" i="85"/>
  <c r="C19" i="85" s="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D5" i="71"/>
  <c r="M20" i="43" s="1"/>
  <c r="L32" i="43" l="1"/>
  <c r="N31" i="43" s="1"/>
  <c r="E12" i="89"/>
  <c r="G11" i="89" s="1"/>
  <c r="C7" i="68" l="1"/>
  <c r="C5" i="68" s="1"/>
  <c r="H25" i="68" l="1"/>
  <c r="C20" i="68"/>
  <c r="E6" i="68"/>
  <c r="E55" i="68" s="1"/>
  <c r="G55" i="68"/>
  <c r="G56" i="68" s="1"/>
  <c r="H23" i="68"/>
  <c r="C54" i="68"/>
  <c r="D54" i="68" s="1"/>
  <c r="D10" i="86"/>
  <c r="E10" i="86" s="1"/>
  <c r="E13" i="86" s="1"/>
  <c r="E15" i="86" s="1"/>
  <c r="C23" i="68"/>
  <c r="C25" i="68" l="1"/>
  <c r="C22" i="68" s="1"/>
  <c r="C28" i="68"/>
  <c r="C27" i="68" s="1"/>
  <c r="C31" i="68" l="1"/>
  <c r="D31" i="68" s="1"/>
  <c r="D53" i="68" s="1"/>
  <c r="C52" i="68" l="1"/>
  <c r="C57" i="68" s="1"/>
  <c r="C56" i="68" s="1"/>
  <c r="E4" i="86" l="1"/>
  <c r="B2" i="68"/>
  <c r="B3" i="68"/>
  <c r="E30" i="89" l="1"/>
  <c r="D32" i="89" s="1"/>
  <c r="D14" i="74"/>
  <c r="D4" i="86"/>
  <c r="E7" i="86"/>
  <c r="F14" i="74" l="1"/>
  <c r="B5" i="74"/>
  <c r="E14" i="74"/>
  <c r="D5" i="74" l="1"/>
  <c r="C5" i="74"/>
  <c r="F5" i="89" l="1"/>
  <c r="G5" i="89" s="1"/>
  <c r="C105" i="9"/>
  <c r="I4" i="52"/>
  <c r="C73" i="9"/>
  <c r="B47" i="72"/>
  <c r="P57" i="9"/>
  <c r="N58" i="9"/>
  <c r="B30" i="72"/>
  <c r="E97" i="9"/>
  <c r="D9" i="52"/>
  <c r="H4" i="52"/>
  <c r="C104" i="9"/>
  <c r="D52" i="9"/>
  <c r="C78" i="9"/>
  <c r="D53" i="9"/>
  <c r="D54" i="9"/>
  <c r="B20" i="72"/>
  <c r="C81" i="9"/>
  <c r="M48" i="9"/>
  <c r="D8" i="52"/>
  <c r="D123" i="9"/>
  <c r="B48" i="72"/>
  <c r="C68" i="9"/>
  <c r="H119" i="9"/>
  <c r="H5" i="52"/>
  <c r="C93" i="9"/>
  <c r="C86" i="9"/>
  <c r="D13" i="53"/>
  <c r="D14" i="53"/>
  <c r="B32" i="72"/>
  <c r="D5" i="53"/>
  <c r="D6" i="53"/>
  <c r="B22" i="72"/>
  <c r="G4" i="52"/>
  <c r="B52" i="72"/>
  <c r="C97" i="9"/>
  <c r="D58" i="9"/>
  <c r="D56" i="9"/>
  <c r="M54" i="9"/>
  <c r="N60" i="9"/>
  <c r="N57" i="9"/>
  <c r="N59" i="9"/>
  <c r="N61" i="9"/>
  <c r="C64" i="9"/>
  <c r="C63" i="9"/>
  <c r="C67" i="9"/>
  <c r="D59" i="9"/>
  <c r="M55" i="9"/>
  <c r="D55" i="9"/>
  <c r="M53" i="9"/>
  <c r="B53" i="72"/>
  <c r="D6" i="74"/>
  <c r="C6" i="74"/>
  <c r="E4" i="52"/>
  <c r="D4" i="52"/>
  <c r="H108" i="9"/>
  <c r="D15" i="53"/>
  <c r="B31" i="72"/>
  <c r="H102" i="9"/>
  <c r="D7" i="53"/>
  <c r="B21" i="72"/>
  <c r="F4" i="52"/>
  <c r="B51" i="72"/>
  <c r="G118" i="9"/>
  <c r="F118" i="9"/>
  <c r="F119" i="9"/>
  <c r="F5" i="52"/>
  <c r="E118" i="9"/>
  <c r="D118" i="9"/>
  <c r="D119" i="9"/>
  <c r="D5" i="52"/>
  <c r="B49" i="72"/>
  <c r="H107" i="9"/>
  <c r="D122" i="9"/>
  <c r="G14" i="74"/>
  <c r="B6" i="74"/>
  <c r="C96" i="9"/>
  <c r="E96" i="9"/>
  <c r="C72" i="9"/>
  <c r="C79" i="9"/>
  <c r="C80" i="9"/>
  <c r="E80" i="9"/>
  <c r="E81"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KG</author>
  </authors>
  <commentList>
    <comment ref="F7" authorId="0" shapeId="0">
      <text>
        <r>
          <rPr>
            <b/>
            <sz val="9"/>
            <color indexed="81"/>
            <rFont val="宋体"/>
            <family val="3"/>
            <charset val="134"/>
          </rPr>
          <t>KG:</t>
        </r>
        <r>
          <rPr>
            <sz val="9"/>
            <color indexed="81"/>
            <rFont val="宋体"/>
            <family val="3"/>
            <charset val="134"/>
          </rPr>
          <t xml:space="preserve">
车库和仓储平均单价
</t>
        </r>
      </text>
    </comment>
  </commentList>
</comments>
</file>

<file path=xl/comments11.xml><?xml version="1.0" encoding="utf-8"?>
<comments xmlns="http://schemas.openxmlformats.org/spreadsheetml/2006/main">
  <authors>
    <author>KG</author>
    <author>崔锴</author>
  </authors>
  <commentList>
    <comment ref="B8" authorId="0" shapeId="0">
      <text>
        <r>
          <rPr>
            <b/>
            <sz val="9"/>
            <color indexed="81"/>
            <rFont val="宋体"/>
            <family val="3"/>
            <charset val="134"/>
          </rPr>
          <t>KG:</t>
        </r>
        <r>
          <rPr>
            <sz val="9"/>
            <color indexed="81"/>
            <rFont val="宋体"/>
            <family val="3"/>
            <charset val="134"/>
          </rPr>
          <t xml:space="preserve">
行政事业性收费</t>
        </r>
      </text>
    </comment>
    <comment ref="G9" authorId="1"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Guosheng</author>
  </authors>
  <commentList>
    <comment ref="S7" authorId="0" shapeId="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Lenovo</author>
    <author>KG</author>
  </authors>
  <commentList>
    <comment ref="E3" authorId="0" shapeId="0">
      <text>
        <r>
          <rPr>
            <b/>
            <sz val="9"/>
            <rFont val="宋体"/>
            <family val="3"/>
            <charset val="134"/>
          </rPr>
          <t>Lenovo:含配套商业所分摊的拆迁费用，不含1.3亿购房款中回迁房的不计息成本</t>
        </r>
      </text>
    </comment>
    <comment ref="E5" authorId="0" shapeId="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text>
        <r>
          <rPr>
            <b/>
            <sz val="9"/>
            <rFont val="宋体"/>
            <family val="3"/>
            <charset val="134"/>
          </rPr>
          <t>Lenovo:</t>
        </r>
        <r>
          <rPr>
            <sz val="9"/>
            <rFont val="宋体"/>
            <family val="3"/>
            <charset val="134"/>
          </rPr>
          <t xml:space="preserve">
非住宅拆迁费
</t>
        </r>
      </text>
    </comment>
    <comment ref="E7" authorId="0" shapeId="0">
      <text>
        <r>
          <rPr>
            <b/>
            <sz val="9"/>
            <rFont val="宋体"/>
            <family val="3"/>
            <charset val="134"/>
          </rPr>
          <t>Lenovo:</t>
        </r>
        <r>
          <rPr>
            <sz val="9"/>
            <rFont val="宋体"/>
            <family val="3"/>
            <charset val="134"/>
          </rPr>
          <t xml:space="preserve">
服务类合同
</t>
        </r>
      </text>
    </comment>
    <comment ref="F20" authorId="1" shapeId="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authors>
    <author>win10</author>
  </authors>
  <commentList>
    <comment ref="E6" authorId="0" shapeId="0">
      <text>
        <r>
          <rPr>
            <b/>
            <sz val="9"/>
            <color indexed="81"/>
            <rFont val="宋体"/>
            <family val="3"/>
            <charset val="134"/>
          </rPr>
          <t>win10:</t>
        </r>
        <r>
          <rPr>
            <sz val="9"/>
            <color indexed="81"/>
            <rFont val="宋体"/>
            <family val="3"/>
            <charset val="134"/>
          </rPr>
          <t xml:space="preserve">
水箱间</t>
        </r>
      </text>
    </comment>
    <comment ref="E18" authorId="0" shapeId="0">
      <text>
        <r>
          <rPr>
            <b/>
            <sz val="9"/>
            <color indexed="81"/>
            <rFont val="宋体"/>
            <family val="3"/>
            <charset val="134"/>
          </rPr>
          <t>win10:</t>
        </r>
        <r>
          <rPr>
            <sz val="9"/>
            <color indexed="81"/>
            <rFont val="宋体"/>
            <family val="3"/>
            <charset val="134"/>
          </rPr>
          <t xml:space="preserve">
水箱间</t>
        </r>
      </text>
    </comment>
    <comment ref="A19" authorId="0" shapeId="0">
      <text>
        <r>
          <rPr>
            <b/>
            <sz val="9"/>
            <color indexed="81"/>
            <rFont val="宋体"/>
            <family val="3"/>
            <charset val="134"/>
          </rPr>
          <t>win10:</t>
        </r>
        <r>
          <rPr>
            <sz val="9"/>
            <color indexed="81"/>
            <rFont val="宋体"/>
            <family val="3"/>
            <charset val="134"/>
          </rPr>
          <t xml:space="preserve">
测绘2号楼</t>
        </r>
      </text>
    </comment>
    <comment ref="E51" authorId="0" shapeId="0">
      <text>
        <r>
          <rPr>
            <b/>
            <sz val="9"/>
            <color indexed="81"/>
            <rFont val="宋体"/>
            <family val="3"/>
            <charset val="134"/>
          </rPr>
          <t>win10:</t>
        </r>
        <r>
          <rPr>
            <sz val="9"/>
            <color indexed="81"/>
            <rFont val="宋体"/>
            <family val="3"/>
            <charset val="134"/>
          </rPr>
          <t xml:space="preserve">
水箱间</t>
        </r>
      </text>
    </comment>
  </commentList>
</comments>
</file>

<file path=xl/comments9.xml><?xml version="1.0" encoding="utf-8"?>
<comments xmlns="http://schemas.openxmlformats.org/spreadsheetml/2006/main">
  <authors>
    <author>KG</author>
  </authors>
  <commentList>
    <comment ref="K7" authorId="0" shapeId="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text>
        <r>
          <rPr>
            <b/>
            <sz val="9"/>
            <color indexed="81"/>
            <rFont val="宋体"/>
            <family val="3"/>
            <charset val="134"/>
          </rPr>
          <t>KG:</t>
        </r>
        <r>
          <rPr>
            <sz val="9"/>
            <color indexed="81"/>
            <rFont val="宋体"/>
            <family val="3"/>
            <charset val="134"/>
          </rPr>
          <t xml:space="preserve">
260平米锅炉房；360平米配电室</t>
        </r>
      </text>
    </comment>
  </commentList>
</comments>
</file>

<file path=xl/sharedStrings.xml><?xml version="1.0" encoding="utf-8"?>
<sst xmlns="http://schemas.openxmlformats.org/spreadsheetml/2006/main" count="8752" uniqueCount="3853">
  <si>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</si>
  <si>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</si>
  <si>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</si>
  <si>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</si>
  <si>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</si>
  <si>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</si>
  <si>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</si>
  <si>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</si>
  <si>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</si>
  <si>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</si>
  <si>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</si>
  <si>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</si>
  <si>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</si>
  <si>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</si>
  <si>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</si>
  <si>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</si>
  <si>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</si>
  <si>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</si>
  <si>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</si>
  <si>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</si>
  <si>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</si>
  <si>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</si>
  <si>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</si>
  <si>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</si>
  <si>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</si>
  <si>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</si>
  <si>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</si>
  <si>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</si>
  <si>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</si>
  <si>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</si>
  <si>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</si>
  <si>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</si>
  <si>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</si>
  <si>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</si>
  <si>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</si>
  <si>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</si>
  <si>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</si>
  <si>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</si>
  <si>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</si>
  <si>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</si>
  <si>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</si>
  <si>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</si>
  <si>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</si>
  <si>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</si>
  <si>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</si>
  <si>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</si>
  <si>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</si>
  <si>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</si>
  <si>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</si>
  <si>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</si>
  <si>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</si>
  <si>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</si>
  <si>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</si>
  <si>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</si>
  <si>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</si>
  <si>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</si>
  <si>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</si>
  <si>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</si>
  <si>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</si>
  <si>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</si>
  <si>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</si>
  <si>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</si>
  <si>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</si>
  <si>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</si>
  <si>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</si>
  <si>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</si>
  <si>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</si>
  <si>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</si>
  <si>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</si>
  <si>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</si>
  <si>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</si>
  <si>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</si>
  <si>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</si>
  <si>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</si>
  <si>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</si>
  <si>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</si>
  <si>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</si>
  <si>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</si>
  <si>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</si>
  <si>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</si>
  <si>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</si>
  <si>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</si>
  <si>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</si>
  <si>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</si>
  <si>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</si>
  <si>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</si>
  <si>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</si>
  <si>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</si>
  <si>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</si>
  <si>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</si>
  <si>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</si>
  <si>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</si>
  <si>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</si>
  <si>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</si>
  <si>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</si>
  <si>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</si>
  <si>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</si>
  <si>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</si>
  <si>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</si>
  <si>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</si>
  <si>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</si>
  <si>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</si>
  <si>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</si>
  <si>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</si>
  <si>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</si>
  <si>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</si>
  <si>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</si>
  <si>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</si>
  <si>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</si>
  <si>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</si>
  <si>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</si>
  <si>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</si>
  <si>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</si>
  <si>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</si>
  <si>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</si>
  <si>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</si>
  <si>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</si>
  <si>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</si>
  <si>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</si>
  <si>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</si>
  <si>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</si>
  <si>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</si>
  <si>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</si>
  <si>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</si>
  <si>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</si>
  <si>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</si>
  <si>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</si>
  <si>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</si>
  <si>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</si>
  <si>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</si>
  <si>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</si>
  <si>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</si>
  <si>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</si>
  <si>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</si>
  <si>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</si>
  <si>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</si>
  <si>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</si>
  <si>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</si>
  <si>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</si>
  <si>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</si>
  <si>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</si>
  <si>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</si>
  <si>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</si>
  <si>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</si>
  <si>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</si>
  <si>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</si>
  <si>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</si>
  <si>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</si>
  <si>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</si>
  <si>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</si>
  <si>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</si>
  <si>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</si>
  <si>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</si>
  <si>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</si>
  <si>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</si>
  <si>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</si>
  <si>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</si>
  <si>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</si>
  <si>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</si>
  <si>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</si>
  <si>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</si>
  <si>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</si>
  <si>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</si>
  <si>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</si>
  <si>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</si>
  <si>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</si>
  <si>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</si>
  <si>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</si>
  <si>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</si>
  <si>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</si>
  <si>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</si>
  <si>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</si>
  <si>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</si>
  <si>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</si>
  <si>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</si>
  <si>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</si>
  <si>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</si>
  <si>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</si>
  <si>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</si>
  <si>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</si>
  <si>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</si>
  <si>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</si>
  <si>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</si>
  <si>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</si>
  <si>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</si>
  <si>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</si>
  <si>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</si>
  <si>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</si>
  <si>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</si>
  <si>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</si>
  <si>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</si>
  <si>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</si>
  <si>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</si>
  <si>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</si>
  <si>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</si>
  <si>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</si>
  <si>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</si>
  <si>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</si>
  <si>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</si>
  <si>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</si>
  <si>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</si>
  <si>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</si>
  <si>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</si>
  <si>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</si>
  <si>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</si>
  <si>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</si>
  <si>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</si>
  <si>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</si>
  <si>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</si>
  <si>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</si>
  <si>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</si>
  <si>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</si>
  <si>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</si>
  <si>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</si>
  <si>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</si>
  <si>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</si>
  <si>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</si>
  <si>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</si>
  <si>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</si>
  <si>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</si>
  <si>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</si>
  <si>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</si>
  <si>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</si>
  <si>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</si>
  <si>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</si>
  <si>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</si>
  <si>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</si>
  <si>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</si>
  <si>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</si>
  <si>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</si>
  <si>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</si>
  <si>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</si>
  <si>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</si>
  <si>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</si>
  <si>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</si>
  <si>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</si>
  <si>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</si>
  <si>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</si>
  <si>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</si>
  <si>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</si>
  <si>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</si>
  <si>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</si>
  <si>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</si>
  <si>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</si>
  <si>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</si>
  <si>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</si>
  <si>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</si>
  <si>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</si>
  <si>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</si>
  <si>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</si>
  <si>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</si>
  <si>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</si>
  <si>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</si>
  <si>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</si>
  <si>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</si>
  <si>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</si>
  <si>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</si>
  <si>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</si>
  <si>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</si>
  <si>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</si>
  <si>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</si>
  <si>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</si>
  <si>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</si>
  <si>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</si>
  <si>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</si>
  <si>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</si>
  <si>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</si>
  <si>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</si>
  <si>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</si>
  <si>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</si>
  <si>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</si>
  <si>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</si>
  <si>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</si>
  <si>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</si>
  <si>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</si>
  <si>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</si>
  <si>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</si>
  <si>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</si>
  <si>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</si>
  <si>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</si>
  <si>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</si>
  <si>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</si>
  <si>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</si>
  <si>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</si>
  <si>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</si>
  <si>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</si>
  <si>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</si>
  <si>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</si>
  <si>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</si>
  <si>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</si>
  <si>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</si>
  <si>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</si>
  <si>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</si>
  <si>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</si>
  <si>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</si>
  <si>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</si>
  <si>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</si>
  <si>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</si>
  <si>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</si>
  <si>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</si>
  <si>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</si>
  <si>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</si>
  <si>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</si>
  <si>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</si>
  <si>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</si>
  <si>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</si>
  <si>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</si>
  <si>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</si>
  <si>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</si>
  <si>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</si>
  <si>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</si>
  <si>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</si>
  <si>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</si>
  <si>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</si>
  <si>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</si>
  <si>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</si>
  <si>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</si>
  <si>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</si>
  <si>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</si>
  <si>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</si>
  <si>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</si>
  <si>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</si>
  <si>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</si>
  <si>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</si>
  <si>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</si>
  <si>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</si>
  <si>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</si>
  <si>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</si>
  <si>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</si>
  <si>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</si>
  <si>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</si>
  <si>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</si>
  <si>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</si>
  <si>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</si>
  <si>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</si>
  <si>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</si>
  <si>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</si>
  <si>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</si>
  <si>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</si>
  <si>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</si>
  <si>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</si>
  <si>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</si>
  <si>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</si>
  <si>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</si>
  <si>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</si>
  <si>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</si>
  <si>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</si>
  <si>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</si>
  <si>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</si>
  <si>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</si>
  <si>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</si>
  <si>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</si>
  <si>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</si>
  <si>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</si>
  <si>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</si>
  <si>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</si>
  <si>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</si>
  <si>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</si>
  <si>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</si>
  <si>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</si>
  <si>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</si>
  <si>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</si>
  <si>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</si>
  <si>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</si>
  <si>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</si>
  <si>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</si>
  <si>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</si>
  <si>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</si>
  <si>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</si>
  <si>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</si>
  <si>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</si>
  <si>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</si>
  <si>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</si>
  <si>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</si>
  <si>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</si>
  <si>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</si>
  <si>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</si>
  <si>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</si>
  <si>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</si>
  <si>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</si>
  <si>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</si>
  <si>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</si>
  <si>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</si>
  <si>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</si>
  <si>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</si>
  <si>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</si>
  <si>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</si>
  <si>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</si>
  <si>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</si>
  <si>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</si>
  <si>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</si>
  <si>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</si>
  <si>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</si>
  <si>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</si>
  <si>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</si>
  <si>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</si>
  <si>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</si>
  <si>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</si>
  <si>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</si>
  <si>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</si>
  <si>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</si>
  <si>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</si>
  <si>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</si>
  <si>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</si>
  <si>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</si>
  <si>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</si>
  <si>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</si>
  <si>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</si>
  <si>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</si>
  <si>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</si>
  <si>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</si>
  <si>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</si>
  <si>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</si>
  <si>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</si>
  <si>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</si>
  <si>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</si>
  <si>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</si>
  <si>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</si>
  <si>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</si>
  <si>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</si>
  <si>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</si>
  <si>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</si>
  <si>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</si>
  <si>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</si>
  <si>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</si>
  <si>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</si>
  <si>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</si>
  <si>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</si>
  <si>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</si>
  <si>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</si>
  <si>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</si>
  <si>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</si>
  <si>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</si>
  <si>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</si>
  <si>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</si>
  <si>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</si>
  <si>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</si>
  <si>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</si>
  <si>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</si>
  <si>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</si>
  <si>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</si>
  <si>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</si>
  <si>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</si>
  <si>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</si>
  <si>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</si>
  <si>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</si>
  <si>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</si>
  <si>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</si>
  <si>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</si>
  <si>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</si>
  <si>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</si>
  <si>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</si>
  <si>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</si>
  <si>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</si>
  <si>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</si>
  <si>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</si>
  <si>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</si>
  <si>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</si>
  <si>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</si>
  <si>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</si>
  <si>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</si>
  <si>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</si>
  <si>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</si>
  <si>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</si>
  <si>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</si>
  <si>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</si>
  <si>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</si>
  <si>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</si>
  <si>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</si>
  <si>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</si>
  <si>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</si>
  <si>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</si>
  <si>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</si>
  <si>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</si>
  <si>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</si>
  <si>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</si>
  <si>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</si>
  <si>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</si>
  <si>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</si>
  <si>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</si>
  <si>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</si>
  <si>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</si>
  <si>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</si>
  <si>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</si>
  <si>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</si>
  <si>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</si>
  <si>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</si>
  <si>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</si>
  <si>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</si>
  <si>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</si>
  <si>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</si>
  <si>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</si>
  <si>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</si>
  <si>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</si>
  <si>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</si>
  <si>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</si>
  <si>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</si>
  <si>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</si>
  <si>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</si>
  <si>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</si>
  <si>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</si>
  <si>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</si>
  <si>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</si>
  <si>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</si>
  <si>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</si>
  <si>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</si>
  <si>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</si>
  <si>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</si>
  <si>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</si>
  <si>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</si>
  <si>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</si>
  <si>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</si>
  <si>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</si>
  <si>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</si>
  <si>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</si>
  <si>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</si>
  <si>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</si>
  <si>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</si>
  <si>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</si>
  <si>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</si>
  <si>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</si>
  <si>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</si>
  <si>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</si>
  <si>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</si>
  <si>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</si>
  <si>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</si>
  <si>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</si>
  <si>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</si>
  <si>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</si>
  <si>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</si>
  <si>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</si>
  <si>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</si>
  <si>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</si>
  <si>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</si>
  <si>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</si>
  <si>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</si>
  <si>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</si>
  <si>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</si>
  <si>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</si>
  <si>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</si>
  <si>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</si>
  <si>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</si>
  <si>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</si>
  <si>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</si>
  <si>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</si>
  <si>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</si>
  <si>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</si>
  <si>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</si>
  <si>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</si>
  <si>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</si>
  <si>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</si>
  <si>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</si>
  <si>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</si>
  <si>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</si>
  <si>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</si>
  <si>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</si>
  <si>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</si>
  <si>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</si>
  <si>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</si>
  <si>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</si>
  <si>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</si>
  <si>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</si>
  <si>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</si>
  <si>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</si>
  <si>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</si>
  <si>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</si>
  <si>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</si>
  <si>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</si>
  <si>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</si>
  <si>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</si>
  <si>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</si>
  <si>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</si>
  <si>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</si>
  <si>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</si>
  <si>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</si>
  <si>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</si>
  <si>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</si>
  <si>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</si>
  <si>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</si>
  <si>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</si>
  <si>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</si>
  <si>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</si>
  <si>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</si>
  <si>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</si>
  <si>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</si>
  <si>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</si>
  <si>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</si>
  <si>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</si>
  <si>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</si>
  <si>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</si>
  <si>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</si>
  <si>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</si>
  <si>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</si>
  <si>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</si>
  <si>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</si>
  <si>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</si>
  <si>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</si>
  <si>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</si>
  <si>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</si>
  <si>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</si>
  <si>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</si>
  <si>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</si>
  <si>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</si>
  <si>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</si>
  <si>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</si>
  <si>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</si>
  <si>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</si>
  <si>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</si>
  <si>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</si>
  <si>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</si>
  <si>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</si>
  <si>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</si>
  <si>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</si>
  <si>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</si>
  <si>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</si>
  <si>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</si>
  <si>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</si>
  <si>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</si>
  <si>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</si>
  <si>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</si>
  <si>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</si>
  <si>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</si>
  <si>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</si>
  <si>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</si>
  <si>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</si>
  <si>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</si>
  <si>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</si>
  <si>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</si>
  <si>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</si>
  <si>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</si>
  <si>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</si>
  <si>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</si>
  <si>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</si>
  <si>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</si>
  <si>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</si>
  <si>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</si>
  <si>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</si>
  <si>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</si>
  <si>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</si>
  <si>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</si>
  <si>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</si>
  <si>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</si>
  <si>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</si>
  <si>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</si>
  <si>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</si>
  <si>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</si>
  <si>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</si>
  <si>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</si>
  <si>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</si>
  <si>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</si>
  <si>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</si>
  <si>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</si>
  <si>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</si>
  <si>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</si>
  <si>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</si>
  <si>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</si>
  <si>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</si>
  <si>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</si>
  <si>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</si>
  <si>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</si>
  <si>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</si>
  <si>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</si>
  <si>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</si>
  <si>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</si>
  <si>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</si>
  <si>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</si>
  <si>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</si>
  <si>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</si>
  <si>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</si>
  <si>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</si>
  <si>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</si>
  <si>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</si>
  <si>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</si>
  <si>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</si>
  <si>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</si>
  <si>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</si>
  <si>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</si>
  <si>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</si>
  <si>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</si>
  <si>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</si>
  <si>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</si>
  <si>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</si>
  <si>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</si>
  <si>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</si>
  <si>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</si>
  <si>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</si>
  <si>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</si>
  <si>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</si>
  <si>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</si>
  <si>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</si>
  <si>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</si>
  <si>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</si>
  <si>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</si>
  <si>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</si>
  <si>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</si>
  <si>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</si>
  <si>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</si>
  <si>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</si>
  <si>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</si>
  <si>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</si>
  <si>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</si>
  <si>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</si>
  <si>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</si>
  <si>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</si>
  <si>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</si>
  <si>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</si>
  <si>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</si>
  <si>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</si>
  <si>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</si>
  <si>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</si>
  <si>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</si>
  <si>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</si>
  <si>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</si>
  <si>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</si>
  <si>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</si>
  <si>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</si>
  <si>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</si>
  <si>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</si>
  <si>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</si>
  <si>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</si>
  <si>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</si>
  <si>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</si>
  <si>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</si>
  <si>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</si>
  <si>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</si>
  <si>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</si>
  <si>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</si>
  <si>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</si>
  <si>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</si>
  <si>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</si>
  <si>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</si>
  <si>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</si>
  <si>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</si>
  <si>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</si>
  <si>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</si>
  <si>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</si>
  <si>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</si>
  <si>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</si>
  <si>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</si>
  <si>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</si>
  <si>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</si>
  <si>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</si>
  <si>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</si>
  <si>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</si>
  <si>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</si>
  <si>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</si>
  <si>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</si>
  <si>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</si>
  <si>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</si>
  <si>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</si>
  <si>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</si>
  <si>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</si>
  <si>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</si>
  <si>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</si>
  <si>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</si>
  <si>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</si>
  <si>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</si>
  <si>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</si>
  <si>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</si>
  <si>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</si>
  <si>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</si>
  <si>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</si>
  <si>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</si>
  <si>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</si>
  <si>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</si>
  <si>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</si>
  <si>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</si>
  <si>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</si>
  <si>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</si>
  <si>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</si>
  <si>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</si>
  <si>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</si>
  <si>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</si>
  <si>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</si>
  <si>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</si>
  <si>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</si>
  <si>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</si>
  <si>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</si>
  <si>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</si>
  <si>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</si>
  <si>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</si>
  <si>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</si>
  <si>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</si>
  <si>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</si>
  <si>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</si>
  <si>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</si>
  <si>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</si>
  <si>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</si>
  <si>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</si>
  <si>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</si>
  <si>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</si>
  <si>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</si>
  <si>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</si>
  <si>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</si>
  <si>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</si>
  <si>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</si>
  <si>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</si>
  <si>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</si>
  <si>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</si>
  <si>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</si>
  <si>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</si>
  <si>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</si>
  <si>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</si>
  <si>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</si>
  <si>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</si>
  <si>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</si>
  <si>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</si>
  <si>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</si>
  <si>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</si>
  <si>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</si>
  <si>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</si>
  <si>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</si>
  <si>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</si>
  <si>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</si>
  <si>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</si>
  <si>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</si>
  <si>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</si>
  <si>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</si>
  <si>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</si>
  <si>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</si>
  <si>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</si>
  <si>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</si>
  <si>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</si>
  <si>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</si>
  <si>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</si>
  <si>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</si>
  <si>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</si>
  <si>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</si>
  <si>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</si>
  <si>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</si>
  <si>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</si>
  <si>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</si>
  <si>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</si>
  <si>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</si>
  <si>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</si>
  <si>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</si>
  <si>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</si>
  <si>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</si>
  <si>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</si>
  <si>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</si>
  <si>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</si>
  <si>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</si>
  <si>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</si>
  <si>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</si>
  <si>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</si>
  <si>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</si>
  <si>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</si>
  <si>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</si>
  <si>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</si>
  <si>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</si>
  <si>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</si>
  <si>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</si>
  <si>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</si>
  <si>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</si>
  <si>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</si>
  <si>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</si>
  <si>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</si>
  <si>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</si>
  <si>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</si>
  <si>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</si>
  <si>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</si>
  <si>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</si>
  <si>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</si>
  <si>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</si>
  <si>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</si>
  <si>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</si>
  <si>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</si>
  <si>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</si>
  <si>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</si>
  <si>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</si>
  <si>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</si>
  <si>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</si>
  <si>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</si>
  <si>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</si>
  <si>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</si>
  <si>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</si>
  <si>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</si>
  <si>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</si>
  <si>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</si>
  <si>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</si>
  <si>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</si>
  <si>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</si>
  <si>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</si>
  <si>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</si>
  <si>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</si>
  <si>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</si>
  <si>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</si>
  <si>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</si>
  <si>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</si>
  <si>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</si>
  <si>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</si>
  <si>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</si>
  <si>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</si>
  <si>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</si>
  <si>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</si>
  <si>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</si>
  <si>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</si>
  <si>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</si>
  <si>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</si>
  <si>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</si>
  <si>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</si>
  <si>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</si>
  <si>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</si>
  <si>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</si>
  <si>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</si>
  <si>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</si>
  <si>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</si>
  <si>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</si>
  <si>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</si>
  <si>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</si>
  <si>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</si>
  <si>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</si>
  <si>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</si>
  <si>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</si>
  <si>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</si>
  <si>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</si>
  <si>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</si>
  <si>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</si>
  <si>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</si>
  <si>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</si>
  <si>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</si>
  <si>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</si>
  <si>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</si>
  <si>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</si>
  <si>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</si>
  <si>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</si>
  <si>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</si>
  <si>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</si>
  <si>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</si>
  <si>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</si>
  <si>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</si>
  <si>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</si>
  <si>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</si>
  <si>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</si>
  <si>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</si>
  <si>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</si>
  <si>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</si>
  <si>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</si>
  <si>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</si>
  <si>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</si>
  <si>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</si>
  <si>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</si>
  <si>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</si>
  <si>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</si>
  <si>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</si>
  <si>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</si>
  <si>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</si>
  <si>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</si>
  <si>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</si>
  <si>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</si>
  <si>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</si>
  <si>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</si>
  <si>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</si>
  <si>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</si>
  <si>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</si>
  <si>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</si>
  <si>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</si>
  <si>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</si>
  <si>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</si>
  <si>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</si>
  <si>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</si>
  <si>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</si>
  <si>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</si>
  <si>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</si>
  <si>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</si>
  <si>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</si>
  <si>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</si>
  <si>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</si>
  <si>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</si>
  <si>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</si>
  <si>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</si>
  <si>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</si>
  <si>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</si>
  <si>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</si>
  <si>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</si>
  <si>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</si>
  <si>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</si>
  <si>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</si>
  <si>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</si>
  <si>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</si>
  <si>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</si>
  <si>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</si>
  <si>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</si>
  <si>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</si>
  <si>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</si>
  <si>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</si>
  <si>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</si>
  <si>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</si>
  <si>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</si>
  <si>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</si>
  <si>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</si>
  <si>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</si>
  <si>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</si>
  <si>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</si>
  <si>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</si>
  <si>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</si>
  <si>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</si>
  <si>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</si>
  <si>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</si>
  <si>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</si>
  <si>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</si>
  <si>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</si>
  <si>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</si>
  <si>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</si>
  <si>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</si>
  <si>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</si>
  <si>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</si>
  <si>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</si>
  <si>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</si>
  <si>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</si>
  <si>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</si>
  <si>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</si>
  <si>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</si>
  <si>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</si>
  <si>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</si>
  <si>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</si>
  <si>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</si>
  <si>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</si>
  <si>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</si>
  <si>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</si>
  <si>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</si>
  <si>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</si>
  <si>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</si>
  <si>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</si>
  <si>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</si>
  <si>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</si>
  <si>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</si>
  <si>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</si>
  <si>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</si>
  <si>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</si>
  <si>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</si>
  <si>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</si>
  <si>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</si>
  <si>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</si>
  <si>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</si>
  <si>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</si>
  <si>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</si>
  <si>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</si>
  <si>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</si>
  <si>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</si>
  <si>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</si>
  <si>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</si>
  <si>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</si>
  <si>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</si>
  <si>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</si>
  <si>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</si>
  <si>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</si>
  <si>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</si>
  <si>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</si>
  <si>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</si>
  <si>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</si>
  <si>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</si>
  <si>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</si>
  <si>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</si>
  <si>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</si>
  <si>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</si>
  <si>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</si>
  <si>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</si>
  <si>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</si>
  <si>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</si>
  <si>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</si>
  <si>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</si>
  <si>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</si>
  <si>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</si>
  <si>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</si>
  <si>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</si>
  <si>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</si>
  <si>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</si>
  <si>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</si>
  <si>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</si>
  <si>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</si>
  <si>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</si>
  <si>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</si>
  <si>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</si>
  <si>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</si>
  <si>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</si>
  <si>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</si>
  <si>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</si>
  <si>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</si>
  <si>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</si>
  <si>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</si>
  <si>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</si>
  <si>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</si>
  <si>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</si>
  <si>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</si>
  <si>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</si>
  <si>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</si>
  <si>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</si>
  <si>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</si>
  <si>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</si>
  <si>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</si>
  <si>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</si>
  <si>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</si>
  <si>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</si>
  <si>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</si>
  <si>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</si>
  <si>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</si>
  <si>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</si>
  <si>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</si>
  <si>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</si>
  <si>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</si>
  <si>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</si>
  <si>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</si>
  <si>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</si>
  <si>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</si>
  <si>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</si>
  <si>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</si>
  <si>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</si>
  <si>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</si>
  <si>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</si>
  <si>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</si>
  <si>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</si>
  <si>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</si>
  <si>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</si>
  <si>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</si>
  <si>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</si>
  <si>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</si>
  <si>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</si>
  <si>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</si>
  <si>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</si>
  <si>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</si>
  <si>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</si>
  <si>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</si>
  <si>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</si>
  <si>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</si>
  <si>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</si>
  <si>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</si>
  <si>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</si>
  <si>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</si>
  <si>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</si>
  <si>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</si>
  <si>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</si>
  <si>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</si>
  <si>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</si>
  <si>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</si>
  <si>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</si>
  <si>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</si>
  <si>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</si>
  <si>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</si>
  <si>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</si>
  <si>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</si>
  <si>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</si>
  <si>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</si>
  <si>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</si>
  <si>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</si>
  <si>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</si>
  <si>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</si>
  <si>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</si>
  <si>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</si>
  <si>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</si>
  <si>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</si>
  <si>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</si>
  <si>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</si>
  <si>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</si>
  <si>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</si>
  <si>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</si>
  <si>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</si>
  <si>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</si>
  <si>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</si>
  <si>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</si>
  <si>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</si>
  <si>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</si>
  <si>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</si>
  <si>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</si>
  <si>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</si>
  <si>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</si>
  <si>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</si>
  <si>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</si>
  <si>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</si>
  <si>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</si>
  <si>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</si>
  <si>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</si>
  <si>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</si>
  <si>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</si>
  <si>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</si>
  <si>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</si>
  <si>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</si>
  <si>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</si>
  <si>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</si>
  <si>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</si>
  <si>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</si>
  <si>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</si>
  <si>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</si>
  <si>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</si>
  <si>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</si>
  <si>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</si>
  <si>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</si>
  <si>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</si>
  <si>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</si>
  <si>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</si>
  <si>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</si>
  <si>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</si>
  <si>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</si>
  <si>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</si>
  <si>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</si>
  <si>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</si>
  <si>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</si>
  <si>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</si>
  <si>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</si>
  <si>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</si>
  <si>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</si>
  <si>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</si>
  <si>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</si>
  <si>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</si>
  <si>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</si>
  <si>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</si>
  <si>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</si>
  <si>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</si>
  <si>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</si>
  <si>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</si>
  <si>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</si>
  <si>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</si>
  <si>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</si>
  <si>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</si>
  <si>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</si>
  <si>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</si>
  <si>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</si>
  <si>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</si>
  <si>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</si>
  <si>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</si>
  <si>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</si>
  <si>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</si>
  <si>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</si>
  <si>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</si>
  <si>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</si>
  <si>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</si>
  <si>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</si>
  <si>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</si>
  <si>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</si>
  <si>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</si>
  <si>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</si>
  <si>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</si>
  <si>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</si>
  <si>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</si>
  <si>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</si>
  <si>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</si>
  <si>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</si>
  <si>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</si>
  <si>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</si>
  <si>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</si>
  <si>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</si>
  <si>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</si>
  <si>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</si>
  <si>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</si>
  <si>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</si>
  <si>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</si>
  <si>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</si>
  <si>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</si>
  <si>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</si>
  <si>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</si>
  <si>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</si>
  <si>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</si>
  <si>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</si>
  <si>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</si>
  <si>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</si>
  <si>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</si>
  <si>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</si>
  <si>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</si>
  <si>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</si>
  <si>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</si>
  <si>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</si>
  <si>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</si>
  <si>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</si>
  <si>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</si>
  <si>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</si>
  <si>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</si>
  <si>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</si>
  <si>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</si>
  <si>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</si>
  <si>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</si>
  <si>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</si>
  <si>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</si>
  <si>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</si>
  <si>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</si>
  <si>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</si>
  <si>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</si>
  <si>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</si>
  <si>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</si>
  <si>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</si>
  <si>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</si>
  <si>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</si>
  <si>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</si>
  <si>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</si>
  <si>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</si>
  <si>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</si>
  <si>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</si>
  <si>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</si>
  <si>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</si>
  <si>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</si>
  <si>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</si>
  <si>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</si>
  <si>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</si>
  <si>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</si>
  <si>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</si>
  <si>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</si>
  <si>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</si>
  <si>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</si>
  <si>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</si>
  <si>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</si>
  <si>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</si>
  <si>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</si>
  <si>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</si>
  <si>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</si>
  <si>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</si>
  <si>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</si>
  <si>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</si>
  <si>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</si>
  <si>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</si>
  <si>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</si>
  <si>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</si>
  <si>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</si>
  <si>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</si>
  <si>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</si>
  <si>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</si>
  <si>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</si>
  <si>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</si>
  <si>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</si>
  <si>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</si>
  <si>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</si>
  <si>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</si>
  <si>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</si>
  <si>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</si>
  <si>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</si>
  <si>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</si>
  <si>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</si>
  <si>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</si>
  <si>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</si>
  <si>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</si>
  <si>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</si>
  <si>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</si>
  <si>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</si>
  <si>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</si>
  <si>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</si>
  <si>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</si>
  <si>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</si>
  <si>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</si>
  <si>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</si>
  <si>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</si>
  <si>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</si>
  <si>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</si>
  <si>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</si>
  <si>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</si>
  <si>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</si>
  <si>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</si>
  <si>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</si>
  <si>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</si>
  <si>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</si>
  <si>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</si>
  <si>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</si>
  <si>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</si>
  <si>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</si>
  <si>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</si>
  <si>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</si>
  <si>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</si>
  <si>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</si>
  <si>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</si>
  <si>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</si>
  <si>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</si>
  <si>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</si>
  <si>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</si>
  <si>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</si>
  <si>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</si>
  <si>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</si>
  <si>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</si>
  <si>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</si>
  <si>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</si>
  <si>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</si>
  <si>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</si>
  <si>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</si>
  <si>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</si>
  <si>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</si>
  <si>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</si>
  <si>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</si>
  <si>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</si>
  <si>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</si>
  <si>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</si>
  <si>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</si>
  <si>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</si>
  <si>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</si>
  <si>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</si>
  <si>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</si>
  <si>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</si>
  <si>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</si>
  <si>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</si>
  <si>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</si>
  <si>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</si>
  <si>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</si>
  <si>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</si>
  <si>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</si>
  <si>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</si>
  <si>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</si>
  <si>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</si>
  <si>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</si>
  <si>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</si>
  <si>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</si>
  <si>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</si>
  <si>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</si>
  <si>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</si>
  <si>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</si>
  <si>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</si>
  <si>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</si>
  <si>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</si>
  <si>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</si>
  <si>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</si>
  <si>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</si>
  <si>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</si>
  <si>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</si>
  <si>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</si>
  <si>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</si>
  <si>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</si>
  <si>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</si>
  <si>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</si>
  <si>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</si>
  <si>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</si>
  <si>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</si>
  <si>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</si>
  <si>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</si>
  <si>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</si>
  <si>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</si>
  <si>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</si>
  <si>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</si>
  <si>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</si>
  <si>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</si>
  <si>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</si>
  <si>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</si>
  <si>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</si>
  <si>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</si>
  <si>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</si>
  <si>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</si>
  <si>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</si>
  <si>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</si>
  <si>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</si>
  <si>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</si>
  <si>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</si>
  <si>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</si>
  <si>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</si>
  <si>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</si>
  <si>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</si>
  <si>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</si>
  <si>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</si>
  <si>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</si>
  <si>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</si>
  <si>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</si>
  <si>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</si>
  <si>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</si>
  <si>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</si>
  <si>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</si>
  <si>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</si>
  <si>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</si>
  <si>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</si>
  <si>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</si>
  <si>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</si>
  <si>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</si>
  <si>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</si>
  <si>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</si>
  <si>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</si>
  <si>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</si>
  <si>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</si>
  <si>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</si>
  <si>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</si>
  <si>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</si>
  <si>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</si>
  <si>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</si>
  <si>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</si>
  <si>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</si>
  <si>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</si>
  <si>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</si>
  <si>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</si>
  <si>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</si>
  <si>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</si>
  <si>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</si>
  <si>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</si>
  <si>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</si>
  <si>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</si>
  <si>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</si>
  <si>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</si>
  <si>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</si>
  <si>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</si>
  <si>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</si>
  <si>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</si>
  <si>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</si>
  <si>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</si>
  <si>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</si>
  <si>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</si>
  <si>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</si>
  <si>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</si>
  <si>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</si>
  <si>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</si>
  <si>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</si>
  <si>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</si>
  <si>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</si>
  <si>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</si>
  <si>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</si>
  <si>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</si>
  <si>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</si>
  <si>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</si>
  <si>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</si>
  <si>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</si>
  <si>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</si>
  <si>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</si>
  <si>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</si>
  <si>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</si>
  <si>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</si>
  <si>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</si>
  <si>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</si>
  <si>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</si>
  <si>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</si>
  <si>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</si>
  <si>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</si>
  <si>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</si>
  <si>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</si>
  <si>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</si>
  <si>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</si>
  <si>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</si>
  <si>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</si>
  <si>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</si>
  <si>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</si>
  <si>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</si>
  <si>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</si>
  <si>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</si>
  <si>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</si>
  <si>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</si>
  <si>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</si>
  <si>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</si>
  <si>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</si>
  <si>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</si>
  <si>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</si>
  <si>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</si>
  <si>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</si>
  <si>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</si>
  <si>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</si>
  <si>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</si>
  <si>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</si>
  <si>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</si>
  <si>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</si>
  <si>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</si>
  <si>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</si>
  <si>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</si>
  <si>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</si>
  <si>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</si>
  <si>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</si>
  <si>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</si>
  <si>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</si>
  <si>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</si>
  <si>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</si>
  <si>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</si>
  <si>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</si>
  <si>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</si>
  <si>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</si>
  <si>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</si>
  <si>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</si>
  <si>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</si>
  <si>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</si>
  <si>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</si>
  <si>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</si>
  <si>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</si>
  <si>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</si>
  <si>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</si>
  <si>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</si>
  <si>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</si>
  <si>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</si>
  <si>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</si>
  <si>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</si>
  <si>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</si>
  <si>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</si>
  <si>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</si>
  <si>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</si>
  <si>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</si>
  <si>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</si>
  <si>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</si>
  <si>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</si>
  <si>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</si>
  <si>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</si>
  <si>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</si>
  <si>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</si>
  <si>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</si>
  <si>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</si>
  <si>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</si>
  <si>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</si>
  <si>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</si>
  <si>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</si>
  <si>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</si>
  <si>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</si>
  <si>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</si>
  <si>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</si>
  <si>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</si>
  <si>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</si>
  <si>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</si>
  <si>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</si>
  <si>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</si>
  <si>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</si>
  <si>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</si>
  <si>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</si>
  <si>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</si>
  <si>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</si>
  <si>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</si>
  <si>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</si>
  <si>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</si>
  <si>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</si>
  <si>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</si>
  <si>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</si>
  <si>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</si>
  <si>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</si>
  <si>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</si>
  <si>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</si>
  <si>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</si>
  <si>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</si>
  <si>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</si>
  <si>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</si>
  <si>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</si>
  <si>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</si>
  <si>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</si>
  <si>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</si>
  <si>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</si>
  <si>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</si>
  <si>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</si>
  <si>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</si>
  <si>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</si>
  <si>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</si>
  <si>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</si>
  <si>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</si>
  <si>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</si>
  <si>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</si>
  <si>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</si>
  <si>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</si>
  <si>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</si>
  <si>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</si>
  <si>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</si>
  <si>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</si>
  <si>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</si>
  <si>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</si>
  <si>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</si>
  <si>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</si>
  <si>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</si>
  <si>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</si>
  <si>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</si>
  <si>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</si>
  <si>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</si>
  <si>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</si>
  <si>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</si>
  <si>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</si>
  <si>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</si>
  <si>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</si>
  <si>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</si>
  <si>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</si>
  <si>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</si>
  <si>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</si>
  <si>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</si>
  <si>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</si>
  <si>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</si>
  <si>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</si>
  <si>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</si>
  <si>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</si>
  <si>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</si>
  <si>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</si>
  <si>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</si>
  <si>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</si>
  <si>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</si>
  <si>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</si>
  <si>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</si>
  <si>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</si>
  <si>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</si>
  <si>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</si>
  <si>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</si>
  <si>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</si>
  <si>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</si>
  <si>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</si>
  <si>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</si>
  <si>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</si>
  <si>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</si>
  <si>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</si>
  <si>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</si>
  <si>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</si>
  <si>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</si>
  <si>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</si>
  <si>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</si>
  <si>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</si>
  <si>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</si>
  <si>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</si>
  <si>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</si>
  <si>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</si>
  <si>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</si>
  <si>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</si>
  <si>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</si>
  <si>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</si>
  <si>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</si>
  <si>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</si>
  <si>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</si>
  <si>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</si>
  <si>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</si>
  <si>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</si>
  <si>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</si>
  <si>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</si>
  <si>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</si>
  <si>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</si>
  <si>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</si>
  <si>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</si>
  <si>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</si>
  <si>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</si>
  <si>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</si>
  <si>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</si>
  <si>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</si>
  <si>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</si>
  <si>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</si>
  <si>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</si>
  <si>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</si>
  <si>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</si>
  <si>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</si>
  <si>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</si>
  <si>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</si>
  <si>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</si>
  <si>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</si>
  <si>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</si>
  <si>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</si>
  <si>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</si>
  <si>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</si>
  <si>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</si>
  <si>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</si>
  <si>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</si>
  <si>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</si>
  <si>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</si>
  <si>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</si>
  <si>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</si>
  <si>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</si>
  <si>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</si>
  <si>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</si>
  <si>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</si>
  <si>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</si>
  <si>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</si>
  <si>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</si>
  <si>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</si>
  <si>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</si>
  <si>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</si>
  <si>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</si>
  <si>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</si>
  <si>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</si>
  <si>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</si>
  <si>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</si>
  <si>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</si>
  <si>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</si>
  <si>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</si>
  <si>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</si>
  <si>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</si>
  <si>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</si>
  <si>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</si>
  <si>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</si>
  <si>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</si>
  <si>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</si>
  <si>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</si>
  <si>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</si>
  <si>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</si>
  <si>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</si>
  <si>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</si>
  <si>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</si>
  <si>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</si>
  <si>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</si>
  <si>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</si>
  <si>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</si>
  <si>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</si>
  <si>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</si>
  <si>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</si>
  <si>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</si>
  <si>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</si>
  <si>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</si>
  <si>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</si>
  <si>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</si>
  <si>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</si>
  <si>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</si>
  <si>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</si>
  <si>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</si>
  <si>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</si>
  <si>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</si>
  <si>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</si>
  <si>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</si>
  <si>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</si>
  <si>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</si>
  <si>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</si>
  <si>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</si>
  <si>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</si>
  <si>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</si>
  <si>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</si>
  <si>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</si>
  <si>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</si>
  <si>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</si>
  <si>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</si>
  <si>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</si>
  <si>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</si>
  <si>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</si>
  <si>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</si>
  <si>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</si>
  <si>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</si>
  <si>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</si>
  <si>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</si>
  <si>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</si>
  <si>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</si>
  <si>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</si>
  <si>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</si>
  <si>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</si>
  <si>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</si>
  <si>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</si>
  <si>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</si>
  <si>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</si>
  <si>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</si>
  <si>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</si>
  <si>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</si>
  <si>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</si>
  <si>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</si>
  <si>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</si>
  <si>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</si>
  <si>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</si>
  <si>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</si>
  <si>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</si>
  <si>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</si>
  <si>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</si>
  <si>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</si>
  <si>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</si>
  <si>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</si>
  <si>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</si>
  <si>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</si>
  <si>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</si>
  <si>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</si>
  <si>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</si>
  <si>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</si>
  <si>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</si>
  <si>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</si>
  <si>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</si>
  <si>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</si>
  <si>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</si>
  <si>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</si>
  <si>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</si>
  <si>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</si>
  <si>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</si>
  <si>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</si>
  <si>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</si>
  <si>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</si>
  <si>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</si>
  <si>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</si>
  <si>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</si>
  <si>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</si>
  <si>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</si>
  <si>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</si>
  <si>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</si>
  <si>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</si>
  <si>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</si>
  <si>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</si>
  <si>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</si>
  <si>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</si>
  <si>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</si>
  <si>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</si>
  <si>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</si>
  <si>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</si>
  <si>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</si>
  <si>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</si>
  <si>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</si>
  <si>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</si>
  <si>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</si>
  <si>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</si>
  <si>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</si>
  <si>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</si>
  <si>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</si>
  <si>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</si>
  <si>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</si>
  <si>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</si>
  <si>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</si>
  <si>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</si>
  <si>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</si>
  <si>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</si>
  <si>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</si>
  <si>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</si>
  <si>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</si>
  <si>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</si>
  <si>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</si>
  <si>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</si>
  <si>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</si>
  <si>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</si>
  <si>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</si>
  <si>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</si>
  <si>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</si>
  <si>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</si>
  <si>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</si>
  <si>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</si>
  <si>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</si>
  <si>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</si>
  <si>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</si>
  <si>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</si>
  <si>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</si>
  <si>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</si>
  <si>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</si>
  <si>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</si>
  <si>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</si>
  <si>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</si>
  <si>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</si>
  <si>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</si>
  <si>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</si>
  <si>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</si>
  <si>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</si>
  <si>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</si>
  <si>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</si>
  <si>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</si>
  <si>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</si>
  <si>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</si>
  <si>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</si>
  <si>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</si>
  <si>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</si>
  <si>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</si>
  <si>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</si>
  <si>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</si>
  <si>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</si>
  <si>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</si>
  <si>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</si>
  <si>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</si>
  <si>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</si>
  <si>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</si>
  <si>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</si>
  <si>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</si>
  <si>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</si>
  <si>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</si>
  <si>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</si>
  <si>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</si>
  <si>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</si>
  <si>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</si>
  <si>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</si>
  <si>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</si>
  <si>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</si>
  <si>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</si>
  <si>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</si>
  <si>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</si>
  <si>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</si>
  <si>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</si>
  <si>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</si>
  <si>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</si>
  <si>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</si>
  <si>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</si>
  <si>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</si>
  <si>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</si>
  <si>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</si>
  <si>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</si>
  <si>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</si>
  <si>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</si>
  <si>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</si>
  <si>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</si>
  <si>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</si>
  <si>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</si>
  <si>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</si>
  <si>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</si>
  <si>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</si>
  <si>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</si>
  <si>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</si>
  <si>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</si>
  <si>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</si>
  <si>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</si>
  <si>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</si>
  <si>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</si>
  <si>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</si>
  <si>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</si>
  <si>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</si>
  <si>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</si>
  <si>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</si>
  <si>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</si>
  <si>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</si>
  <si>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</si>
  <si>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</si>
  <si>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</si>
  <si>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</si>
  <si>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</si>
  <si>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</si>
  <si>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</si>
  <si>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</si>
  <si>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</si>
  <si>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</si>
  <si>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</si>
  <si>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</si>
  <si>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</si>
  <si>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</si>
  <si>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</si>
  <si>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</si>
  <si>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</si>
  <si>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</si>
  <si>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</si>
  <si>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</si>
  <si>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</si>
  <si>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</si>
  <si>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</si>
  <si>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</si>
  <si>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</si>
  <si>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</si>
  <si>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</si>
  <si>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</si>
  <si>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</si>
  <si>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</si>
  <si>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</si>
  <si>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</si>
  <si>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</si>
  <si>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</si>
  <si>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</si>
  <si>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</si>
  <si>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</si>
  <si>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</si>
  <si>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</si>
  <si>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</si>
  <si>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</si>
  <si>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</si>
  <si>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</si>
  <si>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</si>
  <si>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</si>
  <si>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</si>
  <si>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</si>
  <si>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</si>
  <si>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</si>
  <si>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</si>
  <si>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</si>
  <si>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</si>
  <si>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</si>
  <si>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</si>
  <si>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</si>
  <si>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</si>
  <si>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</si>
  <si>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</si>
  <si>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</si>
  <si>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</si>
  <si>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</si>
  <si>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</si>
  <si>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</si>
  <si>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</si>
  <si>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</si>
  <si>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</si>
  <si>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</si>
  <si>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</si>
  <si>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</si>
  <si>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</si>
  <si>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</si>
  <si>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</si>
  <si>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</si>
  <si>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</si>
  <si>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</si>
  <si>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</si>
  <si>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</si>
  <si>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</si>
  <si>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</si>
  <si>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</si>
  <si>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</si>
  <si>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</si>
  <si>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</si>
  <si>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</si>
  <si>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</si>
  <si>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</si>
  <si>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</si>
  <si>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</si>
  <si>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</si>
  <si>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</si>
  <si>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</si>
  <si>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</si>
  <si>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</si>
  <si>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</si>
  <si>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</si>
  <si>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</si>
  <si>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</si>
  <si>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</si>
  <si>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</si>
  <si>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</si>
  <si>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</si>
  <si>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</si>
  <si>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</si>
  <si>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</si>
  <si>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</si>
  <si>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</si>
  <si>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</si>
  <si>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</si>
  <si>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</si>
  <si>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</si>
  <si>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</si>
  <si>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</si>
  <si>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</si>
  <si>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</si>
  <si>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</si>
  <si>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</si>
  <si>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</si>
  <si>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</si>
  <si>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</si>
  <si>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</si>
  <si>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</si>
  <si>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</si>
  <si>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</si>
  <si>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</si>
  <si>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</si>
  <si>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</si>
  <si>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</si>
  <si>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</si>
  <si>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</si>
  <si>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</si>
  <si>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</si>
  <si>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</si>
  <si>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</si>
  <si>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</si>
  <si>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</si>
  <si>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</si>
  <si>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</si>
  <si>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</si>
  <si>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</si>
  <si>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</si>
  <si>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</si>
  <si>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</si>
  <si>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</si>
  <si>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</si>
  <si>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</si>
  <si>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</si>
  <si>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</si>
  <si>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</si>
  <si>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</si>
  <si>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</si>
  <si>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</si>
  <si>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</si>
  <si>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</si>
  <si>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</si>
  <si>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</si>
  <si>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</si>
  <si>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</si>
  <si>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</si>
  <si>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</si>
  <si>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</si>
  <si>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</si>
  <si>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</si>
  <si>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</si>
  <si>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</si>
  <si>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</si>
  <si>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</si>
  <si>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</si>
  <si>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</si>
  <si>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</si>
  <si>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</si>
  <si>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</si>
  <si>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</si>
  <si>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</si>
  <si>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</si>
  <si>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</si>
  <si>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</si>
  <si>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</si>
  <si>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</si>
  <si>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</si>
  <si>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</si>
  <si>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</si>
  <si>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</si>
  <si>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</si>
  <si>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</si>
  <si>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</si>
  <si>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</si>
  <si>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</si>
  <si>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</si>
  <si>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</si>
  <si>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</si>
  <si>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</si>
  <si>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</si>
  <si>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</si>
  <si>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</si>
  <si>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</si>
  <si>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</si>
  <si>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</si>
  <si>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</si>
  <si>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</si>
  <si>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</si>
  <si>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</si>
  <si>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</si>
  <si>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</si>
  <si>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</si>
  <si>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</si>
  <si>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</si>
  <si>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</si>
  <si>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</si>
  <si>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</si>
  <si>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</si>
  <si>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</si>
  <si>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</si>
  <si>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</si>
  <si>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</si>
  <si>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</si>
  <si>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</si>
  <si>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</si>
  <si>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</si>
  <si>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</si>
  <si>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</si>
  <si>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</si>
  <si>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</si>
  <si>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</si>
  <si>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</si>
  <si>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</si>
  <si>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</si>
  <si>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</si>
  <si>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</si>
  <si>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</si>
  <si>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</si>
  <si>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</si>
  <si>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</si>
  <si>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</si>
  <si>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</si>
  <si>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</si>
  <si>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</si>
  <si>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</si>
  <si>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</si>
  <si>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</si>
  <si>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</si>
  <si>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</si>
  <si>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</si>
  <si>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</si>
  <si>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</si>
  <si>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</si>
  <si>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</si>
  <si>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</si>
  <si>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</si>
  <si>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</si>
  <si>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</si>
  <si>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</si>
  <si>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</si>
  <si>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</si>
  <si>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</si>
  <si>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</si>
  <si>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</si>
  <si>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</si>
  <si>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</si>
  <si>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</si>
  <si>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</si>
  <si>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</si>
  <si>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</si>
  <si>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</si>
  <si>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</si>
  <si>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</si>
  <si>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</si>
  <si>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</si>
  <si>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</si>
  <si>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</si>
  <si>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</si>
  <si>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</si>
  <si>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</si>
  <si>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</si>
  <si>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</si>
  <si>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</si>
  <si>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</si>
  <si>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</si>
  <si>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</si>
  <si>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</si>
  <si>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</si>
  <si>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</si>
  <si>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</si>
  <si>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</si>
  <si>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</si>
  <si>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</si>
  <si>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</si>
  <si>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</si>
  <si>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</si>
  <si>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</si>
  <si>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</si>
  <si>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</si>
  <si>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</si>
  <si>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</si>
  <si>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</si>
  <si>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</si>
  <si>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</si>
  <si>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</si>
  <si>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</si>
  <si>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</si>
  <si>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</si>
  <si>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</si>
  <si>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</si>
  <si>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</si>
  <si>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</si>
  <si>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</si>
  <si>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</si>
  <si>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</si>
  <si>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</si>
  <si>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</si>
  <si>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</si>
  <si>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</si>
  <si>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</si>
  <si>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</si>
  <si>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</si>
  <si>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</si>
  <si>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</si>
  <si>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</si>
  <si>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</si>
  <si>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</si>
  <si>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</si>
  <si>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</si>
  <si>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</si>
  <si>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</si>
  <si>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</si>
  <si>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</si>
  <si>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</si>
  <si>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</si>
  <si>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</si>
  <si>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</si>
  <si>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</si>
  <si>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</si>
  <si>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</si>
  <si>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</si>
  <si>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</si>
  <si>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</si>
  <si>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</si>
  <si>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</si>
  <si>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</si>
  <si>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</si>
  <si>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</si>
  <si>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</si>
  <si>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</si>
  <si>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</si>
  <si>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</si>
  <si>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</si>
  <si>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</si>
  <si>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</si>
  <si>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</si>
  <si>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</si>
  <si>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</si>
  <si>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</si>
  <si>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</si>
  <si>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</si>
  <si>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</si>
  <si>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</si>
  <si>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</si>
  <si>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</si>
  <si>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</si>
  <si>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</si>
  <si>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</si>
  <si>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</si>
  <si>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</si>
  <si>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</si>
  <si>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</si>
  <si>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</si>
  <si>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</si>
  <si>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</si>
  <si>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</si>
  <si>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</si>
  <si>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</si>
  <si>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</si>
  <si>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</si>
  <si>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</si>
  <si>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</si>
  <si>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</si>
  <si>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</si>
  <si>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</si>
  <si>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</si>
  <si>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</si>
  <si>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</si>
  <si>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</si>
  <si>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</si>
  <si>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</si>
  <si>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</si>
  <si>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</si>
  <si>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</si>
  <si>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</si>
  <si>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</si>
  <si>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</si>
  <si>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</si>
  <si>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</si>
  <si>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</si>
  <si>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</si>
  <si>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</si>
  <si>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</si>
  <si>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</si>
  <si>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</si>
  <si>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</si>
  <si>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</si>
  <si>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</si>
  <si>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</si>
  <si>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</si>
  <si>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</si>
  <si>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</si>
  <si>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</si>
  <si>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</si>
  <si>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</si>
  <si>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</si>
  <si>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</si>
  <si>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</si>
  <si>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</si>
  <si>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</si>
  <si>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</si>
  <si>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</si>
  <si>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</si>
  <si>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</si>
  <si>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</si>
  <si>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</si>
  <si>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</si>
  <si>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</si>
  <si>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</si>
  <si>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</si>
  <si>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</si>
  <si>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</si>
  <si>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</si>
  <si>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</si>
  <si>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</si>
  <si>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</si>
  <si>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</si>
  <si>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</si>
  <si>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</si>
  <si>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</si>
  <si>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</si>
  <si>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</si>
  <si>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</si>
  <si>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</si>
  <si>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</si>
  <si>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</si>
  <si>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</si>
  <si>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</si>
  <si>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</si>
  <si>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</si>
  <si>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</si>
  <si>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</si>
  <si>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</si>
  <si>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</si>
  <si>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</si>
  <si>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</si>
  <si>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</si>
  <si>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</si>
  <si>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</si>
  <si>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</si>
  <si>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</si>
  <si>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</si>
  <si>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</si>
  <si>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</si>
  <si>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</si>
  <si>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</si>
  <si>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</si>
  <si>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</si>
  <si>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</si>
  <si>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</si>
  <si>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</si>
  <si>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</si>
  <si>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</si>
  <si>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</si>
  <si>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</si>
  <si>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</si>
  <si>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</si>
  <si>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</si>
  <si>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</si>
  <si>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</si>
  <si>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</si>
  <si>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</si>
  <si>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</si>
  <si>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</si>
  <si>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</si>
  <si>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</si>
  <si>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</si>
  <si>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</si>
  <si>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</si>
  <si>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</si>
  <si>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</si>
  <si>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</si>
  <si>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</si>
  <si>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</si>
  <si>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</si>
  <si>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</si>
  <si>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</si>
  <si>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</si>
  <si>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</si>
  <si>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</si>
  <si>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</si>
  <si>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</si>
  <si>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</si>
  <si>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</si>
  <si>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</si>
  <si>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</si>
  <si>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</si>
  <si>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</si>
  <si>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</si>
  <si>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</si>
  <si>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</si>
  <si>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</si>
  <si>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</si>
  <si>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</si>
  <si>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</si>
  <si>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</si>
  <si>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</si>
  <si>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</si>
  <si>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</si>
  <si>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</si>
  <si>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</si>
  <si>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</si>
  <si>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</si>
  <si>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</si>
  <si>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</si>
  <si>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</si>
  <si>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</si>
  <si>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</si>
  <si>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</si>
  <si>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</si>
  <si>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</si>
  <si>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</si>
  <si>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</si>
  <si>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</si>
  <si>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</si>
  <si>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</si>
  <si>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</si>
  <si>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</si>
  <si>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</si>
  <si>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</si>
  <si>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</si>
  <si>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</si>
  <si>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</si>
  <si>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</si>
  <si>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</si>
  <si>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</si>
  <si>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</si>
  <si>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</si>
  <si>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</si>
  <si>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</si>
  <si>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</si>
  <si>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</si>
  <si>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</si>
  <si>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</si>
  <si>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</si>
  <si>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</si>
  <si>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</si>
  <si>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</si>
  <si>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</si>
  <si>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</si>
  <si>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</si>
  <si>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</si>
  <si>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</si>
  <si>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</si>
  <si>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</si>
  <si>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</si>
  <si>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</si>
  <si>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</si>
  <si>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</si>
  <si>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</si>
  <si>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</si>
  <si>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</si>
  <si>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</si>
  <si>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</si>
  <si>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</si>
  <si>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</si>
  <si>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</si>
  <si>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</si>
  <si>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</si>
  <si>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</si>
  <si>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</si>
  <si>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</si>
  <si>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</si>
  <si>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</si>
  <si>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</si>
  <si>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</si>
  <si>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</si>
  <si>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</si>
  <si>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</si>
  <si>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</si>
  <si>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</si>
  <si>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</si>
  <si>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</si>
  <si>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</si>
  <si>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</si>
  <si>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</si>
  <si>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</si>
  <si>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</si>
  <si>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</si>
  <si>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</si>
  <si>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</si>
  <si>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</si>
  <si>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</si>
  <si>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</si>
  <si>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</si>
  <si>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</si>
  <si>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</si>
  <si>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</si>
  <si>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</si>
  <si>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</si>
  <si>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</si>
  <si>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</si>
  <si>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</si>
  <si>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</si>
  <si>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</si>
  <si>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</si>
  <si>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</si>
  <si>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</si>
  <si>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</si>
  <si>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</si>
  <si>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</si>
  <si>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</si>
  <si>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</si>
  <si>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</si>
  <si>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</si>
  <si>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</si>
  <si>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</si>
  <si>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</si>
  <si>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</si>
  <si>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</si>
  <si>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</si>
  <si>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</si>
  <si>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</si>
  <si>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</si>
  <si>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</si>
  <si>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</si>
  <si>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</si>
  <si>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</si>
  <si>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</si>
  <si>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</si>
  <si>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</si>
  <si>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</si>
  <si>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</si>
  <si>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</si>
  <si>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</si>
  <si>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</si>
  <si>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</si>
  <si>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</si>
  <si>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</si>
  <si>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</si>
  <si>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</si>
  <si>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</si>
  <si>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</si>
  <si>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</si>
  <si>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</si>
  <si>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</si>
  <si>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</si>
  <si>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</si>
  <si>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</si>
  <si>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</si>
  <si>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</si>
  <si>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</si>
  <si>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</si>
  <si>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</si>
  <si>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</si>
  <si>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</si>
  <si>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</si>
  <si>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</si>
  <si>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</si>
  <si>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</si>
  <si>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</si>
  <si>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</si>
  <si>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</si>
  <si>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</si>
  <si>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</si>
  <si>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</si>
  <si>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</si>
  <si>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</si>
  <si>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</si>
  <si>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</si>
  <si>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</si>
  <si>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</si>
  <si>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</si>
  <si>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</si>
  <si>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</si>
  <si>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</si>
  <si>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</si>
  <si>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</si>
  <si>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</si>
  <si>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</si>
  <si>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</si>
  <si>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</si>
  <si>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</si>
  <si>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</si>
  <si>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</si>
  <si>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</si>
  <si>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</si>
  <si>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</si>
  <si>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</si>
  <si>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</si>
  <si>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</si>
  <si>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</si>
  <si>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</si>
  <si>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</si>
  <si>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</si>
  <si>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</si>
  <si>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</si>
  <si>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</si>
  <si>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</si>
  <si>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</si>
  <si>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</si>
  <si>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</si>
  <si>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</si>
  <si>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</si>
  <si>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</si>
  <si>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</si>
  <si>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</si>
  <si>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</si>
  <si>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</si>
  <si>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</si>
  <si>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</si>
  <si>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</si>
  <si>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</si>
  <si>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</si>
  <si>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</si>
  <si>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</si>
  <si>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</si>
  <si>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</si>
  <si>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</si>
  <si>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</si>
  <si>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</si>
  <si>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</si>
  <si>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</si>
  <si>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</si>
  <si>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</si>
  <si>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</si>
  <si>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</si>
  <si>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</si>
  <si>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</si>
  <si>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</si>
  <si>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</si>
  <si>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</si>
  <si>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</si>
  <si>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</si>
  <si>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</si>
  <si>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</si>
  <si>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</si>
  <si>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</si>
  <si>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</si>
  <si>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</si>
  <si>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</si>
  <si>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</si>
  <si>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</si>
  <si>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</si>
  <si>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</si>
  <si>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</si>
  <si>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</si>
  <si>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</si>
  <si>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</si>
  <si>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</si>
  <si>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</si>
  <si>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</si>
  <si>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</si>
  <si>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</si>
  <si>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</si>
  <si>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</si>
  <si>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</si>
  <si>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</si>
  <si>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</si>
  <si>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</si>
  <si>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</si>
  <si>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</si>
  <si>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</si>
  <si>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</si>
  <si>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</si>
  <si>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</si>
  <si>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</si>
  <si>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</si>
  <si>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</si>
  <si>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</si>
  <si>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</si>
  <si>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</si>
  <si>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</si>
  <si>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</si>
  <si>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</si>
  <si>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</si>
  <si>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</si>
  <si>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</si>
  <si>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</si>
  <si>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</si>
  <si>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</si>
  <si>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</si>
  <si>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</si>
  <si>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</si>
  <si>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</si>
  <si>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</si>
  <si>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</si>
  <si>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</si>
  <si>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</si>
  <si>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</si>
  <si>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</si>
  <si>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</si>
  <si>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</si>
  <si>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</si>
  <si>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</si>
  <si>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</si>
  <si>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</si>
  <si>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</si>
  <si>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</si>
  <si>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</si>
  <si>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</si>
  <si>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</si>
  <si>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</si>
  <si>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</si>
  <si>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</si>
  <si>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</si>
  <si>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</si>
  <si>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</si>
  <si>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</si>
  <si>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</si>
  <si>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</si>
  <si>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</si>
  <si>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</si>
  <si>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</si>
  <si>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</si>
  <si>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</si>
  <si>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</si>
  <si>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</si>
  <si>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</si>
  <si>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</si>
  <si>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</si>
  <si>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</si>
  <si>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</si>
  <si>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</si>
  <si>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</si>
  <si>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</si>
  <si>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</si>
  <si>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</si>
  <si>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</si>
  <si>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</si>
  <si>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</si>
  <si>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</si>
  <si>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</si>
  <si>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</si>
  <si>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</si>
  <si>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</si>
  <si>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</si>
  <si>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</si>
  <si>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</si>
  <si>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</si>
  <si>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</si>
  <si>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</si>
  <si>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</si>
  <si>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</si>
  <si>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</si>
  <si>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</si>
  <si>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</si>
  <si>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</si>
  <si>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</si>
  <si>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</si>
  <si>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</si>
  <si>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</si>
  <si>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</si>
  <si>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</si>
  <si>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</si>
  <si>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</si>
  <si>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</si>
  <si>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</si>
  <si>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</si>
  <si>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</si>
  <si>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</si>
  <si>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</si>
  <si>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</si>
  <si>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</si>
  <si>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</si>
  <si>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</si>
  <si>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</si>
  <si>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</si>
  <si>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</si>
  <si>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</si>
  <si>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</si>
  <si>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</si>
  <si>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</si>
  <si>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</si>
  <si>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</si>
  <si>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</si>
  <si>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</si>
  <si>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</si>
  <si>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</si>
  <si>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</si>
  <si>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</si>
  <si>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</si>
  <si>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</si>
  <si>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</si>
  <si>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</si>
  <si>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</si>
  <si>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</si>
  <si>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</si>
  <si>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</si>
  <si>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</si>
  <si>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</si>
  <si>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</si>
  <si>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</si>
  <si>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</si>
  <si>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</si>
  <si>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</si>
  <si>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</si>
  <si>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</si>
  <si>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</si>
  <si>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</si>
  <si>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</si>
  <si>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</si>
  <si>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</si>
  <si>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</si>
  <si>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</si>
  <si>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</si>
  <si>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</si>
  <si>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</si>
  <si>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</si>
  <si>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</si>
  <si>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</si>
  <si>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</si>
  <si>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</si>
  <si>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</si>
  <si>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</si>
  <si>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</si>
  <si>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</si>
  <si>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</si>
  <si>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</si>
  <si>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</si>
  <si>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</si>
  <si>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</si>
  <si>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</si>
  <si>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</si>
  <si>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</si>
  <si>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</si>
  <si>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</si>
  <si>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</si>
  <si>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</si>
  <si>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</si>
  <si>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</si>
  <si>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</si>
  <si>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</si>
  <si>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</si>
  <si>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</si>
  <si>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</si>
  <si>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</si>
  <si>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</si>
  <si>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</si>
  <si>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</si>
  <si>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</si>
  <si>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</si>
  <si>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</si>
  <si>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</si>
  <si>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</si>
  <si>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</si>
  <si>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</si>
  <si>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</si>
  <si>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</si>
  <si>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</si>
  <si>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</si>
  <si>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</si>
  <si>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</si>
  <si>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</si>
  <si>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</si>
  <si>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</si>
  <si>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</si>
  <si>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</si>
  <si>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</si>
  <si>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</si>
  <si>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</si>
  <si>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</si>
  <si>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</si>
  <si>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</si>
  <si>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</si>
  <si>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</si>
  <si>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</si>
  <si>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</si>
  <si>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</si>
  <si>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</si>
  <si>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</si>
  <si>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</si>
  <si>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</si>
  <si>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</si>
  <si>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</si>
  <si>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</si>
  <si>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</si>
  <si>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</si>
  <si>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</si>
  <si>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</si>
  <si>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</si>
  <si>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</si>
  <si>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</si>
  <si>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</si>
  <si>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</si>
  <si>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</si>
  <si>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</si>
  <si>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</si>
  <si>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</si>
  <si>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</si>
  <si>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</si>
  <si>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</si>
  <si>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</si>
  <si>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</si>
  <si>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</si>
  <si>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</si>
  <si>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</si>
  <si>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</si>
  <si>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</si>
  <si>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</si>
  <si>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</si>
  <si>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</si>
  <si>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</si>
  <si>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</si>
  <si>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</si>
  <si>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</si>
  <si>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</si>
  <si>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</si>
  <si>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</si>
  <si>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</si>
  <si>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</si>
  <si>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</si>
  <si>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</si>
  <si>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</si>
  <si>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</si>
  <si>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</si>
  <si>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</si>
  <si>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</si>
  <si>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</si>
  <si>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</si>
  <si>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</si>
  <si>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</si>
  <si>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</si>
  <si>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</si>
  <si>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</si>
  <si>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</si>
  <si>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</si>
  <si>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</si>
  <si>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</si>
  <si>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</si>
  <si>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</si>
  <si>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</si>
  <si>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</si>
  <si>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</si>
  <si>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</si>
  <si>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</si>
  <si>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</si>
  <si>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</si>
  <si>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</si>
  <si>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</si>
  <si>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</si>
  <si>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</si>
  <si>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</si>
  <si>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</si>
  <si>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</si>
  <si>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</si>
  <si>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</si>
  <si>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</si>
  <si>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</si>
  <si>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</si>
  <si>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</si>
  <si>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</si>
  <si>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</si>
  <si>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</si>
  <si>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</si>
  <si>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</si>
  <si>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</si>
  <si>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</si>
  <si>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</si>
  <si>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</si>
  <si>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</si>
  <si>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</si>
  <si>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</si>
  <si>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</si>
  <si>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</si>
  <si>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</si>
  <si>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</si>
  <si>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</si>
  <si>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</si>
  <si>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</si>
  <si>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</si>
  <si>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</si>
  <si>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</si>
  <si>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</si>
  <si>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</si>
  <si>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</si>
  <si>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</si>
  <si>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</si>
  <si>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</si>
  <si>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</si>
  <si>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</si>
  <si>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</si>
  <si>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</si>
  <si>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</si>
  <si>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</si>
  <si>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</si>
  <si>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</si>
  <si>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</si>
  <si>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</si>
  <si>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</si>
  <si>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</si>
  <si>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</si>
  <si>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</si>
  <si>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</si>
  <si>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</si>
  <si>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</si>
  <si>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</si>
  <si>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</si>
  <si>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</si>
  <si>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</si>
  <si>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</si>
  <si>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</si>
  <si>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</si>
  <si>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</si>
  <si>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</si>
  <si>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</si>
  <si>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</si>
  <si>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</si>
  <si>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</si>
  <si>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</si>
  <si>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</si>
  <si>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</si>
  <si>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</si>
  <si>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</si>
  <si>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</si>
  <si>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</si>
  <si>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</si>
  <si>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</si>
  <si>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</si>
  <si>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</si>
  <si>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</si>
  <si>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</si>
  <si>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</si>
  <si>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</si>
  <si>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</si>
  <si>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</si>
  <si>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</si>
  <si>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</si>
  <si>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</si>
  <si>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</si>
  <si>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</si>
  <si>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</si>
  <si>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</si>
  <si>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</si>
  <si>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</si>
  <si>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</si>
  <si>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</si>
  <si>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</si>
  <si>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</si>
  <si>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</si>
  <si>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</si>
  <si>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</si>
  <si>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</si>
  <si>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</si>
  <si>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</si>
  <si>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</si>
  <si>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</si>
  <si>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</si>
  <si>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</si>
  <si>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</si>
  <si>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</si>
  <si>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</si>
  <si>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</si>
  <si>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</si>
  <si>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</si>
  <si>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</si>
  <si>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</si>
  <si>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</si>
  <si>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</si>
  <si>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</si>
  <si>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</si>
  <si>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</si>
  <si>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</si>
  <si>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</si>
  <si>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</si>
  <si>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</si>
  <si>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</si>
  <si>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</si>
  <si>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</si>
  <si>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</si>
  <si>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</si>
  <si>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</si>
  <si>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</si>
  <si>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</si>
  <si>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</si>
  <si>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</si>
  <si>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</si>
  <si>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</si>
  <si>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</si>
  <si>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</si>
  <si>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</si>
  <si>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</si>
  <si>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</si>
  <si>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</si>
  <si>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</si>
  <si>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</si>
  <si>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</si>
  <si>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</si>
  <si>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</si>
  <si>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</si>
  <si>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</si>
  <si>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</si>
  <si>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</si>
  <si>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</si>
  <si>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</si>
  <si>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</si>
  <si>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</si>
  <si>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</si>
  <si>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</si>
  <si>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</si>
  <si>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</si>
  <si>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</si>
  <si>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</si>
  <si>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</si>
  <si>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</si>
  <si>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</si>
  <si>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</si>
  <si>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</si>
  <si>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</si>
  <si>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</si>
  <si>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</si>
  <si>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</si>
  <si>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</si>
  <si>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</si>
  <si>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</si>
  <si>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</si>
  <si>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</si>
  <si>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</si>
  <si>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</si>
  <si>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</si>
  <si>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</si>
  <si>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</si>
  <si>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</si>
  <si>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</si>
  <si>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</si>
  <si>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</si>
  <si>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</si>
  <si>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</si>
  <si>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</si>
  <si>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</si>
  <si>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</si>
  <si>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</si>
  <si>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</si>
  <si>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</si>
  <si>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</si>
  <si>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</si>
  <si>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</si>
  <si>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</si>
  <si>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</si>
  <si>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</si>
  <si>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</si>
  <si>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</si>
  <si>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</si>
  <si>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</si>
  <si>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</si>
  <si>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</si>
  <si>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</si>
  <si>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</si>
  <si>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</si>
  <si>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</si>
  <si>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</si>
  <si>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</si>
  <si>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</si>
  <si>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</si>
  <si>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</si>
  <si>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</si>
  <si>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</si>
  <si>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</si>
  <si>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</si>
  <si>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</si>
  <si>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</si>
  <si>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</si>
  <si>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</si>
  <si>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</si>
  <si>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</si>
  <si>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</si>
  <si>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</si>
  <si>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</si>
  <si>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</si>
  <si>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</si>
  <si>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</si>
  <si>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</si>
  <si>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</si>
  <si>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</si>
  <si>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</si>
  <si>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</si>
  <si>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</si>
  <si>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</si>
  <si>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</si>
  <si>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</si>
  <si>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</si>
  <si>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</si>
  <si>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</si>
  <si>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</si>
  <si>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</si>
  <si>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</si>
  <si>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</si>
  <si>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</si>
  <si>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</si>
  <si>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</si>
  <si>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</si>
  <si>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</si>
  <si>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</si>
  <si>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</si>
  <si>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</si>
  <si>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</si>
  <si>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</si>
  <si>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</si>
  <si>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</si>
  <si>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</si>
  <si>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</si>
  <si>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</si>
  <si>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</si>
  <si>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</si>
  <si>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</si>
  <si>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</si>
  <si>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</si>
  <si>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</si>
  <si>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</si>
  <si>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</si>
  <si>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</si>
  <si>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</si>
  <si>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</si>
  <si>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</si>
  <si>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</si>
  <si>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</si>
  <si>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</si>
  <si>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</si>
  <si>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</si>
  <si>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</si>
  <si>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</si>
  <si>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</si>
  <si>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</si>
  <si>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</si>
  <si>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</si>
  <si>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</si>
  <si>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</si>
  <si>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</si>
  <si>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</si>
  <si>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</si>
  <si>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</si>
  <si>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</si>
  <si>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</si>
  <si>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</si>
  <si>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</si>
  <si>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</si>
  <si>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</si>
  <si>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</si>
  <si>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</si>
  <si>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</si>
  <si>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</si>
  <si>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</si>
  <si>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</si>
  <si>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</si>
  <si>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</si>
  <si>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</si>
  <si>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</si>
  <si>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</si>
  <si>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</si>
  <si>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</si>
  <si>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</si>
  <si>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</si>
  <si>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</si>
  <si>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</si>
  <si>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</si>
  <si>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</si>
  <si>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</si>
  <si>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</si>
  <si>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</si>
  <si>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</si>
  <si>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</si>
  <si>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</si>
  <si>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</si>
  <si>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</si>
  <si>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</si>
  <si>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</si>
  <si>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</si>
  <si>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</si>
  <si>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</si>
  <si>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</si>
  <si>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</si>
  <si>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</si>
  <si>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</si>
  <si>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</si>
  <si>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</si>
  <si>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</si>
  <si>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</si>
  <si>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</si>
  <si>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</si>
  <si>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</si>
  <si>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</si>
  <si>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</si>
  <si>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</si>
  <si>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</si>
  <si>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</si>
  <si>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</si>
  <si>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</si>
  <si>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</si>
  <si>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</si>
  <si>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</si>
  <si>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</si>
  <si>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</si>
  <si>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</si>
  <si>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</si>
  <si>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</si>
  <si>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</si>
  <si>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</si>
  <si>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</si>
  <si>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</si>
  <si>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</si>
  <si>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</si>
  <si>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</si>
  <si>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</si>
  <si>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</si>
  <si>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</si>
  <si>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</si>
  <si>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</si>
  <si>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</si>
  <si>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</si>
  <si>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</si>
  <si>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</si>
  <si>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</si>
  <si>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</si>
  <si>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</si>
  <si>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</si>
  <si>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</si>
  <si>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</si>
  <si>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</si>
  <si>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</si>
  <si>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</si>
  <si>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</si>
  <si>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</si>
  <si>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</si>
  <si>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</si>
  <si>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</si>
  <si>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</si>
  <si>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</si>
  <si>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</si>
  <si>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</si>
  <si>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</si>
  <si>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</si>
  <si>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</si>
  <si>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</si>
  <si>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</si>
  <si>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</si>
  <si>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</si>
  <si>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</si>
  <si>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</si>
  <si>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</si>
  <si>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</si>
  <si>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</si>
  <si>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</si>
  <si>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</si>
  <si>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</si>
  <si>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</si>
  <si>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</si>
  <si>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</si>
  <si>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</si>
  <si>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</si>
  <si>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</si>
  <si>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</si>
  <si>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</si>
  <si>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</si>
  <si>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</si>
  <si>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出让部分</t>
    <phoneticPr fontId="140" type="noConversion"/>
  </si>
  <si>
    <t>划拨部分</t>
    <phoneticPr fontId="140" type="noConversion"/>
  </si>
  <si>
    <t>居住用地（指二类居住用地）</t>
  </si>
  <si>
    <t>无</t>
  </si>
  <si>
    <t>通电</t>
  </si>
  <si>
    <t>通路</t>
  </si>
  <si>
    <t>通讯</t>
  </si>
  <si>
    <t>通上水</t>
  </si>
  <si>
    <t>通下水</t>
  </si>
  <si>
    <t>通热</t>
  </si>
  <si>
    <t>燃气</t>
  </si>
  <si>
    <t>平整</t>
  </si>
  <si>
    <t>按公示增长率计算</t>
  </si>
  <si>
    <t>容积率修正</t>
  </si>
  <si>
    <t>合计</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</si>
  <si>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</si>
  <si>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</si>
  <si>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</si>
  <si>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</si>
  <si>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</si>
  <si>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</si>
  <si>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</si>
  <si>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</si>
  <si>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</si>
  <si>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</si>
  <si>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</si>
  <si>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</si>
  <si>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</si>
  <si>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</si>
  <si>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</si>
  <si>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</si>
  <si>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</si>
  <si>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</si>
  <si>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</si>
  <si>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</si>
  <si>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</si>
  <si>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</si>
  <si>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</si>
  <si>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</si>
  <si>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</si>
  <si>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</si>
  <si>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</si>
  <si>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</si>
  <si>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</si>
  <si>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</si>
  <si>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</si>
  <si>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</si>
  <si>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</si>
  <si>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</si>
  <si>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</si>
  <si>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</si>
  <si>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</si>
  <si>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</si>
  <si>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</si>
  <si>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</si>
  <si>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</si>
  <si>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</si>
  <si>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</si>
  <si>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</si>
  <si>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</si>
  <si>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</si>
  <si>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</si>
  <si>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</si>
  <si>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</si>
  <si>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</si>
  <si>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</si>
  <si>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</si>
  <si>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</si>
  <si>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</si>
  <si>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</si>
  <si>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</si>
  <si>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</si>
  <si>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</si>
  <si>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</si>
  <si>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</si>
  <si>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</si>
  <si>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</si>
  <si>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</si>
  <si>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</si>
  <si>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</si>
  <si>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</si>
  <si>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</si>
  <si>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</si>
  <si>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</si>
  <si>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</si>
  <si>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</si>
  <si>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</si>
  <si>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</si>
  <si>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</si>
  <si>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</si>
  <si>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</si>
  <si>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</si>
  <si>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</si>
  <si>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</si>
  <si>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</si>
  <si>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</si>
  <si>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</si>
  <si>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</si>
  <si>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</si>
  <si>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</si>
  <si>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</si>
  <si>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</si>
  <si>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</si>
  <si>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</si>
  <si>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</si>
  <si>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</si>
  <si>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</si>
  <si>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</si>
  <si>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</si>
  <si>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</si>
  <si>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</si>
  <si>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</si>
  <si>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</si>
  <si>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</si>
  <si>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</si>
  <si>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</si>
  <si>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</si>
  <si>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</si>
  <si>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</si>
  <si>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</si>
  <si>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</si>
  <si>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</si>
  <si>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</si>
  <si>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</si>
  <si>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</si>
  <si>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</si>
  <si>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</si>
  <si>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</si>
  <si>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</si>
  <si>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</si>
  <si>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</si>
  <si>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</si>
  <si>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</si>
  <si>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</si>
  <si>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</si>
  <si>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</si>
  <si>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</si>
  <si>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</si>
  <si>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</si>
  <si>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</si>
  <si>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</si>
  <si>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</si>
  <si>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</si>
  <si>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</si>
  <si>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</si>
  <si>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</si>
  <si>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</si>
  <si>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</si>
  <si>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</si>
  <si>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</si>
  <si>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</si>
  <si>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</si>
  <si>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</si>
  <si>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</si>
  <si>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</si>
  <si>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</si>
  <si>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</si>
  <si>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</si>
  <si>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</si>
  <si>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</si>
  <si>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</si>
  <si>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</si>
  <si>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</si>
  <si>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</si>
  <si>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</si>
  <si>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</si>
  <si>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</si>
  <si>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</si>
  <si>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</si>
  <si>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</si>
  <si>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</si>
  <si>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</si>
  <si>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</si>
  <si>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</si>
  <si>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</si>
  <si>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</si>
  <si>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</si>
  <si>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</si>
  <si>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</si>
  <si>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</si>
  <si>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</si>
  <si>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</si>
  <si>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</si>
  <si>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</si>
  <si>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</si>
  <si>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</si>
  <si>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</si>
  <si>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</si>
  <si>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</si>
  <si>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</si>
  <si>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</si>
  <si>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</si>
  <si>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</si>
  <si>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</si>
  <si>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</si>
  <si>
    <t>新建职工住宅部分</t>
  </si>
  <si>
    <t>用途</t>
    <phoneticPr fontId="140" type="noConversion"/>
  </si>
  <si>
    <t>地下仓储</t>
    <phoneticPr fontId="140" type="noConversion"/>
  </si>
  <si>
    <t>地下车库（非人防）</t>
    <phoneticPr fontId="140" type="noConversion"/>
  </si>
  <si>
    <t>地下车库（人防）</t>
    <phoneticPr fontId="140" type="noConversion"/>
  </si>
  <si>
    <t>结果表汇总表</t>
    <phoneticPr fontId="140" type="noConversion"/>
  </si>
  <si>
    <t>规划建筑面积（㎡）</t>
    <phoneticPr fontId="140" type="noConversion"/>
  </si>
  <si>
    <t>单价（元/㎡）</t>
    <phoneticPr fontId="140" type="noConversion"/>
  </si>
  <si>
    <t>总价（亿元）</t>
    <phoneticPr fontId="140" type="noConversion"/>
  </si>
  <si>
    <t>套数（个）</t>
    <phoneticPr fontId="140" type="noConversion"/>
  </si>
  <si>
    <t>单个面积（㎡）</t>
    <phoneticPr fontId="140" type="noConversion"/>
  </si>
  <si>
    <t>单个总价（万元）</t>
    <phoneticPr fontId="140" type="noConversion"/>
  </si>
  <si>
    <t>租金（元/月/个）</t>
    <phoneticPr fontId="140" type="noConversion"/>
  </si>
  <si>
    <t>净收益</t>
    <phoneticPr fontId="140" type="noConversion"/>
  </si>
  <si>
    <t>租期（年）</t>
    <phoneticPr fontId="140" type="noConversion"/>
  </si>
  <si>
    <t>包含管理费及相关财务费用</t>
    <phoneticPr fontId="140" type="noConversion"/>
  </si>
  <si>
    <t>扣除管理费及相关财务费用</t>
    <phoneticPr fontId="140" type="noConversion"/>
  </si>
  <si>
    <t>地下车库</t>
    <phoneticPr fontId="3" type="noConversion"/>
  </si>
  <si>
    <t>否</t>
  </si>
  <si>
    <t>土地面积（㎡）</t>
  </si>
  <si>
    <t>出让部分</t>
  </si>
  <si>
    <t>划拨部分</t>
  </si>
  <si>
    <t>人防</t>
  </si>
  <si>
    <t>机动车库</t>
    <phoneticPr fontId="140" type="noConversion"/>
  </si>
  <si>
    <t>非机动车库</t>
    <phoneticPr fontId="140" type="noConversion"/>
  </si>
  <si>
    <t>储藏室</t>
    <phoneticPr fontId="140" type="noConversion"/>
  </si>
  <si>
    <t>配电室</t>
    <phoneticPr fontId="140" type="noConversion"/>
  </si>
  <si>
    <t>人防工程</t>
  </si>
  <si>
    <t>人防通道及口部面积</t>
  </si>
  <si>
    <t>1#公租房</t>
    <phoneticPr fontId="140" type="noConversion"/>
  </si>
  <si>
    <t xml:space="preserve">2#定向安置住宅 </t>
    <phoneticPr fontId="140" type="noConversion"/>
  </si>
  <si>
    <t xml:space="preserve">3#定向安置住宅 </t>
    <phoneticPr fontId="140" type="noConversion"/>
  </si>
  <si>
    <t xml:space="preserve">4#定向安置住宅 </t>
    <phoneticPr fontId="140" type="noConversion"/>
  </si>
  <si>
    <t>-</t>
    <phoneticPr fontId="140" type="noConversion"/>
  </si>
  <si>
    <t>地下车库</t>
    <phoneticPr fontId="140" type="noConversion"/>
  </si>
  <si>
    <t>-</t>
    <phoneticPr fontId="140" type="noConversion"/>
  </si>
  <si>
    <t>测绘</t>
    <phoneticPr fontId="140" type="noConversion"/>
  </si>
  <si>
    <t>储藏室</t>
    <phoneticPr fontId="140" type="noConversion"/>
  </si>
  <si>
    <t xml:space="preserve">2#定向安置住宅 </t>
    <phoneticPr fontId="140" type="noConversion"/>
  </si>
  <si>
    <t>-</t>
    <phoneticPr fontId="140" type="noConversion"/>
  </si>
  <si>
    <t>地下车库</t>
    <phoneticPr fontId="140" type="noConversion"/>
  </si>
  <si>
    <t>出让部分</t>
    <phoneticPr fontId="140" type="noConversion"/>
  </si>
  <si>
    <t>序号</t>
    <phoneticPr fontId="140" type="noConversion"/>
  </si>
  <si>
    <t>部位</t>
    <phoneticPr fontId="140" type="noConversion"/>
  </si>
  <si>
    <t>面积</t>
    <phoneticPr fontId="140" type="noConversion"/>
  </si>
  <si>
    <t>公租房</t>
    <phoneticPr fontId="140" type="noConversion"/>
  </si>
  <si>
    <t>地上商业（配套）</t>
    <phoneticPr fontId="140" type="noConversion"/>
  </si>
  <si>
    <t>1#楼1层局部</t>
    <phoneticPr fontId="140" type="noConversion"/>
  </si>
  <si>
    <t>集体宿舍</t>
    <phoneticPr fontId="140" type="noConversion"/>
  </si>
  <si>
    <t>地上办公（公共服务设施）</t>
    <phoneticPr fontId="140" type="noConversion"/>
  </si>
  <si>
    <t>1#楼1层局部、1#楼2层局部</t>
    <phoneticPr fontId="140" type="noConversion"/>
  </si>
  <si>
    <t>社区卫生服务站</t>
    <phoneticPr fontId="140" type="noConversion"/>
  </si>
  <si>
    <t>1#、2#、3#、4#地下2至5层局部、地下车库2至4层局部</t>
    <phoneticPr fontId="140" type="noConversion"/>
  </si>
  <si>
    <t>文体活动站</t>
    <phoneticPr fontId="140" type="noConversion"/>
  </si>
  <si>
    <t>地下车库</t>
    <phoneticPr fontId="140" type="noConversion"/>
  </si>
  <si>
    <t>地下车库2至4层局部</t>
    <phoneticPr fontId="140" type="noConversion"/>
  </si>
  <si>
    <t>商业服务</t>
    <phoneticPr fontId="140" type="noConversion"/>
  </si>
  <si>
    <t>建筑面积合计</t>
    <phoneticPr fontId="140" type="noConversion"/>
  </si>
  <si>
    <t>社区服务中心</t>
    <phoneticPr fontId="140" type="noConversion"/>
  </si>
  <si>
    <t>土地面积</t>
    <phoneticPr fontId="140" type="noConversion"/>
  </si>
  <si>
    <t>社区居民委员会</t>
    <phoneticPr fontId="140" type="noConversion"/>
  </si>
  <si>
    <t>物业用房</t>
    <phoneticPr fontId="140" type="noConversion"/>
  </si>
  <si>
    <t>职工餐厅</t>
    <phoneticPr fontId="140" type="noConversion"/>
  </si>
  <si>
    <t>公共活动室</t>
    <phoneticPr fontId="140" type="noConversion"/>
  </si>
  <si>
    <t>设备用房</t>
    <phoneticPr fontId="140" type="noConversion"/>
  </si>
  <si>
    <t>消控室</t>
    <phoneticPr fontId="140" type="noConversion"/>
  </si>
  <si>
    <t>车库出入口</t>
    <phoneticPr fontId="140" type="noConversion"/>
  </si>
  <si>
    <t>有线电视光电转换间</t>
    <phoneticPr fontId="140" type="noConversion"/>
  </si>
  <si>
    <t>厨房</t>
    <phoneticPr fontId="140" type="noConversion"/>
  </si>
  <si>
    <t>储备室</t>
    <phoneticPr fontId="140" type="noConversion"/>
  </si>
  <si>
    <t>人防工程（平时为汽车库）</t>
    <phoneticPr fontId="140" type="noConversion"/>
  </si>
  <si>
    <t>机动车库</t>
    <phoneticPr fontId="140" type="noConversion"/>
  </si>
  <si>
    <t>非机动车库</t>
    <phoneticPr fontId="140" type="noConversion"/>
  </si>
  <si>
    <t>-</t>
    <phoneticPr fontId="140" type="noConversion"/>
  </si>
  <si>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</si>
  <si>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</si>
  <si>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</si>
  <si>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</si>
  <si>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</si>
  <si>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</si>
  <si>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</si>
  <si>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</si>
  <si>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</si>
  <si>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</si>
  <si>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</si>
  <si>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</si>
  <si>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丰台区东河沿村棚户区改造土地开发项目</t>
    </r>
    <r>
      <rPr>
        <sz val="10"/>
        <rFont val="Arial"/>
        <family val="2"/>
      </rPr>
      <t>FT00-0202-0007</t>
    </r>
    <r>
      <rPr>
        <sz val="10"/>
        <rFont val="宋体"/>
        <family val="3"/>
        <charset val="134"/>
      </rPr>
      <t>等地块</t>
    </r>
  </si>
  <si>
    <r>
      <rPr>
        <sz val="10"/>
        <rFont val="宋体"/>
        <family val="3"/>
        <charset val="134"/>
      </rPr>
      <t>Ⅵ级</t>
    </r>
  </si>
  <si>
    <r>
      <rPr>
        <sz val="10"/>
        <rFont val="宋体"/>
        <family val="3"/>
        <charset val="134"/>
      </rPr>
      <t>无</t>
    </r>
  </si>
  <si>
    <r>
      <t>丰台区万泉寺住宅小区一级开发项目</t>
    </r>
    <r>
      <rPr>
        <sz val="10"/>
        <rFont val="Arial"/>
        <family val="2"/>
      </rPr>
      <t>A</t>
    </r>
    <r>
      <rPr>
        <sz val="10"/>
        <rFont val="宋体"/>
        <family val="3"/>
        <charset val="134"/>
      </rPr>
      <t>地块</t>
    </r>
    <phoneticPr fontId="140" type="noConversion"/>
  </si>
  <si>
    <r>
      <rPr>
        <sz val="10"/>
        <rFont val="宋体"/>
        <family val="3"/>
        <charset val="134"/>
      </rPr>
      <t>Ⅲ</t>
    </r>
    <r>
      <rPr>
        <sz val="10"/>
        <rFont val="Arial"/>
        <family val="2"/>
      </rPr>
      <t>-05</t>
    </r>
  </si>
  <si>
    <r>
      <rPr>
        <sz val="10"/>
        <rFont val="宋体"/>
        <family val="3"/>
        <charset val="134"/>
      </rPr>
      <t>丰台区城乡一体化周庄子村旧村改造项目二期</t>
    </r>
    <r>
      <rPr>
        <sz val="10"/>
        <rFont val="Arial"/>
        <family val="2"/>
      </rPr>
      <t>ZZZ-06</t>
    </r>
    <r>
      <rPr>
        <sz val="10"/>
        <rFont val="宋体"/>
        <family val="3"/>
        <charset val="134"/>
      </rPr>
      <t>等地块</t>
    </r>
  </si>
  <si>
    <r>
      <rPr>
        <sz val="10"/>
        <rFont val="宋体"/>
        <family val="3"/>
        <charset val="134"/>
      </rPr>
      <t>Ⅲ</t>
    </r>
    <r>
      <rPr>
        <sz val="10"/>
        <rFont val="Arial"/>
        <family val="2"/>
      </rPr>
      <t>-04</t>
    </r>
  </si>
  <si>
    <r>
      <rPr>
        <sz val="10"/>
        <rFont val="宋体"/>
        <family val="3"/>
        <charset val="134"/>
      </rPr>
      <t>无偿还建</t>
    </r>
    <r>
      <rPr>
        <sz val="10"/>
        <rFont val="Arial"/>
        <family val="2"/>
      </rPr>
      <t>38900</t>
    </r>
    <r>
      <rPr>
        <sz val="10"/>
        <rFont val="宋体"/>
        <family val="3"/>
        <charset val="134"/>
      </rPr>
      <t>平方米，另还建89500产业用房，回购资金110004.8万元</t>
    </r>
  </si>
  <si>
    <r>
      <rPr>
        <sz val="10"/>
        <rFont val="宋体"/>
        <family val="3"/>
        <charset val="134"/>
      </rPr>
      <t>丰台区青龙湖国际文化会都核心区土地一级开发项目</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</si>
  <si>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</si>
  <si>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r>
      <rPr>
        <sz val="10"/>
        <rFont val="宋体"/>
        <family val="3"/>
        <charset val="134"/>
      </rPr>
      <t>丰台区大井三期土地一级开发项目</t>
    </r>
    <r>
      <rPr>
        <sz val="10"/>
        <rFont val="Arial"/>
        <family val="2"/>
      </rPr>
      <t>2505-0031</t>
    </r>
    <r>
      <rPr>
        <sz val="10"/>
        <rFont val="宋体"/>
        <family val="3"/>
        <charset val="134"/>
      </rPr>
      <t>地块、</t>
    </r>
    <r>
      <rPr>
        <sz val="10"/>
        <rFont val="Arial"/>
        <family val="2"/>
      </rPr>
      <t>2505-0030</t>
    </r>
    <r>
      <rPr>
        <sz val="10"/>
        <rFont val="宋体"/>
        <family val="3"/>
        <charset val="134"/>
      </rPr>
      <t>地块</t>
    </r>
  </si>
  <si>
    <t>IV级</t>
  </si>
  <si>
    <r>
      <rPr>
        <sz val="10"/>
        <rFont val="Arial"/>
        <family val="2"/>
      </rPr>
      <t>5.43</t>
    </r>
    <r>
      <rPr>
        <sz val="10"/>
        <rFont val="宋体"/>
        <family val="3"/>
        <charset val="134"/>
      </rPr>
      <t>万平方米产业用房，回购价格</t>
    </r>
    <r>
      <rPr>
        <sz val="10"/>
        <rFont val="Arial"/>
        <family val="2"/>
      </rPr>
      <t>9000</t>
    </r>
    <r>
      <rPr>
        <sz val="10"/>
        <rFont val="宋体"/>
        <family val="3"/>
        <charset val="134"/>
      </rPr>
      <t>元</t>
    </r>
    <r>
      <rPr>
        <sz val="10"/>
        <rFont val="Arial"/>
        <family val="2"/>
      </rPr>
      <t>/</t>
    </r>
    <r>
      <rPr>
        <sz val="10"/>
        <rFont val="宋体"/>
        <family val="3"/>
        <charset val="134"/>
      </rPr>
      <t>平方米</t>
    </r>
  </si>
  <si>
    <r>
      <rPr>
        <sz val="10"/>
        <rFont val="宋体"/>
        <family val="3"/>
        <charset val="134"/>
      </rPr>
      <t>丰台区张家坟棚户区改造土地开发项目</t>
    </r>
  </si>
  <si>
    <t>丰台区城乡一体化周庄子村旧村改造项目</t>
    <phoneticPr fontId="140" type="noConversion"/>
  </si>
  <si>
    <t>Ⅲ-04</t>
  </si>
  <si>
    <r>
      <rPr>
        <sz val="10"/>
        <rFont val="宋体"/>
        <family val="3"/>
        <charset val="134"/>
      </rPr>
      <t>朝阳区东坝东南一期土地储备项目</t>
    </r>
    <r>
      <rPr>
        <sz val="10"/>
        <rFont val="Arial"/>
        <family val="2"/>
      </rPr>
      <t>1104-611</t>
    </r>
    <r>
      <rPr>
        <sz val="10"/>
        <rFont val="宋体"/>
        <family val="3"/>
        <charset val="134"/>
      </rPr>
      <t>等地块</t>
    </r>
  </si>
  <si>
    <r>
      <rPr>
        <sz val="10"/>
        <rFont val="宋体"/>
        <family val="3"/>
        <charset val="134"/>
      </rPr>
      <t>Ⅴ级</t>
    </r>
  </si>
  <si>
    <r>
      <rPr>
        <sz val="10"/>
        <rFont val="宋体"/>
        <family val="3"/>
        <charset val="134"/>
      </rPr>
      <t>丰台区长辛店镇辛庄村（一期）项目</t>
    </r>
    <r>
      <rPr>
        <sz val="10"/>
        <rFont val="Arial"/>
        <family val="2"/>
      </rPr>
      <t>B</t>
    </r>
    <r>
      <rPr>
        <sz val="10"/>
        <rFont val="宋体"/>
        <family val="3"/>
        <charset val="134"/>
      </rPr>
      <t>地块</t>
    </r>
  </si>
  <si>
    <r>
      <rPr>
        <sz val="10"/>
        <rFont val="宋体"/>
        <family val="3"/>
        <charset val="134"/>
      </rPr>
      <t>东坝边缘集团剩余可开发区域土地一级开发项目南区</t>
    </r>
  </si>
  <si>
    <t>丰台区丽泽金融商务区南区</t>
  </si>
  <si>
    <t>丰台区长辛店镇辛庄村一期土地一级开发项目</t>
  </si>
  <si>
    <r>
      <rPr>
        <sz val="10"/>
        <rFont val="宋体"/>
        <family val="3"/>
        <charset val="134"/>
      </rPr>
      <t>无偿还建地上</t>
    </r>
    <r>
      <rPr>
        <sz val="10"/>
        <rFont val="Arial"/>
        <family val="2"/>
      </rPr>
      <t>110165</t>
    </r>
    <r>
      <rPr>
        <sz val="10"/>
        <rFont val="宋体"/>
        <family val="3"/>
        <charset val="134"/>
      </rPr>
      <t>平方米公建</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</si>
  <si>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</si>
  <si>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</si>
  <si>
    <r>
      <rPr>
        <sz val="10"/>
        <rFont val="宋体"/>
        <family val="3"/>
        <charset val="134"/>
      </rPr>
      <t>朝阳区崔各庄乡马泉营村香江西住宅土地一级开发项目</t>
    </r>
  </si>
  <si>
    <t>军产经济适用住房价格、建造成本价评估</t>
    <phoneticPr fontId="140" type="noConversion"/>
  </si>
  <si>
    <t>综合成本价</t>
    <phoneticPr fontId="140" type="noConversion"/>
  </si>
  <si>
    <t>估价结果</t>
    <phoneticPr fontId="140" type="noConversion"/>
  </si>
  <si>
    <t>征地和拆迁补偿费</t>
    <phoneticPr fontId="140" type="noConversion"/>
  </si>
  <si>
    <t>单价（元/㎡）</t>
  </si>
  <si>
    <t>总价（亿元）</t>
  </si>
  <si>
    <t>勘察设计和前期工程费</t>
    <phoneticPr fontId="140" type="noConversion"/>
  </si>
  <si>
    <t>建造成本价</t>
    <phoneticPr fontId="140" type="noConversion"/>
  </si>
  <si>
    <t>建筑安装工程费</t>
    <phoneticPr fontId="140" type="noConversion"/>
  </si>
  <si>
    <t>军产经济适用住房价格</t>
    <phoneticPr fontId="140" type="noConversion"/>
  </si>
  <si>
    <t>基础设施建设费</t>
    <phoneticPr fontId="140" type="noConversion"/>
  </si>
  <si>
    <t>管理费</t>
    <phoneticPr fontId="140" type="noConversion"/>
  </si>
  <si>
    <t>贷款利息</t>
    <phoneticPr fontId="140" type="noConversion"/>
  </si>
  <si>
    <t>税金</t>
    <phoneticPr fontId="140" type="noConversion"/>
  </si>
  <si>
    <t>土地购买价格</t>
    <phoneticPr fontId="140" type="noConversion"/>
  </si>
  <si>
    <t>地面价</t>
  </si>
  <si>
    <t>权重</t>
  </si>
  <si>
    <t>地面单价</t>
    <phoneticPr fontId="140" type="noConversion"/>
  </si>
  <si>
    <t>基准地价</t>
  </si>
  <si>
    <t>成本逼近法</t>
  </si>
  <si>
    <t>初算结果</t>
    <phoneticPr fontId="140" type="noConversion"/>
  </si>
  <si>
    <t>鲁能领寓家属院项目租金标准</t>
    <phoneticPr fontId="140" type="noConversion"/>
  </si>
  <si>
    <t>房屋用途</t>
    <phoneticPr fontId="140" type="noConversion"/>
  </si>
  <si>
    <t>楼栋</t>
    <phoneticPr fontId="140" type="noConversion"/>
  </si>
  <si>
    <t>居室</t>
    <phoneticPr fontId="140" type="noConversion"/>
  </si>
  <si>
    <t>市场租金水平</t>
    <phoneticPr fontId="140" type="noConversion"/>
  </si>
  <si>
    <r>
      <t>8</t>
    </r>
    <r>
      <rPr>
        <sz val="11"/>
        <color theme="1"/>
        <rFont val="宋体"/>
        <family val="3"/>
        <charset val="134"/>
        <scheme val="minor"/>
      </rPr>
      <t>#</t>
    </r>
    <phoneticPr fontId="140" type="noConversion"/>
  </si>
  <si>
    <t>一居室（公寓）</t>
    <phoneticPr fontId="140" type="noConversion"/>
  </si>
  <si>
    <r>
      <t>56元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</si>
  <si>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r>
      <t>9</t>
    </r>
    <r>
      <rPr>
        <sz val="11"/>
        <color theme="1"/>
        <rFont val="宋体"/>
        <family val="3"/>
        <charset val="134"/>
        <scheme val="minor"/>
      </rPr>
      <t>#、10#</t>
    </r>
    <phoneticPr fontId="140" type="noConversion"/>
  </si>
  <si>
    <t>三居室（成套住宅）</t>
    <phoneticPr fontId="140" type="noConversion"/>
  </si>
  <si>
    <r>
      <t>49元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月</t>
    </r>
    <phoneticPr fontId="140" type="noConversion"/>
  </si>
  <si>
    <t>商业</t>
    <phoneticPr fontId="140" type="noConversion"/>
  </si>
  <si>
    <t>3.4元/平方米/天</t>
    <phoneticPr fontId="140" type="noConversion"/>
  </si>
  <si>
    <t>亚林西保障房项目</t>
    <phoneticPr fontId="140" type="noConversion"/>
  </si>
  <si>
    <t>价值类型</t>
    <phoneticPr fontId="140" type="noConversion"/>
  </si>
  <si>
    <r>
      <t>2</t>
    </r>
    <r>
      <rPr>
        <sz val="11"/>
        <color theme="1"/>
        <rFont val="宋体"/>
        <family val="3"/>
        <charset val="134"/>
        <scheme val="minor"/>
      </rPr>
      <t>018年6月周边商品房价格水平</t>
    </r>
    <phoneticPr fontId="140" type="noConversion"/>
  </si>
  <si>
    <r>
      <rPr>
        <sz val="10"/>
        <rFont val="宋体"/>
        <family val="3"/>
        <charset val="134"/>
      </rPr>
      <t>丰台区小瓦窑重点村土地一级开发项目一期（</t>
    </r>
    <r>
      <rPr>
        <sz val="10"/>
        <rFont val="Arial"/>
        <family val="2"/>
      </rPr>
      <t>XWY-12</t>
    </r>
    <r>
      <rPr>
        <sz val="10"/>
        <rFont val="宋体"/>
        <family val="3"/>
        <charset val="134"/>
      </rPr>
      <t>、</t>
    </r>
    <r>
      <rPr>
        <sz val="10"/>
        <rFont val="Arial"/>
        <family val="2"/>
      </rPr>
      <t>16</t>
    </r>
    <r>
      <rPr>
        <sz val="10"/>
        <rFont val="宋体"/>
        <family val="3"/>
        <charset val="134"/>
      </rPr>
      <t>、</t>
    </r>
    <r>
      <rPr>
        <sz val="10"/>
        <rFont val="Arial"/>
        <family val="2"/>
      </rPr>
      <t>17</t>
    </r>
    <r>
      <rPr>
        <sz val="10"/>
        <rFont val="宋体"/>
        <family val="3"/>
        <charset val="134"/>
      </rPr>
      <t>地块）</t>
    </r>
    <phoneticPr fontId="140" type="noConversion"/>
  </si>
  <si>
    <r>
      <t>丰台区石榴庄重点村土地一级开发项目</t>
    </r>
    <r>
      <rPr>
        <sz val="10"/>
        <rFont val="Arial"/>
        <family val="2"/>
      </rPr>
      <t>L02</t>
    </r>
    <r>
      <rPr>
        <sz val="10"/>
        <rFont val="宋体"/>
        <family val="3"/>
        <charset val="134"/>
      </rPr>
      <t>地块</t>
    </r>
  </si>
  <si>
    <r>
      <t>1</t>
    </r>
    <r>
      <rPr>
        <sz val="10"/>
        <rFont val="宋体"/>
        <family val="3"/>
        <charset val="134"/>
      </rPr>
      <t>季度</t>
    </r>
  </si>
  <si>
    <r>
      <t>无偿还建地上</t>
    </r>
    <r>
      <rPr>
        <sz val="10"/>
        <rFont val="Arial"/>
        <family val="2"/>
      </rPr>
      <t>110995</t>
    </r>
    <r>
      <rPr>
        <sz val="10"/>
        <rFont val="宋体"/>
        <family val="3"/>
        <charset val="134"/>
      </rPr>
      <t>平方米公建，建设成本</t>
    </r>
    <r>
      <rPr>
        <sz val="10"/>
        <rFont val="Arial"/>
        <family val="2"/>
      </rPr>
      <t>5500</t>
    </r>
  </si>
  <si>
    <t>莱茵花园土地一级开发项目</t>
    <phoneticPr fontId="140" type="noConversion"/>
  </si>
  <si>
    <t>序号1</t>
    <phoneticPr fontId="140" type="noConversion"/>
  </si>
  <si>
    <t>年份</t>
  </si>
  <si>
    <t>期次</t>
  </si>
  <si>
    <t>序号2</t>
  </si>
  <si>
    <t>区县</t>
  </si>
  <si>
    <t>出让方式</t>
  </si>
  <si>
    <t>主要规划用途</t>
  </si>
  <si>
    <t>土地面积（公顷）</t>
  </si>
  <si>
    <t>建筑规模  （万平方米）</t>
  </si>
  <si>
    <t>土地开发成本   
（万元）</t>
  </si>
  <si>
    <t>土地开发成本构成情况</t>
  </si>
  <si>
    <t>备注</t>
  </si>
  <si>
    <t>北京丽泽金融商务区南区土地一级开发项目（F-22、F-23地块）</t>
  </si>
  <si>
    <t>北京丽泽开发建设有限公司</t>
  </si>
  <si>
    <t>F3其他类多功能用地</t>
  </si>
  <si>
    <t>市政建设程度为项目红线范围内城市支路的临时三通（通施工临时用水、通施工临时用电、通可供施工车辆通行的道路）和场地自然平整，以上工作由北京丽泽开发建设有限公司负责于项目入市前完成。</t>
  </si>
  <si>
    <t>本次审核地块已取得征地批复及征地结案,拆迁工作已完成。</t>
  </si>
  <si>
    <t>丰台区城乡一体化石榴庄村旧村改造项目L02地块（石榴庄三期）</t>
  </si>
  <si>
    <t>丰台区分中心</t>
  </si>
  <si>
    <t>F1住宅混合公建用地</t>
  </si>
  <si>
    <t>市政建设程度为项目红线范围内临时三通（通施工临时用水、通施工临时用电、通可供施工车辆通行的道路）和场地自然平整，以上工作由丰台区分中心负责于项目入市前完成。</t>
  </si>
  <si>
    <t>本次审核地块已取得征地批复、征地结案，完成全部拆迁。</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</si>
  <si>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</si>
  <si>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</si>
  <si>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</si>
  <si>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本次审核地块已取得征地批复、征地结案，已完成拆迁工作</t>
  </si>
  <si>
    <t>丰台区城乡一体化白盆窑村旧村改造项目（南地块）</t>
  </si>
  <si>
    <t>北京市花乡白盆窑房地产开发有限公司</t>
  </si>
  <si>
    <t xml:space="preserve">二类居住用地、托幼用地、中学用地、行政办公用地
</t>
  </si>
  <si>
    <t>市政建设程度为临时三通（通施工临时用水、通施工临时用电、通可供施工车辆通行的道路）和场地自然平整，以上工作由北京市花乡白盆窑房地产开发有限公司负责于项目入市前完成。</t>
  </si>
  <si>
    <t>丰台区地铁九号线郭公庄车辆段项目（三期）B地块</t>
  </si>
  <si>
    <t>市中心、丰台区分中心</t>
  </si>
  <si>
    <t xml:space="preserve">B4商业金融用地、R2二类居住用地、A33基础教育用地、A1行政办公用地
</t>
  </si>
  <si>
    <t>市政建设程度为项目红线范围内城市支路的五通（通路、通上水（自来水、中水）、通下水（雨水、污水）、通电(管沟、电缆)、通燃气）和场地自然平整，以上工作由北京市土地整理储备中心丰台区分中心负责于二级竣工验收前完成。</t>
  </si>
  <si>
    <t>丰台区</t>
  </si>
  <si>
    <t>公开出让、协议出让</t>
  </si>
  <si>
    <t>丰台科技园区东区三期土地一级开发项目1516-44、60、47、48、66地块</t>
  </si>
  <si>
    <t>北京丰台科技园建设发展有限公司</t>
  </si>
  <si>
    <t>商业金融服务业、高新技术产业</t>
  </si>
  <si>
    <t>市政建设程度为项目红线范围内城市支路的五通（通路、通上水（自来水、中水）、通下水（雨水、污水）、通电（仅管沟）、通燃气）和场地自然平整，以上工作由北京丰台科技园建设发展有限公司负责于二级竣工验收前完成。</t>
  </si>
  <si>
    <t>本次审核地块已取得征地批复和征地结案；拆迁工作已完成。</t>
  </si>
  <si>
    <t>丰台区城乡一体化西局村旧村改造项目三期
（XJ-01、02、04）地块</t>
  </si>
  <si>
    <t>北京市土地整理储备中心丰台区分中心</t>
  </si>
  <si>
    <t>二类居住及基础教育</t>
  </si>
  <si>
    <t>市政建设程度为项目红线范围内临时三通（通施工临时用水、通施工临时用电、通可供施工车辆通行的道路）和场地自然平整，以上工作由北京市土地整理储备中心丰台区分中心负责于项目入市前完成。</t>
  </si>
  <si>
    <t>本次审核地块已取得征地批复、征地结案，拆迁工作已完成</t>
  </si>
  <si>
    <t>丰台区城乡一体化大红门旧村改造项目DHM-07、DHM-09地块</t>
  </si>
  <si>
    <t>F2公建混合住宅用地、F3其他类多功能用地</t>
  </si>
  <si>
    <t>市政建设程度为临时三通（通施工临时用水、通施工临时用电、通可供施工车辆通行的道路）和场地基本平整，以上由北京鑫红海房地产开发有限公司负责于土地入市前完成。</t>
  </si>
  <si>
    <t>本次审核地块已取得征地结案；拆迁工作已完成。</t>
  </si>
  <si>
    <t>第五期</t>
  </si>
  <si>
    <t>亚林西居住区土地一级开发项目8号地公共租赁住房、0501-20地块110KV变电站项目</t>
  </si>
  <si>
    <t>北京市土地整理储备中心和北京市土地整理储备中心丰台区分中心</t>
  </si>
  <si>
    <t xml:space="preserve">二类居住、110KV变电站 </t>
  </si>
  <si>
    <t>市政建设程度为项目红线范围内城市支路的七通（通路、通上水（自来水、中水）、通下水（雨水、污水）、通电（仅含管沟）、通讯（电信）、通燃气、通热力）和场地基本平整，以上工作由北京京投新兴投资有限公司负责于二级竣工验收前完成。</t>
  </si>
  <si>
    <t>本次审核地块已取得征地结案；拆迁工作已基本完成</t>
  </si>
  <si>
    <t>第三期</t>
  </si>
  <si>
    <t>北京丽泽金融商务区南区土地一级开发项目D-01、02、07、08、16、17、18地块</t>
  </si>
  <si>
    <t>商业金融、F3多功能</t>
  </si>
  <si>
    <t xml:space="preserve">临时三通一平（通施工临时用水、通施工临时用电、通可供施工车辆通行的道路，场地基本平整），以上工作由北京丽泽开发建设有限公司负责于项目入市前完成。
</t>
  </si>
  <si>
    <t>本次审核地块已完成征地、拆迁工作。</t>
  </si>
  <si>
    <t>项目总一级开发成本</t>
    <phoneticPr fontId="140" type="noConversion"/>
  </si>
  <si>
    <t>征地拆迁总费用</t>
    <phoneticPr fontId="140" type="noConversion"/>
  </si>
  <si>
    <t>比例</t>
    <phoneticPr fontId="140" type="noConversion"/>
  </si>
  <si>
    <t>本次审定土地一级开发成本</t>
    <phoneticPr fontId="140" type="noConversion"/>
  </si>
  <si>
    <t>本次征地拆迁费用总价</t>
    <phoneticPr fontId="140" type="noConversion"/>
  </si>
  <si>
    <t>征地拆迁单价</t>
    <phoneticPr fontId="140" type="noConversion"/>
  </si>
  <si>
    <t xml:space="preserve">一、经丰台区政府审核，丰台区城乡一体化石榴庄村旧村改造项目土地开发总成本为594271.28万元，其中，前期费用1764万元，征地补偿及相关税费52082万元，拆迁补偿费及相关税费407351万元，市政基础设施建设费5873万元，其他费用1694万元，财务费用98545万元，管理费26185万元，审计费、委托入市交易费、地价评估费777万元。
二、扣除已收回成本374864.36万元，剩余地块土地开发成本219406.92万元。
三、本次提请会议审议的0517- L02地块土地开发成本为219406.92万元
四、依据北京市交通委员会会议纪要第338号《关于研究丰台区城乡一体化石榴庄村旧村改造项目公共交通用地有关问题的会议纪要》，本次提请审核的0517- L02地块的二级竞得人需代建10440平方米公交设施和300个社会停车位，无偿移交公联枢纽公司运营管理，最终以规划审定为准。
</t>
    <phoneticPr fontId="140" type="noConversion"/>
  </si>
  <si>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phoneticPr fontId="140" type="noConversion"/>
  </si>
  <si>
    <t>一、经丰台区政府审核， 丰台区城乡一体化白盆窑村旧村改造 项目土地开发成本为1469820.55万元，其中，前期费用2863.29万元，征地补偿及相关税费230854.94万元，拆迁补偿费及相关税费914979.60万元，市政基础设施建设费886.36万元，其他费用2638.11万元，财务费用188046.66万元，利润92177.78万元，两税两费36260.95万元，审计费、委托入市交易费、地价评估费1112.86万元。
二、扣除已收回成本681596.89万元，剩余地块土地开发成本788223.66万元。
三、本次审核的南地块土地开发成本为788223.66万元。其中BPY-L010地块土地开发成本426793.39万元，BPY-L011地块土地开发成本354227.76万元，BPY-L012地块土地开发成本1988.75万元，BPY-L013地块土地开发成本1263.13万元，BPY-L014地块土地开发成本3950.63万元。</t>
    <phoneticPr fontId="140" type="noConversion"/>
  </si>
  <si>
    <t>一、经丰台区区政府审核，丰区台地铁九号线郭公庄车辆段（一至五期）土地一级开发建设项目土地开发总成本为1103261.15万元，其中，前期费用1248.50万元，征地补偿及相关税费313181.37万元，拆迁补偿费及相关税费546549.78万元，市政基础设施建设费46126.00万元，其他费用2376.15万元，财务费用105081.38万元，管理费17088.81万元，审计费、委托入市交易费2155.64万元，地铁上盖建设费69453.53万元。
二、扣除已收回成本415108.32万元，剩余地块土地开发成本568152.83万元。
三、本次审核的郭公庄项目三期B地块土地开发成本为204343.96万元。其中，郭公庄三期（B地块）A33小学地块土地开发成本为905.30 万元，郭公庄三期（B地块）A51社区卫生服务中心地块土地开发成本为 381.18 万元，郭公庄三期（B地块）A1行政办公地块土地开发成本为 400.24 万元，郭公庄三期（B地块）R2二类居住地块土地开发成本为146420.27万元，郭公庄三期（B地块）B4综合性商业金融地块土地开发成本为55836.73 万元，郭公庄三期（B地块）A33幼儿园地块土地开发成本为400.24万元。 
四、本次提请审核的三期（B地块）B4综合性商业金融地块的二级竞得人需向北京郭公庄投资管理公司提供46750平方米地上商业用房，回购价格8952元/平方米，由丰台区政府统一组织、协调回购上述商业用房。
本次提请审核的三期（B地块）R2二类居住地块的二级竞得人需在地块东北角相对独立集中建设回迁安置房，总建筑规模1.415万平方米，共189套，建设标准参照本项目已建成三定三限安置房标准，由区政府按5000元/平方米的价格统一组织回购。其中， 一居室70套（建筑面积不小于46平方米/套，不大于47平方米/套），65平方米两居室25套（建筑面积不小于64平方米/套，不大于65平方米/套），85平方米两居室25套（建筑面积不小于84平方米/套，不大于85平方米/套），96平方米两居室69套（建筑面积不小于95平方米/套，不大于96平方米/套），65平方米两居室户型与85平方米两居室户型在同一单元及同一楼层内相邻。回迁安置工作由丰台区政府统一组织实施。</t>
    <phoneticPr fontId="140" type="noConversion"/>
  </si>
  <si>
    <t>一、经丰台区政府审核，丰台科技园东区三期项目土地开发总成本为1004805.28万元，其中，前期费用4072.98万元，征地补偿及相关税费203537.92万元，拆迁补偿及相关费用451960.94万元，市政基础设施建设费40276.04万元，其他费用4988.80万元，财务费用185978.39万元，利润56386.93万元，两税两费56269.10万元，审计费、委托入市交易费、地价评估费1334.19万元。
二、扣除已收回成本470629.43万元，剩余地块土地开发成本534175.85万元。
三、本次提请本次提请会议审议的土地开发成本为235032.61万元，其中1516-44地块土地开发成本为52623.65万元，1516-60地块土地开发成本为65006.18万元，1516-47地块土地开发成本为25792.48万元，1516-48地块土地开发成本为35092.22万元，1516-66地块土地开发成本为56518.08万元。</t>
    <phoneticPr fontId="140" type="noConversion"/>
  </si>
  <si>
    <t xml:space="preserve">    一、经丰台区政府审核，丰台区城乡一体化西局村旧村改造项目三期（XJ-01、02、04地块)项目土地开发成本为765167.19万元，其中，前期费用3203.16万元，征地补偿及相关税费71396.51万元，拆迁补偿费及相关税费501172.06万元，市政基础设施建设费2396.89万元，其他费用3998.76万元，财务费用166856.43万元，管理费15253.39万元，审计费、委托入市交易费、地价评估费889.99万元。
    二、扣除已收回成本438801.05万元，剩余地块土地开发成本326366.14万元。
    三、本次审核的XJ-01地块土地开发成本为309712.65万元；XJ-02地块分摊成本10028.50万元；XJ-04地块分摊成本6624.99万元。</t>
    <phoneticPr fontId="140"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</si>
  <si>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140" type="noConversion"/>
  </si>
  <si>
    <r>
      <t>一、</t>
    </r>
    <r>
      <rPr>
        <sz val="9"/>
        <rFont val="宋体"/>
        <family val="3"/>
        <charset val="134"/>
      </rPr>
      <t>经丰台区政府审核，亚林西居住区土地一级开发项目土地开发成本为1318636.34万元，其中，前期费用25890.04万元，征地补偿及相关税费159791.48万元，拆迁补偿及相关费用816764.21万元，市政基础设施建设费49935.05万元，其他费用1331.66万元，财务费用179049.89万元，利润/管理费81126.28万元，审计费3941.67万元、委托入市交易费624.1万元、地价评估费181.5万元，两税两费0万元。
二、扣除可收回成本489183.93万元，剩余地块土地开发成本829452.41万元。
三、本次审核的8号地公共租赁住房地块土地开发成本为7290.00万元、110KV变电站地块土地开发成本为501.18万元。
四、实物补偿：本次提请审核地块不涉及实物补偿。</t>
    </r>
    <phoneticPr fontId="140"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</si>
  <si>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140" type="noConversion"/>
  </si>
  <si>
    <t xml:space="preserve">    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二、本次审核的F-22、F-23地块土地开发成本为111557.76万元，其中F-22地块土地开发成本为78927.12万元，F-23地块土地开发成本为32630.64万元。
    三、本次提请审核地块的二级竞得人需建设约9700平方米公交枢纽用房,其中地上约2900平方米,地下约6800平方米，最终以规划主管部门审批为准，建成后无偿移交北京市公联公路联络线有限责任公司。</t>
    <phoneticPr fontId="140" type="noConversion"/>
  </si>
  <si>
    <t>500-1000米</t>
  </si>
  <si>
    <t>押一</t>
  </si>
  <si>
    <t>钢混</t>
  </si>
  <si>
    <t>非生产用房</t>
  </si>
  <si>
    <t>收益法</t>
  </si>
  <si>
    <t>收益法</t>
    <phoneticPr fontId="140" type="noConversion"/>
  </si>
  <si>
    <t>成本法</t>
    <phoneticPr fontId="140" type="noConversion"/>
  </si>
  <si>
    <t>评估值</t>
    <phoneticPr fontId="140" type="noConversion"/>
  </si>
  <si>
    <t>权重</t>
    <phoneticPr fontId="140" type="noConversion"/>
  </si>
  <si>
    <t>评估结果</t>
    <phoneticPr fontId="140" type="noConversion"/>
  </si>
  <si>
    <t>按经济适用住房管理的干部住宅市场评估价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</si>
</sst>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
      <b/>
      <sz val="14"/>
      <color theme="0"/>
      <name val="宋体"/>
      <family val="3"/>
      <charset val="134"/>
      <scheme val="minor"/>
    </font>
    <font>
      <b/>
      <sz val="8"/>
      <color theme="0"/>
      <name val="Arial Unicode MS"/>
      <family val="2"/>
      <charset val="134"/>
    </font>
    <font>
      <sz val="8"/>
      <color theme="1"/>
      <name val="宋体"/>
      <family val="3"/>
      <charset val="134"/>
      <scheme val="minor"/>
    </font>
    <font>
      <sz val="8"/>
      <color theme="1"/>
      <name val="Arial Unicode MS"/>
      <family val="2"/>
      <charset val="134"/>
    </font>
    <font>
      <sz val="8"/>
      <name val="Arial Unicode MS"/>
      <family val="2"/>
      <charset val="134"/>
    </font>
    <font>
      <sz val="8"/>
      <color rgb="FFFF0000"/>
      <name val="Arial Unicode MS"/>
      <family val="2"/>
      <charset val="134"/>
    </font>
    <font>
      <b/>
      <sz val="11"/>
      <color theme="0"/>
      <name val="宋体"/>
      <family val="3"/>
      <charset val="134"/>
      <scheme val="minor"/>
    </font>
    <font>
      <sz val="9"/>
      <color theme="1"/>
      <name val="宋体"/>
      <family val="3"/>
      <charset val="134"/>
      <scheme val="minor"/>
    </font>
    <font>
      <sz val="9"/>
      <color rgb="FFFF0000"/>
      <name val="宋体"/>
      <family val="3"/>
      <charset val="134"/>
      <scheme val="minor"/>
    </font>
    <font>
      <sz val="9"/>
      <color rgb="FFFF0000"/>
      <name val="宋体"/>
      <family val="3"/>
      <charset val="134"/>
    </font>
  </fonts>
  <fills count="3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79995117038483843"/>
        <bgColor indexed="64"/>
      </patternFill>
    </fill>
    <fill>
      <patternFill patternType="solid">
        <fgColor theme="7" tint="0.79998168889431442"/>
        <bgColor indexed="64"/>
      </patternFill>
    </fill>
    <fill>
      <patternFill patternType="solid">
        <fgColor theme="3" tint="-0.249977111117893"/>
        <bgColor indexed="64"/>
      </patternFill>
    </fill>
    <fill>
      <patternFill patternType="solid">
        <fgColor theme="3"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9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0" fontId="98" fillId="0" borderId="1" xfId="0" applyFont="1" applyFill="1" applyBorder="1" applyAlignment="1">
      <alignment horizontal="center" vertical="center" wrapText="1"/>
    </xf>
    <xf numFmtId="0" fontId="98" fillId="0" borderId="1" xfId="0" applyFont="1" applyBorder="1" applyAlignment="1">
      <alignment horizontal="center" vertical="center" wrapText="1"/>
    </xf>
    <xf numFmtId="0" fontId="98" fillId="14" borderId="1" xfId="0" applyFont="1" applyFill="1" applyBorder="1" applyAlignment="1">
      <alignment horizontal="center" vertical="center" wrapText="1"/>
    </xf>
    <xf numFmtId="0" fontId="0" fillId="14" borderId="1" xfId="0" applyFill="1" applyBorder="1" applyAlignment="1">
      <alignment horizontal="center" vertical="center"/>
    </xf>
    <xf numFmtId="0" fontId="98" fillId="14" borderId="1" xfId="0" applyFont="1" applyFill="1" applyBorder="1" applyAlignment="1">
      <alignment horizontal="center" vertical="center"/>
    </xf>
    <xf numFmtId="0" fontId="112" fillId="0" borderId="1" xfId="0" applyFont="1" applyBorder="1" applyAlignment="1">
      <alignment horizontal="center" vertical="center"/>
    </xf>
    <xf numFmtId="0" fontId="112" fillId="7" borderId="1" xfId="0" applyFont="1" applyFill="1" applyBorder="1" applyAlignment="1">
      <alignment horizontal="center" vertical="center"/>
    </xf>
    <xf numFmtId="0" fontId="79" fillId="0" borderId="1" xfId="0" applyFont="1" applyBorder="1" applyAlignment="1" applyProtection="1">
      <alignment vertical="center" wrapText="1"/>
      <protection locked="0"/>
    </xf>
    <xf numFmtId="179" fontId="289" fillId="20" borderId="1" xfId="0" applyNumberFormat="1" applyFont="1" applyFill="1" applyBorder="1" applyAlignment="1">
      <alignment horizontal="center" vertical="center" wrapText="1"/>
    </xf>
    <xf numFmtId="0" fontId="290" fillId="0" borderId="0" xfId="0" applyFont="1">
      <alignment vertical="center"/>
    </xf>
    <xf numFmtId="179" fontId="290" fillId="0" borderId="0" xfId="0" applyNumberFormat="1" applyFont="1">
      <alignment vertical="center"/>
    </xf>
    <xf numFmtId="179" fontId="289" fillId="8" borderId="1" xfId="0" applyNumberFormat="1" applyFont="1" applyFill="1" applyBorder="1" applyAlignment="1">
      <alignment horizontal="center" vertical="center" wrapText="1"/>
    </xf>
    <xf numFmtId="179" fontId="291" fillId="14" borderId="1" xfId="0" applyNumberFormat="1" applyFont="1" applyFill="1" applyBorder="1" applyAlignment="1">
      <alignment horizontal="center" vertical="center" wrapText="1"/>
    </xf>
    <xf numFmtId="179" fontId="292" fillId="33" borderId="1" xfId="0" applyNumberFormat="1" applyFont="1" applyFill="1" applyBorder="1" applyAlignment="1">
      <alignment horizontal="center" vertical="center" wrapText="1"/>
    </xf>
    <xf numFmtId="179" fontId="292" fillId="0" borderId="1" xfId="0" applyNumberFormat="1" applyFont="1" applyBorder="1" applyAlignment="1">
      <alignment horizontal="center" vertical="center" wrapText="1"/>
    </xf>
    <xf numFmtId="179" fontId="291" fillId="0" borderId="1" xfId="0" applyNumberFormat="1" applyFont="1" applyBorder="1" applyAlignment="1">
      <alignment horizontal="center" vertical="center" wrapText="1"/>
    </xf>
    <xf numFmtId="179" fontId="291" fillId="33" borderId="1" xfId="0" applyNumberFormat="1" applyFont="1" applyFill="1" applyBorder="1" applyAlignment="1">
      <alignment horizontal="center" vertical="center" wrapText="1"/>
    </xf>
    <xf numFmtId="179" fontId="293" fillId="0" borderId="1" xfId="0" applyNumberFormat="1" applyFont="1" applyBorder="1" applyAlignment="1">
      <alignment horizontal="center" vertical="center" wrapText="1"/>
    </xf>
    <xf numFmtId="0" fontId="111" fillId="0" borderId="0" xfId="0" applyFont="1">
      <alignment vertical="center"/>
    </xf>
    <xf numFmtId="0" fontId="111" fillId="0" borderId="0" xfId="0" applyFont="1" applyAlignment="1">
      <alignment horizontal="center" vertical="center" wrapText="1"/>
    </xf>
    <xf numFmtId="0" fontId="111" fillId="34" borderId="0" xfId="0" applyFont="1" applyFill="1" applyAlignment="1">
      <alignment horizontal="center" vertical="center" wrapText="1"/>
    </xf>
    <xf numFmtId="0" fontId="111" fillId="23" borderId="0" xfId="0" applyFont="1" applyFill="1" applyAlignment="1">
      <alignment horizontal="center" vertical="center" wrapText="1"/>
    </xf>
    <xf numFmtId="0" fontId="111" fillId="34" borderId="0" xfId="0" applyFont="1" applyFill="1">
      <alignment vertical="center"/>
    </xf>
    <xf numFmtId="0" fontId="290" fillId="34" borderId="0" xfId="0" applyFont="1" applyFill="1">
      <alignment vertical="center"/>
    </xf>
    <xf numFmtId="0" fontId="55"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103" fillId="0" borderId="0" xfId="0" applyFont="1" applyFill="1">
      <alignment vertical="center"/>
    </xf>
    <xf numFmtId="0" fontId="19" fillId="0" borderId="1" xfId="0" applyFont="1" applyFill="1" applyBorder="1" applyAlignment="1">
      <alignment horizontal="left" vertical="center"/>
    </xf>
    <xf numFmtId="179" fontId="55" fillId="0" borderId="1" xfId="0" applyNumberFormat="1" applyFont="1" applyFill="1" applyBorder="1" applyAlignment="1">
      <alignment horizontal="center" vertical="center" wrapText="1"/>
    </xf>
    <xf numFmtId="179" fontId="55" fillId="0" borderId="1" xfId="0" applyNumberFormat="1" applyFont="1" applyFill="1" applyBorder="1" applyAlignment="1">
      <alignment horizontal="center" vertical="center"/>
    </xf>
    <xf numFmtId="0" fontId="55"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55" fillId="5" borderId="1" xfId="0" applyFont="1" applyFill="1" applyBorder="1" applyAlignment="1">
      <alignment horizontal="center" vertical="center" wrapText="1"/>
    </xf>
    <xf numFmtId="179" fontId="55" fillId="5"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55" fillId="0" borderId="1" xfId="0" applyFont="1" applyFill="1" applyBorder="1" applyAlignment="1">
      <alignment horizontal="left" vertical="center" wrapText="1"/>
    </xf>
    <xf numFmtId="0" fontId="103" fillId="0" borderId="1" xfId="0" applyFont="1" applyFill="1" applyBorder="1" applyAlignment="1">
      <alignment horizontal="center" vertical="center"/>
    </xf>
    <xf numFmtId="0" fontId="19" fillId="5" borderId="1" xfId="0" applyFont="1" applyFill="1" applyBorder="1" applyAlignment="1">
      <alignment horizontal="left" vertical="center" wrapText="1"/>
    </xf>
    <xf numFmtId="0" fontId="55" fillId="7" borderId="1" xfId="0" applyFont="1" applyFill="1" applyBorder="1" applyAlignment="1">
      <alignment horizontal="center" vertical="center"/>
    </xf>
    <xf numFmtId="0" fontId="55" fillId="7" borderId="1" xfId="0" applyFont="1" applyFill="1" applyBorder="1" applyAlignment="1">
      <alignment horizontal="center" vertical="center" wrapText="1"/>
    </xf>
    <xf numFmtId="0" fontId="19" fillId="7" borderId="1" xfId="0" applyFont="1" applyFill="1" applyBorder="1" applyAlignment="1">
      <alignment horizontal="left" vertical="center" wrapText="1"/>
    </xf>
    <xf numFmtId="179" fontId="55" fillId="7" borderId="1" xfId="0" applyNumberFormat="1" applyFont="1" applyFill="1" applyBorder="1" applyAlignment="1">
      <alignment horizontal="center" vertical="center"/>
    </xf>
    <xf numFmtId="0" fontId="55" fillId="7" borderId="1" xfId="0" applyFont="1" applyFill="1" applyBorder="1" applyAlignment="1">
      <alignment horizontal="left" vertical="center" wrapText="1"/>
    </xf>
    <xf numFmtId="0" fontId="55" fillId="31" borderId="1" xfId="0" applyFont="1" applyFill="1" applyBorder="1" applyAlignment="1">
      <alignment horizontal="center" vertical="center"/>
    </xf>
    <xf numFmtId="0" fontId="55" fillId="31" borderId="1" xfId="0" applyFont="1" applyFill="1" applyBorder="1" applyAlignment="1">
      <alignment horizontal="left" vertical="center" wrapText="1"/>
    </xf>
    <xf numFmtId="179" fontId="55" fillId="31" borderId="1" xfId="0" applyNumberFormat="1" applyFont="1" applyFill="1" applyBorder="1" applyAlignment="1">
      <alignment horizontal="center" vertical="center"/>
    </xf>
    <xf numFmtId="0" fontId="55" fillId="31" borderId="1" xfId="0" applyFont="1" applyFill="1" applyBorder="1" applyAlignment="1">
      <alignment horizontal="center" vertical="center" wrapText="1"/>
    </xf>
    <xf numFmtId="0" fontId="55" fillId="0" borderId="1" xfId="0" applyFont="1" applyFill="1" applyBorder="1" applyAlignment="1">
      <alignment vertical="center"/>
    </xf>
    <xf numFmtId="0" fontId="103" fillId="0" borderId="1" xfId="0" applyFont="1" applyFill="1" applyBorder="1">
      <alignment vertical="center"/>
    </xf>
    <xf numFmtId="179" fontId="53" fillId="0" borderId="1" xfId="0" applyNumberFormat="1" applyFont="1" applyFill="1" applyBorder="1" applyAlignment="1">
      <alignment horizontal="center" vertical="center"/>
    </xf>
    <xf numFmtId="0" fontId="98" fillId="0" borderId="0" xfId="0" applyFont="1">
      <alignment vertical="center"/>
    </xf>
    <xf numFmtId="0" fontId="19" fillId="31" borderId="1" xfId="0" applyFont="1" applyFill="1" applyBorder="1" applyAlignment="1">
      <alignment horizontal="left" vertical="center" wrapText="1"/>
    </xf>
    <xf numFmtId="0" fontId="19" fillId="31" borderId="1" xfId="0" applyFont="1" applyFill="1" applyBorder="1" applyAlignment="1">
      <alignment horizontal="center" vertical="center"/>
    </xf>
    <xf numFmtId="0" fontId="19" fillId="31" borderId="1" xfId="0" applyFont="1" applyFill="1" applyBorder="1" applyAlignment="1">
      <alignment horizontal="center" vertical="center" wrapText="1"/>
    </xf>
    <xf numFmtId="0" fontId="55" fillId="31" borderId="0" xfId="0" applyFont="1" applyFill="1">
      <alignment vertical="center"/>
    </xf>
    <xf numFmtId="0" fontId="55" fillId="7" borderId="0" xfId="0" applyFont="1" applyFill="1">
      <alignment vertical="center"/>
    </xf>
    <xf numFmtId="0" fontId="55" fillId="31" borderId="1" xfId="0" applyFont="1" applyFill="1" applyBorder="1">
      <alignment vertical="center"/>
    </xf>
    <xf numFmtId="0" fontId="55" fillId="7" borderId="1" xfId="0" applyFont="1" applyFill="1" applyBorder="1">
      <alignment vertical="center"/>
    </xf>
    <xf numFmtId="0" fontId="19" fillId="0" borderId="1" xfId="0" applyFont="1" applyFill="1" applyBorder="1" applyAlignment="1">
      <alignment horizontal="left" vertical="center" wrapText="1"/>
    </xf>
    <xf numFmtId="0" fontId="265" fillId="0" borderId="1" xfId="0" applyFont="1" applyFill="1" applyBorder="1" applyAlignment="1">
      <alignment horizontal="center" vertical="center" wrapText="1"/>
    </xf>
    <xf numFmtId="186" fontId="265" fillId="0" borderId="1" xfId="0" applyNumberFormat="1" applyFont="1" applyFill="1" applyBorder="1" applyAlignment="1">
      <alignment horizontal="center" vertical="center" wrapText="1"/>
    </xf>
    <xf numFmtId="0" fontId="295" fillId="0" borderId="0" xfId="0" applyFont="1" applyAlignment="1">
      <alignment vertical="center" wrapText="1"/>
    </xf>
    <xf numFmtId="0" fontId="295" fillId="0" borderId="0" xfId="0" applyFont="1">
      <alignment vertical="center"/>
    </xf>
    <xf numFmtId="0" fontId="295" fillId="0" borderId="1" xfId="0" applyFont="1" applyBorder="1" applyAlignment="1">
      <alignment horizontal="center" vertical="center"/>
    </xf>
    <xf numFmtId="0" fontId="140" fillId="0" borderId="1" xfId="0" applyNumberFormat="1" applyFont="1" applyFill="1" applyBorder="1" applyAlignment="1">
      <alignment horizontal="center" vertical="center" wrapText="1"/>
    </xf>
    <xf numFmtId="186" fontId="140" fillId="0" borderId="1" xfId="0" applyNumberFormat="1" applyFont="1" applyFill="1" applyBorder="1" applyAlignment="1">
      <alignment horizontal="center" vertical="center" wrapText="1"/>
    </xf>
    <xf numFmtId="18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left" vertical="center" wrapText="1"/>
    </xf>
    <xf numFmtId="176" fontId="140" fillId="0" borderId="1" xfId="0" applyNumberFormat="1" applyFont="1" applyFill="1" applyBorder="1" applyAlignment="1">
      <alignment horizontal="center" vertical="center" wrapText="1"/>
    </xf>
    <xf numFmtId="176" fontId="140" fillId="0" borderId="0" xfId="0" applyNumberFormat="1" applyFont="1" applyFill="1" applyBorder="1" applyAlignment="1">
      <alignment horizontal="center" vertical="center" wrapText="1"/>
    </xf>
    <xf numFmtId="176" fontId="140" fillId="0" borderId="1" xfId="0" applyNumberFormat="1" applyFont="1" applyFill="1" applyBorder="1" applyAlignment="1">
      <alignment horizontal="left" vertical="center" wrapText="1"/>
    </xf>
    <xf numFmtId="176" fontId="140" fillId="0" borderId="2" xfId="0" applyNumberFormat="1" applyFont="1" applyFill="1" applyBorder="1" applyAlignment="1">
      <alignment horizontal="center" vertical="center" wrapText="1"/>
    </xf>
    <xf numFmtId="0" fontId="140" fillId="0" borderId="1" xfId="0" applyFont="1" applyFill="1" applyBorder="1" applyAlignment="1">
      <alignment horizontal="center" vertical="center"/>
    </xf>
    <xf numFmtId="186" fontId="140" fillId="0" borderId="1" xfId="0" applyNumberFormat="1" applyFont="1" applyFill="1" applyBorder="1" applyAlignment="1">
      <alignment horizontal="center" vertical="center"/>
    </xf>
    <xf numFmtId="0"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center" vertical="center" wrapText="1"/>
    </xf>
    <xf numFmtId="176" fontId="140" fillId="0" borderId="1" xfId="0" applyNumberFormat="1" applyFont="1" applyFill="1" applyBorder="1" applyAlignment="1" applyProtection="1">
      <alignment horizontal="left" vertical="center" wrapText="1"/>
    </xf>
    <xf numFmtId="0" fontId="296" fillId="0" borderId="1" xfId="0" applyFont="1" applyBorder="1" applyAlignment="1">
      <alignment horizontal="center" vertical="center"/>
    </xf>
    <xf numFmtId="0" fontId="296" fillId="0" borderId="1" xfId="0" applyFont="1" applyFill="1" applyBorder="1" applyAlignment="1">
      <alignment horizontal="center" vertical="center"/>
    </xf>
    <xf numFmtId="186" fontId="296" fillId="0" borderId="1" xfId="0" applyNumberFormat="1" applyFont="1" applyFill="1" applyBorder="1" applyAlignment="1">
      <alignment horizontal="center" vertical="center"/>
    </xf>
    <xf numFmtId="0" fontId="296"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center" vertical="center" wrapText="1"/>
    </xf>
    <xf numFmtId="176" fontId="297" fillId="0" borderId="1" xfId="0" applyNumberFormat="1" applyFont="1" applyFill="1" applyBorder="1" applyAlignment="1" applyProtection="1">
      <alignment horizontal="left" vertical="center" wrapText="1"/>
    </xf>
    <xf numFmtId="0" fontId="296" fillId="0" borderId="0" xfId="0" applyFont="1">
      <alignment vertical="center"/>
    </xf>
    <xf numFmtId="0" fontId="296" fillId="0" borderId="1" xfId="0" applyNumberFormat="1" applyFont="1" applyFill="1" applyBorder="1" applyAlignment="1">
      <alignment horizontal="center" vertical="center" wrapText="1"/>
    </xf>
    <xf numFmtId="186" fontId="296" fillId="0" borderId="1" xfId="0" applyNumberFormat="1" applyFont="1" applyFill="1" applyBorder="1" applyAlignment="1">
      <alignment horizontal="center" vertical="center" wrapText="1"/>
    </xf>
    <xf numFmtId="18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center" vertical="center" wrapText="1"/>
    </xf>
    <xf numFmtId="176" fontId="297" fillId="0" borderId="1" xfId="0" applyNumberFormat="1" applyFont="1" applyFill="1" applyBorder="1" applyAlignment="1">
      <alignment horizontal="left" vertical="center" wrapText="1"/>
    </xf>
    <xf numFmtId="9" fontId="0" fillId="0" borderId="0" xfId="0" applyNumberFormat="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120" fillId="0" borderId="63"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176"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80" xfId="0" applyFont="1" applyBorder="1" applyAlignment="1">
      <alignment horizontal="center" vertical="center" wrapText="1"/>
    </xf>
    <xf numFmtId="0" fontId="120" fillId="0" borderId="81" xfId="0" applyFont="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6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65" xfId="0" applyFont="1" applyBorder="1" applyAlignment="1">
      <alignment horizontal="center" vertical="center" wrapText="1"/>
    </xf>
    <xf numFmtId="0" fontId="120" fillId="0" borderId="170"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0" borderId="64" xfId="0" applyFont="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179" fontId="289" fillId="20" borderId="1" xfId="0" applyNumberFormat="1" applyFont="1" applyFill="1" applyBorder="1" applyAlignment="1">
      <alignment horizontal="center" vertical="center" wrapText="1"/>
    </xf>
    <xf numFmtId="179" fontId="289" fillId="20" borderId="5" xfId="0" applyNumberFormat="1" applyFont="1" applyFill="1" applyBorder="1" applyAlignment="1">
      <alignment horizontal="center" vertical="center" wrapText="1"/>
    </xf>
    <xf numFmtId="179" fontId="289" fillId="20" borderId="3" xfId="0" applyNumberFormat="1" applyFont="1" applyFill="1" applyBorder="1" applyAlignment="1">
      <alignment horizontal="center" vertical="center" wrapText="1"/>
    </xf>
    <xf numFmtId="0" fontId="111" fillId="0" borderId="0" xfId="0" applyFont="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0" fontId="99" fillId="36" borderId="1" xfId="0" applyFont="1" applyFill="1" applyBorder="1" applyAlignment="1">
      <alignment horizontal="center" vertical="center"/>
    </xf>
    <xf numFmtId="0" fontId="112" fillId="14"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294" fillId="35" borderId="1" xfId="0" applyFont="1" applyFill="1" applyBorder="1" applyAlignment="1">
      <alignment horizontal="center" vertical="center"/>
    </xf>
    <xf numFmtId="0" fontId="98" fillId="0" borderId="1" xfId="0" applyFont="1" applyBorder="1" applyAlignment="1">
      <alignment horizontal="center" vertical="center"/>
    </xf>
    <xf numFmtId="0" fontId="0" fillId="0" borderId="0" xfId="0" applyAlignment="1">
      <alignment horizontal="center" vertical="center"/>
    </xf>
    <xf numFmtId="0" fontId="98" fillId="0" borderId="0" xfId="0" applyFont="1" applyAlignment="1">
      <alignment horizontal="center" vertical="center"/>
    </xf>
    <xf numFmtId="0" fontId="98" fillId="0" borderId="1" xfId="0" applyFont="1" applyFill="1" applyBorder="1" applyAlignment="1">
      <alignment horizontal="center" vertical="center"/>
    </xf>
    <xf numFmtId="0" fontId="0" fillId="0" borderId="1" xfId="0" applyBorder="1" applyAlignment="1">
      <alignment horizontal="center" vertical="center"/>
    </xf>
    <xf numFmtId="0" fontId="288" fillId="20" borderId="0" xfId="0" applyFont="1"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2" fillId="5" borderId="1" xfId="0" applyFont="1" applyFill="1" applyBorder="1" applyAlignment="1">
      <alignment horizontal="center" vertical="center"/>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76" fillId="0" borderId="60" xfId="19" applyFont="1" applyFill="1" applyBorder="1" applyAlignment="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cellStyle name="常规" xfId="0" builtinId="0"/>
    <cellStyle name="常规 10" xfId="18"/>
    <cellStyle name="常规 16" xfId="10"/>
    <cellStyle name="常规 2" xfId="1"/>
    <cellStyle name="常规 2 2" xfId="8"/>
    <cellStyle name="常规 2 2 2" xfId="19"/>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 xmlns:a16="http://schemas.microsoft.com/office/drawing/2014/main"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 xmlns:a16="http://schemas.microsoft.com/office/drawing/2014/main"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514350</xdr:colOff>
      <xdr:row>0</xdr:row>
      <xdr:rowOff>152400</xdr:rowOff>
    </xdr:from>
    <xdr:to>
      <xdr:col>16</xdr:col>
      <xdr:colOff>599550</xdr:colOff>
      <xdr:row>25</xdr:row>
      <xdr:rowOff>151783</xdr:rowOff>
    </xdr:to>
    <xdr:pic>
      <xdr:nvPicPr>
        <xdr:cNvPr id="2" name="图片 1">
          <a:extLst>
            <a:ext uri="{FF2B5EF4-FFF2-40B4-BE49-F238E27FC236}">
              <a16:creationId xmlns="" xmlns:a16="http://schemas.microsoft.com/office/drawing/2014/main" id="{BF301BE7-F6DF-419B-871A-DCCF7D032AB3}"/>
            </a:ext>
          </a:extLst>
        </xdr:cNvPr>
        <xdr:cNvPicPr>
          <a:picLocks noChangeAspect="1"/>
        </xdr:cNvPicPr>
      </xdr:nvPicPr>
      <xdr:blipFill>
        <a:blip xmlns:r="http://schemas.openxmlformats.org/officeDocument/2006/relationships" r:embed="rId1"/>
        <a:stretch>
          <a:fillRect/>
        </a:stretch>
      </xdr:blipFill>
      <xdr:spPr>
        <a:xfrm>
          <a:off x="9734550" y="152400"/>
          <a:ext cx="4200000" cy="4590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28&#27979;&#31639;-&#20122;&#26519;&#35199;&#23458;&#35266;&#25104;&#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6446;&#35799;&#38678;\&#35799;&#38678;wuli&#25253;&#21578;&#20204;\2022&#24180;\&#25104;&#26412;\2022-1-0105&#8220;826&#24037;&#31243;&#8221;&#26032;&#24314;&#32844;&#24037;&#20303;&#23429;&#20215;&#26684;&#35780;&#20272;\F02\0322&#19968;&#23457;&#35843;&#27979;&#31639;-826&#24037;&#31243;0315&#36710;&#24211;&#21450;&#24211;&#25151;&#35843;&#31199;&#37329;&#27700;&#24179;&#35843;&#26435;&#373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土地级别"/>
      <sheetName val="资料"/>
      <sheetName val="定义"/>
      <sheetName val="常用公式"/>
      <sheetName val="项目基本情况"/>
      <sheetName val="数据-基础表"/>
      <sheetName val="面积整理"/>
      <sheetName val="数据-汇总表"/>
      <sheetName val="数据-取费表"/>
      <sheetName val="估价对象房地状况"/>
      <sheetName val="经济适用房"/>
      <sheetName val="结果"/>
      <sheetName val="结果表"/>
      <sheetName val="比较法-住宅"/>
      <sheetName val="指数"/>
      <sheetName val="成交案例"/>
      <sheetName val="成本法"/>
      <sheetName val="成本法 (元)"/>
      <sheetName val="假设开发法"/>
      <sheetName val="基准地价修正"/>
      <sheetName val="收益法"/>
      <sheetName val="收益法 (元)"/>
      <sheetName val="收益法-酒店模型"/>
      <sheetName val="收益法（汇总）"/>
      <sheetName val="比较法-商业"/>
      <sheetName val="比较法-办公"/>
      <sheetName val="比较法-工业"/>
      <sheetName val="比较法-车位"/>
      <sheetName val="比较法-仓储"/>
      <sheetName val="成本逼近法"/>
      <sheetName val="土地比较法-住宅、综合"/>
      <sheetName val="土地比较法-工业"/>
      <sheetName val="典型户型修正"/>
      <sheetName val="基准地价（汇总）"/>
      <sheetName val="一级开发成本案例"/>
      <sheetName val="修正"/>
      <sheetName val="容积率修正"/>
      <sheetName val="成本法（废）"/>
      <sheetName val="区片价"/>
      <sheetName val="因素修正幅度"/>
      <sheetName val="区片价（范围）"/>
      <sheetName val="地价-分区"/>
      <sheetName val="地价"/>
      <sheetName val="系统读取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A4" t="str">
            <v>1#公租房</v>
          </cell>
        </row>
        <row r="5">
          <cell r="A5" t="str">
            <v xml:space="preserve">2#定向安置住宅 </v>
          </cell>
          <cell r="D5">
            <v>14757</v>
          </cell>
          <cell r="F5">
            <v>73</v>
          </cell>
        </row>
        <row r="6">
          <cell r="A6" t="str">
            <v xml:space="preserve">3#定向安置住宅 </v>
          </cell>
          <cell r="D6">
            <v>17678</v>
          </cell>
          <cell r="E6">
            <v>39</v>
          </cell>
          <cell r="F6">
            <v>73</v>
          </cell>
        </row>
        <row r="7">
          <cell r="A7" t="str">
            <v xml:space="preserve">4#定向安置住宅 </v>
          </cell>
          <cell r="D7">
            <v>14375</v>
          </cell>
          <cell r="F7">
            <v>65</v>
          </cell>
        </row>
        <row r="49">
          <cell r="E49">
            <v>1520</v>
          </cell>
          <cell r="F49">
            <v>980</v>
          </cell>
          <cell r="L49">
            <v>5739</v>
          </cell>
        </row>
        <row r="50">
          <cell r="I50">
            <v>380</v>
          </cell>
        </row>
        <row r="51">
          <cell r="I51">
            <v>514</v>
          </cell>
        </row>
        <row r="52">
          <cell r="I52">
            <v>360</v>
          </cell>
        </row>
        <row r="53">
          <cell r="K53">
            <v>220</v>
          </cell>
          <cell r="L53">
            <v>1915</v>
          </cell>
        </row>
      </sheetData>
      <sheetData sheetId="16"/>
      <sheetData sheetId="17"/>
      <sheetData sheetId="18"/>
      <sheetData sheetId="19"/>
      <sheetData sheetId="20"/>
      <sheetData sheetId="21"/>
      <sheetData sheetId="22">
        <row r="48">
          <cell r="C48" t="e">
            <v>#DIV/0!</v>
          </cell>
        </row>
      </sheetData>
      <sheetData sheetId="23"/>
      <sheetData sheetId="24"/>
      <sheetData sheetId="25">
        <row r="3">
          <cell r="B3">
            <v>7378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18109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B3">
            <v>26457</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F2">
            <v>6122</v>
          </cell>
        </row>
        <row r="3">
          <cell r="F3">
            <v>8738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3" customWidth="1"/>
    <col min="2" max="2" width="81" style="1340" customWidth="1"/>
    <col min="3" max="16384" width="9" style="1338"/>
  </cols>
  <sheetData>
    <row r="1" spans="1:2" s="1326" customFormat="1" ht="16.2" thickBot="1">
      <c r="A1" s="1325" t="s">
        <v>1127</v>
      </c>
      <c r="B1" s="1324" t="s">
        <v>1206</v>
      </c>
    </row>
    <row r="2" spans="1:2" s="1329" customFormat="1" ht="16.2" thickTop="1">
      <c r="A2" s="1327" t="s">
        <v>1128</v>
      </c>
      <c r="B2" s="1328" t="str">
        <f>'预评函-封皮'!B37:I37</f>
        <v>北京市房地产市场价值预评估</v>
      </c>
    </row>
    <row r="3" spans="1:2" s="1332" customFormat="1">
      <c r="A3" s="1330" t="s">
        <v>1129</v>
      </c>
      <c r="B3" s="1331">
        <f>'预评函-封皮'!B40</f>
        <v>0</v>
      </c>
    </row>
    <row r="4" spans="1:2" s="1332" customFormat="1">
      <c r="A4" s="1330" t="s">
        <v>1130</v>
      </c>
      <c r="B4" s="1331" t="str">
        <f ca="1">'预评函-封皮'!B46</f>
        <v>陈颖（注册号：0)、叶凌（注册号：0)</v>
      </c>
    </row>
    <row r="5" spans="1:2" s="1326" customFormat="1" ht="16.2" thickBot="1">
      <c r="A5" s="1333" t="s">
        <v>1131</v>
      </c>
      <c r="B5" s="1334" t="str">
        <f>'预评函-封皮'!B49</f>
        <v>康正预评字号</v>
      </c>
    </row>
    <row r="6" spans="1:2" s="1329" customFormat="1" ht="16.2"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估价对象为北京市房地产，为所有。根据《国有土地使用证》[]，估价对象（分摊）出让国有建设用地使用权面积为21500平方米，建筑面积为50449平方米。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估价对象为北京市房地产,属开发建设的，该项目尚在开发建设中。根据《国有土地使用证》[]，估价对象（分摊）出让国有建设用地使用权面积为21500平方米，规划建筑面积为50449平方米。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2018年6月1日</v>
      </c>
    </row>
    <row r="13" spans="1:2" s="1332" customFormat="1">
      <c r="A13" s="1330" t="s">
        <v>1135</v>
      </c>
      <c r="B13" s="1331" t="str">
        <f>'预评函-1'!A18</f>
        <v>本次估价的“房地产价值”是指在正常市场情况下，在价值时点2018年6月1日，估价对象规划用途为，土地取得方式为划拨，假定未设立法定优先受偿款下的房地产市场价值。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6.2" thickBot="1">
      <c r="A18" s="1333" t="s">
        <v>1140</v>
      </c>
      <c r="B18" s="1334" t="str">
        <f>'预评函-1'!A24</f>
        <v>本次评估采用的主估价方法为基准地价系数修正法和基准地价系数修正法。</v>
      </c>
    </row>
    <row r="19" spans="1:2" s="1329" customFormat="1" ht="16.2"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ht="31.2">
      <c r="A42" s="1330" t="s">
        <v>1196</v>
      </c>
      <c r="B42" s="1331" t="str">
        <f>'预评函-3'!B2</f>
        <v>建筑面积</v>
      </c>
    </row>
    <row r="43" spans="1:2" s="1332" customFormat="1">
      <c r="A43" s="1330" t="s">
        <v>1197</v>
      </c>
      <c r="B43" s="1331">
        <f>'预评函-3'!B4</f>
        <v>50449</v>
      </c>
    </row>
    <row r="44" spans="1:2" s="1332" customFormat="1" ht="31.2">
      <c r="A44" s="1330" t="s">
        <v>1181</v>
      </c>
      <c r="B44" s="1331" t="str">
        <f>'预评函-3'!C2</f>
        <v>(分摊)土地面积</v>
      </c>
    </row>
    <row r="45" spans="1:2" s="1332" customFormat="1">
      <c r="A45" s="1330" t="s">
        <v>1153</v>
      </c>
      <c r="B45" s="1331">
        <f>'预评函-3'!C4</f>
        <v>21500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6.2" thickBot="1">
      <c r="A57" s="1333" t="s">
        <v>1205</v>
      </c>
      <c r="B57" s="1334" t="str">
        <f>'预评函-3'!A6</f>
        <v/>
      </c>
    </row>
    <row r="58" spans="1:2" s="1329" customFormat="1" ht="16.2"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6.2" thickBot="1">
      <c r="A69" s="1333" t="s">
        <v>1167</v>
      </c>
      <c r="B69" s="1335">
        <f>'预评函-4'!C31</f>
        <v>42551</v>
      </c>
    </row>
    <row r="70" spans="1:2" ht="16.2"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6.2" thickBot="1">
      <c r="A73" s="1333" t="s">
        <v>1171</v>
      </c>
      <c r="B73" s="1334">
        <f ca="1">'预评函-4'!B5</f>
        <v>0</v>
      </c>
    </row>
    <row r="74" spans="1:2" ht="16.2"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6" customWidth="1"/>
    <col min="2" max="2" width="23.21875" style="1657" customWidth="1"/>
    <col min="3" max="3" width="13" style="1701" customWidth="1"/>
    <col min="4" max="4" width="5.77734375" style="1698" customWidth="1"/>
    <col min="5" max="5" width="7.109375" style="1698" customWidth="1"/>
    <col min="6" max="6" width="10.6640625" style="1698" customWidth="1"/>
    <col min="7" max="7" width="7.44140625" style="1698" customWidth="1"/>
    <col min="8" max="8" width="9" style="1701" customWidth="1"/>
    <col min="9" max="9" width="11.6640625" style="1701" customWidth="1"/>
    <col min="10" max="10" width="9" style="1701" customWidth="1"/>
    <col min="11" max="19" width="9" style="1698" customWidth="1"/>
    <col min="20" max="23" width="9" style="1701" customWidth="1"/>
    <col min="24" max="24" width="21.109375" style="1657" customWidth="1"/>
    <col min="25" max="16384" width="9" style="1657"/>
  </cols>
  <sheetData>
    <row r="1" spans="1:23" s="1695" customFormat="1" ht="28.8">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93"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3"/>
      <c r="B54" s="1704" t="s">
        <v>832</v>
      </c>
      <c r="C54" s="1701" t="s">
        <v>1189</v>
      </c>
    </row>
    <row r="55" spans="1:4">
      <c r="A55" s="3593"/>
      <c r="B55" s="1704" t="s">
        <v>833</v>
      </c>
      <c r="C55" s="1701" t="s">
        <v>1190</v>
      </c>
    </row>
    <row r="56" spans="1:4">
      <c r="A56" s="3593"/>
      <c r="B56" s="1704" t="s">
        <v>834</v>
      </c>
      <c r="C56" s="1701" t="s">
        <v>1194</v>
      </c>
    </row>
    <row r="57" spans="1:4">
      <c r="A57" s="3593"/>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3" sqref="A3:XFD3"/>
    </sheetView>
  </sheetViews>
  <sheetFormatPr defaultColWidth="10" defaultRowHeight="13.2"/>
  <cols>
    <col min="1" max="1" width="16.88671875" style="1896" customWidth="1"/>
    <col min="2" max="2" width="10" style="1896" customWidth="1"/>
    <col min="3" max="3" width="11.44140625" style="1896" customWidth="1"/>
    <col min="4" max="4" width="10" style="1896" customWidth="1"/>
    <col min="5" max="5" width="12.6640625" style="1896" customWidth="1"/>
    <col min="6" max="6" width="10" style="1896" customWidth="1"/>
    <col min="7" max="7" width="10.77734375" style="1896" customWidth="1"/>
    <col min="8" max="8" width="10" style="1896" customWidth="1"/>
    <col min="9" max="9" width="11.10937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8" thickBot="1">
      <c r="A1" s="2554" t="s">
        <v>2852</v>
      </c>
      <c r="B1" s="3602" t="str">
        <f>IF(B10="北京市","北京市",C10)&amp;F10&amp;IF(结果表!G1="在建","出让国有建设用地使用权及在建建筑物",IF(结果表!G1="土地","出让国有建设用地使用权",))&amp;B9&amp;"预评估"</f>
        <v>北京市房地产市场价值预评估</v>
      </c>
      <c r="C1" s="3603"/>
      <c r="D1" s="3603"/>
      <c r="E1" s="3603"/>
      <c r="F1" s="3603"/>
      <c r="G1" s="3603"/>
      <c r="H1" s="3603"/>
      <c r="I1" s="3604"/>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45399</v>
      </c>
      <c r="C3" s="2562" t="s">
        <v>2855</v>
      </c>
      <c r="D3" s="2561">
        <v>43252</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8" thickBot="1">
      <c r="A4" s="1217" t="s">
        <v>2856</v>
      </c>
      <c r="B4" s="2563" t="s">
        <v>3158</v>
      </c>
      <c r="C4" s="2564">
        <f ca="1">SUMIF(注册房地产估价师,B4,估价师及机构信息!B3:B24)</f>
        <v>0</v>
      </c>
      <c r="D4" s="2563" t="s">
        <v>3159</v>
      </c>
      <c r="E4" s="2565">
        <f ca="1">SUMIF(注册房地产估价师,D4,估价师及机构信息!B3:B24)</f>
        <v>0</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陈颖（注册号：0)、叶凌（注册号：0)</v>
      </c>
      <c r="L4" s="2557"/>
      <c r="M4" s="2557"/>
      <c r="N4" s="2558"/>
      <c r="O4" s="1726"/>
      <c r="P4" s="2558"/>
      <c r="Q4" s="2558"/>
      <c r="R4" s="2558"/>
      <c r="S4" s="1833"/>
      <c r="T4" s="1896"/>
      <c r="U4" s="1896"/>
      <c r="V4" s="1896"/>
      <c r="W4" s="1896"/>
      <c r="X4" s="1896"/>
      <c r="Y4" s="1896"/>
      <c r="Z4" s="1896"/>
      <c r="AA4" s="1896"/>
      <c r="AB4" s="1896"/>
    </row>
    <row r="5" spans="1:28" ht="13.8" thickTop="1">
      <c r="A5" s="2567" t="s">
        <v>2857</v>
      </c>
      <c r="B5" s="3202"/>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3160</v>
      </c>
      <c r="C8" s="2577"/>
      <c r="D8" s="3605" t="s">
        <v>2861</v>
      </c>
      <c r="E8" s="2578"/>
      <c r="F8" s="2579"/>
      <c r="G8" s="2853"/>
      <c r="H8" s="2853"/>
      <c r="I8" s="2853"/>
      <c r="J8" s="2628"/>
      <c r="K8" s="2803"/>
      <c r="L8" s="2802"/>
      <c r="M8" s="2802"/>
      <c r="N8" s="2628"/>
      <c r="O8" s="2639"/>
      <c r="P8" s="2628"/>
      <c r="Q8" s="2628"/>
      <c r="R8" s="2628"/>
    </row>
    <row r="9" spans="1:28" ht="13.8" thickBot="1">
      <c r="A9" s="2580" t="s">
        <v>2862</v>
      </c>
      <c r="B9" s="2581" t="s">
        <v>3161</v>
      </c>
      <c r="C9" s="2582"/>
      <c r="D9" s="3606"/>
      <c r="E9" s="2581"/>
      <c r="F9" s="2583"/>
      <c r="G9" s="2855"/>
      <c r="H9" s="2855"/>
      <c r="I9" s="2855"/>
      <c r="J9" s="2628"/>
      <c r="K9" s="2805"/>
      <c r="L9" s="2802"/>
      <c r="M9" s="2802"/>
      <c r="N9" s="2628"/>
      <c r="O9" s="2639"/>
      <c r="P9" s="2628"/>
      <c r="Q9" s="2628"/>
      <c r="R9" s="2628"/>
    </row>
    <row r="10" spans="1:28" ht="13.8" thickTop="1">
      <c r="A10" s="2584" t="s">
        <v>2863</v>
      </c>
      <c r="B10" s="2585" t="s">
        <v>3162</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3163</v>
      </c>
      <c r="C11" s="2590"/>
      <c r="D11" s="2591"/>
      <c r="E11" s="2558"/>
      <c r="F11" s="2558"/>
      <c r="G11" s="2558"/>
      <c r="H11" s="2558"/>
      <c r="I11" s="2558"/>
      <c r="J11" s="2628"/>
      <c r="K11" s="2805"/>
      <c r="L11" s="2802"/>
      <c r="M11" s="2802"/>
      <c r="N11" s="2628"/>
      <c r="O11" s="2639"/>
      <c r="P11" s="2628"/>
      <c r="Q11" s="2628"/>
      <c r="R11" s="2628"/>
    </row>
    <row r="12" spans="1:28">
      <c r="A12" s="2592" t="s">
        <v>2866</v>
      </c>
      <c r="B12" s="2589" t="s">
        <v>3164</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612"/>
      <c r="C16" s="3613"/>
      <c r="D16" s="3614"/>
      <c r="E16" s="2602" t="s">
        <v>2878</v>
      </c>
      <c r="F16" s="3615"/>
      <c r="G16" s="3616"/>
      <c r="H16" s="3616"/>
      <c r="I16" s="3617"/>
      <c r="J16" s="2628"/>
      <c r="K16" s="2807"/>
      <c r="L16" s="2640"/>
      <c r="M16" s="2640"/>
      <c r="N16" s="2698"/>
      <c r="O16" s="2640"/>
      <c r="P16" s="2698"/>
      <c r="Q16" s="2628"/>
      <c r="R16" s="2628"/>
    </row>
    <row r="17" spans="1:28">
      <c r="A17" s="317" t="s">
        <v>2879</v>
      </c>
      <c r="B17" s="306" t="s">
        <v>2880</v>
      </c>
      <c r="C17" s="11">
        <f>'数据-汇总表'!E3</f>
        <v>50449</v>
      </c>
      <c r="D17" s="2509" t="s">
        <v>2881</v>
      </c>
      <c r="E17" s="3618" t="s">
        <v>2882</v>
      </c>
      <c r="F17" s="3619"/>
      <c r="G17" s="3619"/>
      <c r="H17" s="3619"/>
      <c r="I17" s="3620"/>
      <c r="J17" s="2628"/>
      <c r="K17" s="2808"/>
      <c r="L17" s="2640"/>
      <c r="M17" s="2640"/>
      <c r="N17" s="2698"/>
      <c r="O17" s="2640"/>
      <c r="P17" s="2698"/>
      <c r="Q17" s="2628"/>
      <c r="R17" s="2628"/>
      <c r="S17" s="2628"/>
      <c r="T17" s="2628"/>
      <c r="U17" s="2628"/>
      <c r="V17" s="2628"/>
    </row>
    <row r="18" spans="1:28" ht="24.6" thickBot="1">
      <c r="A18" s="2603" t="s">
        <v>2883</v>
      </c>
      <c r="B18" s="1217" t="s">
        <v>2884</v>
      </c>
      <c r="C18" s="2604">
        <f>'数据-汇总表'!D3</f>
        <v>21500</v>
      </c>
      <c r="D18" s="1219" t="s">
        <v>2885</v>
      </c>
      <c r="E18" s="3621" t="s">
        <v>2886</v>
      </c>
      <c r="F18" s="3622"/>
      <c r="G18" s="3622"/>
      <c r="H18" s="3622"/>
      <c r="I18" s="3623"/>
      <c r="J18" s="2628"/>
      <c r="K18" s="2808"/>
      <c r="L18" s="2640"/>
      <c r="M18" s="2640"/>
      <c r="N18" s="2698"/>
      <c r="O18" s="2640"/>
      <c r="P18" s="2698"/>
      <c r="Q18" s="2628"/>
      <c r="R18" s="2628"/>
      <c r="S18" s="2628"/>
      <c r="T18" s="2628"/>
      <c r="U18" s="2628"/>
      <c r="V18" s="2628"/>
    </row>
    <row r="19" spans="1:28" ht="37.200000000000003"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608" t="s">
        <v>2890</v>
      </c>
      <c r="C20" s="3609"/>
      <c r="D20" s="3610" t="s">
        <v>2891</v>
      </c>
      <c r="E20" s="3611"/>
      <c r="F20" s="2837" t="s">
        <v>1682</v>
      </c>
      <c r="G20" s="2854"/>
      <c r="H20" s="2854"/>
      <c r="I20" s="2854"/>
      <c r="J20" s="2628"/>
      <c r="K20" s="3607"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36.6" thickBot="1">
      <c r="A21" s="2822"/>
      <c r="B21" s="2823" t="s">
        <v>2893</v>
      </c>
      <c r="C21" s="2824" t="s">
        <v>1683</v>
      </c>
      <c r="D21" s="1718" t="s">
        <v>2894</v>
      </c>
      <c r="E21" s="2825" t="s">
        <v>1683</v>
      </c>
      <c r="F21" s="2838"/>
      <c r="G21" s="2854"/>
      <c r="H21" s="2854"/>
      <c r="I21" s="2854"/>
      <c r="J21" s="2628"/>
      <c r="K21" s="360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36.6" thickBot="1">
      <c r="A22" s="2822"/>
      <c r="B22" s="2826" t="s">
        <v>2895</v>
      </c>
      <c r="C22" s="2824" t="s">
        <v>1684</v>
      </c>
      <c r="D22" s="2853"/>
      <c r="E22" s="2853"/>
      <c r="F22" s="2853"/>
      <c r="G22" s="2854"/>
      <c r="H22" s="2854"/>
      <c r="I22" s="2854"/>
      <c r="J22" s="2628"/>
      <c r="K22" s="360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8"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8" thickTop="1">
      <c r="A27" s="3595"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595"/>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595"/>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596"/>
      <c r="B30" s="306" t="s">
        <v>2902</v>
      </c>
      <c r="C30" s="3597"/>
      <c r="D30" s="3598"/>
      <c r="E30" s="2854"/>
      <c r="F30" s="2854"/>
      <c r="G30" s="2854"/>
      <c r="H30" s="2854"/>
      <c r="I30" s="2854"/>
      <c r="J30" s="2628"/>
      <c r="K30" s="2805"/>
      <c r="L30" s="2802"/>
      <c r="M30" s="2802"/>
      <c r="N30" s="2628"/>
      <c r="O30" s="2639"/>
      <c r="P30" s="2628"/>
      <c r="Q30" s="2628"/>
      <c r="R30" s="2628"/>
      <c r="S30" s="2628"/>
      <c r="T30" s="2628"/>
      <c r="U30" s="2628"/>
      <c r="V30" s="2628"/>
    </row>
    <row r="31" spans="1:28">
      <c r="A31" s="3599"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600"/>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600"/>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594" t="s">
        <v>2912</v>
      </c>
      <c r="T34" s="2617" t="str">
        <f>NUMBERSTRING(7-K34,1)&amp;"通"</f>
        <v>七通</v>
      </c>
      <c r="U34" s="2628"/>
      <c r="V34" s="2628"/>
    </row>
    <row r="35" spans="1:30">
      <c r="A35" s="2618"/>
      <c r="B35" s="3601" t="s">
        <v>2913</v>
      </c>
      <c r="C35" s="3601"/>
      <c r="D35" s="3601"/>
      <c r="E35" s="3601"/>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594"/>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c r="C37" s="2620"/>
      <c r="D37" s="2620" t="s">
        <v>442</v>
      </c>
      <c r="E37" s="2620"/>
      <c r="F37" s="2860"/>
      <c r="G37" s="2854"/>
      <c r="H37" s="2854"/>
      <c r="I37" s="2854"/>
      <c r="J37" s="2628"/>
      <c r="K37" s="2805"/>
      <c r="L37" s="2802"/>
      <c r="M37" s="2802"/>
      <c r="N37" s="2628"/>
      <c r="O37" s="2639"/>
      <c r="P37" s="2628"/>
      <c r="Q37" s="2628"/>
      <c r="R37" s="2628"/>
      <c r="S37" s="2628"/>
      <c r="T37" s="2628"/>
      <c r="U37" s="2628"/>
      <c r="V37" s="2628"/>
    </row>
    <row r="38" spans="1:30" ht="13.8" thickBot="1">
      <c r="A38" s="2821" t="s">
        <v>2915</v>
      </c>
      <c r="B38" s="2621"/>
      <c r="C38" s="2621"/>
      <c r="D38" s="2621" t="s">
        <v>292</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4"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2">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3" customWidth="1"/>
    <col min="2" max="2" width="11" style="1723" customWidth="1"/>
    <col min="3" max="3" width="10.33203125" style="1723" customWidth="1"/>
    <col min="4" max="4" width="9.109375" style="1723" customWidth="1"/>
    <col min="5" max="6" width="10" style="1784" customWidth="1"/>
    <col min="7" max="8" width="10" style="1723" customWidth="1"/>
    <col min="9" max="9" width="10.6640625" style="1723" customWidth="1"/>
    <col min="10" max="10" width="9.44140625" style="1723" customWidth="1"/>
    <col min="11" max="11" width="11" style="1723" customWidth="1"/>
    <col min="12" max="14" width="9.44140625" style="1723" customWidth="1"/>
    <col min="15" max="15" width="9.88671875" style="1723" customWidth="1"/>
    <col min="16" max="16" width="9.77734375" style="1723" customWidth="1"/>
    <col min="17" max="17" width="9.33203125" style="1723" customWidth="1"/>
    <col min="18" max="18" width="9.21875" style="1723" customWidth="1"/>
    <col min="19" max="19" width="10.88671875" style="1723" customWidth="1"/>
    <col min="20" max="21" width="10.77734375" style="1723" customWidth="1"/>
    <col min="22" max="22" width="10.88671875" style="1723" customWidth="1"/>
    <col min="23" max="27" width="10.77734375" style="1723" customWidth="1"/>
    <col min="28" max="28" width="10.88671875" style="1723" customWidth="1"/>
    <col min="29" max="29" width="11" style="1723" bestFit="1" customWidth="1"/>
    <col min="30" max="30" width="10" style="1723" bestFit="1" customWidth="1"/>
    <col min="31" max="31" width="9.77734375" style="1723" customWidth="1"/>
    <col min="32" max="46" width="9.44140625" style="1723" customWidth="1"/>
    <col min="47" max="47" width="18.109375" style="1723" customWidth="1"/>
    <col min="48" max="50" width="9.77734375" style="1723" customWidth="1"/>
    <col min="51" max="55" width="10.44140625" style="1723" bestFit="1" customWidth="1"/>
    <col min="56" max="56" width="9.44140625" style="1723" bestFit="1" customWidth="1"/>
    <col min="57" max="63" width="9.109375" style="1723" bestFit="1" customWidth="1"/>
    <col min="64" max="64" width="9.44140625" style="1723" bestFit="1" customWidth="1"/>
    <col min="65" max="65" width="9.109375" style="1723" bestFit="1" customWidth="1"/>
    <col min="66" max="66" width="9.44140625" style="1723" bestFit="1" customWidth="1"/>
    <col min="67" max="69" width="9.109375" style="1723" bestFit="1" customWidth="1"/>
    <col min="70" max="70" width="9.44140625" style="1723" bestFit="1" customWidth="1"/>
    <col min="71" max="71" width="9" style="1723" customWidth="1"/>
    <col min="72" max="72" width="9.109375" style="1723" bestFit="1" customWidth="1"/>
    <col min="73" max="16384" width="8.88671875" style="1723"/>
  </cols>
  <sheetData>
    <row r="1" spans="1:72" ht="21">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3.2">
      <c r="A3" s="13">
        <v>21500</v>
      </c>
      <c r="B3" s="14">
        <f>IF(C3="否",G5-AT5,G5)</f>
        <v>70468</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21500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3.2">
      <c r="A5" s="15" t="s">
        <v>1697</v>
      </c>
      <c r="B5" s="1496"/>
      <c r="C5" s="1496"/>
      <c r="D5" s="1498"/>
      <c r="E5" s="16" t="s">
        <v>1</v>
      </c>
      <c r="F5" s="16">
        <f>SUM(F13:F587)</f>
        <v>0</v>
      </c>
      <c r="G5" s="16">
        <f>SUM(G13:G587)</f>
        <v>82722.67</v>
      </c>
      <c r="H5" s="16">
        <f t="shared" ref="H5:AT5" si="0">SUM(H13:H656)</f>
        <v>58590</v>
      </c>
      <c r="I5" s="16">
        <f t="shared" si="0"/>
        <v>58590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2750</v>
      </c>
      <c r="AM5" s="16">
        <f t="shared" si="0"/>
        <v>0</v>
      </c>
      <c r="AN5" s="16">
        <f t="shared" si="0"/>
        <v>9128</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50449</v>
      </c>
      <c r="BA5" s="18">
        <f t="shared" si="1"/>
        <v>46810</v>
      </c>
      <c r="BB5" s="18">
        <f t="shared" si="1"/>
        <v>46810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3639</v>
      </c>
      <c r="BM5" s="18">
        <f t="shared" si="1"/>
        <v>0</v>
      </c>
      <c r="BN5" s="18">
        <f t="shared" si="1"/>
        <v>0</v>
      </c>
      <c r="BO5" s="18">
        <f t="shared" si="1"/>
        <v>0</v>
      </c>
      <c r="BP5" s="18">
        <f t="shared" si="1"/>
        <v>0</v>
      </c>
      <c r="BQ5" s="18">
        <f t="shared" si="1"/>
        <v>250</v>
      </c>
      <c r="BR5" s="18">
        <f t="shared" si="1"/>
        <v>3389</v>
      </c>
      <c r="BS5" s="18">
        <f t="shared" si="1"/>
        <v>0</v>
      </c>
      <c r="BT5" s="19">
        <f t="shared" si="1"/>
        <v>0</v>
      </c>
    </row>
    <row r="6" spans="1:72" s="1739" customFormat="1" ht="13.2">
      <c r="A6" s="15" t="s">
        <v>1698</v>
      </c>
      <c r="B6" s="1736"/>
      <c r="C6" s="1736"/>
      <c r="D6" s="1737"/>
      <c r="E6" s="16">
        <f>H6+AC6+AT6</f>
        <v>21500</v>
      </c>
      <c r="F6" s="16" t="s">
        <v>1</v>
      </c>
      <c r="G6" s="16" t="s">
        <v>2</v>
      </c>
      <c r="H6" s="20">
        <f>SUMIF(I$12:AB$12,"总值",I6:AB6)</f>
        <v>17875.990000000002</v>
      </c>
      <c r="I6" s="16">
        <f t="shared" ref="I6:AB6" si="2">ROUND($A$3*I5/$B$3,2)</f>
        <v>17875.990000000002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3624.01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839.03</v>
      </c>
      <c r="AM6" s="16">
        <f t="shared" si="3"/>
        <v>0</v>
      </c>
      <c r="AN6" s="16">
        <f t="shared" si="3"/>
        <v>2784.98</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21500</v>
      </c>
      <c r="AZ6" s="16" t="s">
        <v>3</v>
      </c>
      <c r="BA6" s="16">
        <f>ROUND($AY$6*BA5/$AZ$5,2)</f>
        <v>19949.16</v>
      </c>
      <c r="BB6" s="16">
        <f>ROUND($AY$6*BB5/$AZ$5,2)</f>
        <v>19949.16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1550.84</v>
      </c>
      <c r="BM6" s="16">
        <f t="shared" si="5"/>
        <v>0</v>
      </c>
      <c r="BN6" s="16">
        <f t="shared" si="5"/>
        <v>0</v>
      </c>
      <c r="BO6" s="16">
        <f t="shared" si="5"/>
        <v>0</v>
      </c>
      <c r="BP6" s="16">
        <f t="shared" si="5"/>
        <v>0</v>
      </c>
      <c r="BQ6" s="16">
        <f t="shared" si="5"/>
        <v>106.54</v>
      </c>
      <c r="BR6" s="16">
        <f t="shared" si="5"/>
        <v>1444.3</v>
      </c>
      <c r="BS6" s="16">
        <f t="shared" si="5"/>
        <v>0</v>
      </c>
      <c r="BT6" s="22">
        <f t="shared" si="5"/>
        <v>0</v>
      </c>
    </row>
    <row r="7" spans="1:72" s="1729" customFormat="1" ht="25.2">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3.2">
      <c r="A9" s="1744"/>
      <c r="B9" s="1744"/>
      <c r="C9" s="1744"/>
      <c r="D9" s="1744"/>
      <c r="E9" s="1744"/>
      <c r="F9" s="1744"/>
      <c r="G9" s="1198"/>
      <c r="H9" s="1752" t="s">
        <v>1717</v>
      </c>
      <c r="I9" s="1753" t="s">
        <v>3170</v>
      </c>
      <c r="J9" s="915"/>
      <c r="K9" s="1753" t="s">
        <v>3170</v>
      </c>
      <c r="L9" s="915"/>
      <c r="M9" s="1753" t="s">
        <v>3170</v>
      </c>
      <c r="N9" s="915"/>
      <c r="O9" s="1753" t="s">
        <v>3175</v>
      </c>
      <c r="P9" s="915"/>
      <c r="Q9" s="1753" t="s">
        <v>3175</v>
      </c>
      <c r="R9" s="915"/>
      <c r="S9" s="1753" t="s">
        <v>3175</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3.2">
      <c r="A10" s="1744"/>
      <c r="B10" s="1744"/>
      <c r="C10" s="1744"/>
      <c r="D10" s="1744"/>
      <c r="E10" s="1744"/>
      <c r="F10" s="1744"/>
      <c r="G10" s="1198"/>
      <c r="H10" s="28"/>
      <c r="I10" s="1753" t="s">
        <v>3130</v>
      </c>
      <c r="J10" s="915"/>
      <c r="K10" s="1759" t="s">
        <v>1283</v>
      </c>
      <c r="L10" s="915"/>
      <c r="M10" s="1759" t="s">
        <v>27</v>
      </c>
      <c r="N10" s="915"/>
      <c r="O10" s="1759" t="s">
        <v>27</v>
      </c>
      <c r="P10" s="915"/>
      <c r="Q10" s="1759" t="s">
        <v>3181</v>
      </c>
      <c r="R10" s="915"/>
      <c r="S10" s="1759" t="s">
        <v>3182</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3.2">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3.2">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3.2">
      <c r="A13" s="1178"/>
      <c r="B13" s="1178"/>
      <c r="C13" s="1178" t="str">
        <f>[2]面积整理!A4</f>
        <v>1#公租房</v>
      </c>
      <c r="D13" s="1775" t="s">
        <v>3629</v>
      </c>
      <c r="E13" s="16">
        <f>IF($C$3="是",ROUND($A$3*G13/$B$3,2),ROUND($A$3*(G13-AT13)/$B$3,2))</f>
        <v>6107.86</v>
      </c>
      <c r="F13" s="32"/>
      <c r="G13" s="33">
        <f>H13+AC13+AT13</f>
        <v>20019</v>
      </c>
      <c r="H13" s="20">
        <f>SUMIF(I$12:AB$12,"总值",I13:AB13)</f>
        <v>11780</v>
      </c>
      <c r="I13" s="1776">
        <v>11780</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8239</v>
      </c>
      <c r="AD13" s="1777"/>
      <c r="AE13" s="1777"/>
      <c r="AF13" s="1777"/>
      <c r="AG13" s="1777"/>
      <c r="AH13" s="1777"/>
      <c r="AI13" s="1777"/>
      <c r="AJ13" s="1777"/>
      <c r="AK13" s="1777"/>
      <c r="AL13" s="1777">
        <f>[2]面积整理!E49+[2]面积整理!F49</f>
        <v>2500</v>
      </c>
      <c r="AM13" s="1777"/>
      <c r="AN13" s="1777">
        <f>[2]面积整理!L49</f>
        <v>5739</v>
      </c>
      <c r="AO13" s="1777"/>
      <c r="AP13" s="1777"/>
      <c r="AQ13" s="1777"/>
      <c r="AR13" s="1777"/>
      <c r="AS13" s="1777"/>
      <c r="AT13" s="1778"/>
      <c r="AU13" s="1779"/>
      <c r="AV13" s="11">
        <f t="shared" ref="AV13:AX17" si="6">A13</f>
        <v>0</v>
      </c>
      <c r="AW13" s="11">
        <f t="shared" si="6"/>
        <v>0</v>
      </c>
      <c r="AX13" s="11" t="str">
        <f t="shared" si="6"/>
        <v>1#公租房</v>
      </c>
      <c r="AY13" s="14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9" customFormat="1" ht="26.4">
      <c r="A14" s="1178"/>
      <c r="B14" s="1178"/>
      <c r="C14" s="1178" t="str">
        <f>[2]面积整理!A5</f>
        <v xml:space="preserve">2#定向安置住宅 </v>
      </c>
      <c r="D14" s="1775" t="s">
        <v>3169</v>
      </c>
      <c r="E14" s="16">
        <f>IF($C$3="是",ROUND($A$3*G14/$B$3,2),ROUND($A$3*(G14-AT14)/$B$3,2))</f>
        <v>4640.62</v>
      </c>
      <c r="F14" s="32"/>
      <c r="G14" s="33">
        <f>H14+AC14+AT14</f>
        <v>15210</v>
      </c>
      <c r="H14" s="20">
        <f>SUMIF(I$12:AB$12,"总值",I14:AB14)</f>
        <v>14757</v>
      </c>
      <c r="I14" s="1776">
        <v>14757</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453</v>
      </c>
      <c r="AD14" s="1777"/>
      <c r="AE14" s="1777"/>
      <c r="AF14" s="1777"/>
      <c r="AG14" s="1777"/>
      <c r="AH14" s="1777"/>
      <c r="AI14" s="1777"/>
      <c r="AJ14" s="1777"/>
      <c r="AK14" s="1777"/>
      <c r="AL14" s="1777">
        <f>[2]面积整理!F5</f>
        <v>73</v>
      </c>
      <c r="AM14" s="1777"/>
      <c r="AN14" s="1777">
        <f>[2]面积整理!I50</f>
        <v>380</v>
      </c>
      <c r="AO14" s="1777"/>
      <c r="AP14" s="1777"/>
      <c r="AQ14" s="1777"/>
      <c r="AR14" s="1777"/>
      <c r="AS14" s="1777"/>
      <c r="AT14" s="1778"/>
      <c r="AU14" s="1779"/>
      <c r="AV14" s="11">
        <f t="shared" si="6"/>
        <v>0</v>
      </c>
      <c r="AW14" s="11">
        <f t="shared" si="6"/>
        <v>0</v>
      </c>
      <c r="AX14" s="11" t="str">
        <f t="shared" si="6"/>
        <v xml:space="preserve">2#定向安置住宅 </v>
      </c>
      <c r="AY14" s="1498">
        <f>ROUND($AY$6*AZ14/$AZ$5,2)</f>
        <v>6482.09</v>
      </c>
      <c r="AZ14" s="16">
        <f>BA14+BL14</f>
        <v>15210</v>
      </c>
      <c r="BA14" s="16">
        <f>SUM(BB14:BK14)</f>
        <v>14757</v>
      </c>
      <c r="BB14" s="16">
        <f>IF($D14="是",I14-J14,0)</f>
        <v>14757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453</v>
      </c>
      <c r="BM14" s="16">
        <f>IF($D14="是",AD14-AE14,0)</f>
        <v>0</v>
      </c>
      <c r="BN14" s="16">
        <f>IF($D14="是",AF14-AG14,0)</f>
        <v>0</v>
      </c>
      <c r="BO14" s="16">
        <f>IF($D14="是",AH14-AI14,0)</f>
        <v>0</v>
      </c>
      <c r="BP14" s="16">
        <f>IF($D14="是",AJ14-AK14,0)</f>
        <v>0</v>
      </c>
      <c r="BQ14" s="16">
        <f>IF($D14="是",AL14-AM14,0)</f>
        <v>73</v>
      </c>
      <c r="BR14" s="16">
        <f>IF($D14="是",AN14-AO14,0)</f>
        <v>380</v>
      </c>
      <c r="BS14" s="16">
        <f>IF($D14="是",AP14-AQ14,0)</f>
        <v>0</v>
      </c>
      <c r="BT14" s="22">
        <f>IF($D14="是",AR14-AS14,0)</f>
        <v>0</v>
      </c>
    </row>
    <row r="15" spans="1:72" s="1729" customFormat="1" ht="26.4">
      <c r="A15" s="1178"/>
      <c r="B15" s="1178"/>
      <c r="C15" s="1178" t="str">
        <f>[2]面积整理!A6</f>
        <v xml:space="preserve">3#定向安置住宅 </v>
      </c>
      <c r="D15" s="1775" t="s">
        <v>3169</v>
      </c>
      <c r="E15" s="16">
        <f>IF($C$3="是",ROUND($A$3*G15/$B$3,2),ROUND($A$3*(G15-AT15)/$B$3,2))</f>
        <v>5584.61</v>
      </c>
      <c r="F15" s="32"/>
      <c r="G15" s="33">
        <f>H15+AC15+AT15</f>
        <v>18304</v>
      </c>
      <c r="H15" s="20">
        <f>SUMIF(I$12:AB$12,"总值",I15:AB15)</f>
        <v>17678</v>
      </c>
      <c r="I15" s="1776">
        <v>17678</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626</v>
      </c>
      <c r="AD15" s="1777"/>
      <c r="AE15" s="1777"/>
      <c r="AF15" s="1777"/>
      <c r="AG15" s="1777"/>
      <c r="AH15" s="1777"/>
      <c r="AI15" s="1777"/>
      <c r="AJ15" s="1777"/>
      <c r="AK15" s="1777"/>
      <c r="AL15" s="1777">
        <f>[2]面积整理!E6+[2]面积整理!F6</f>
        <v>112</v>
      </c>
      <c r="AM15" s="1777"/>
      <c r="AN15" s="1777">
        <f>[2]面积整理!I51</f>
        <v>514</v>
      </c>
      <c r="AO15" s="1777"/>
      <c r="AP15" s="1777"/>
      <c r="AQ15" s="1777"/>
      <c r="AR15" s="1777"/>
      <c r="AS15" s="1777"/>
      <c r="AT15" s="1778"/>
      <c r="AU15" s="1779"/>
      <c r="AV15" s="11">
        <f t="shared" si="6"/>
        <v>0</v>
      </c>
      <c r="AW15" s="11">
        <f t="shared" si="6"/>
        <v>0</v>
      </c>
      <c r="AX15" s="11" t="str">
        <f t="shared" si="6"/>
        <v xml:space="preserve">3#定向安置住宅 </v>
      </c>
      <c r="AY15" s="1498">
        <f>ROUND($AY$6*AZ15/$AZ$5,2)</f>
        <v>7800.67</v>
      </c>
      <c r="AZ15" s="16">
        <f>BA15+BL15</f>
        <v>18304</v>
      </c>
      <c r="BA15" s="16">
        <f>SUM(BB15:BK15)</f>
        <v>17678</v>
      </c>
      <c r="BB15" s="16">
        <f>IF($D15="是",I15-J15,0)</f>
        <v>17678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626</v>
      </c>
      <c r="BM15" s="16">
        <f>IF($D15="是",AD15-AE15,0)</f>
        <v>0</v>
      </c>
      <c r="BN15" s="16">
        <f>IF($D15="是",AF15-AG15,0)</f>
        <v>0</v>
      </c>
      <c r="BO15" s="16">
        <f>IF($D15="是",AH15-AI15,0)</f>
        <v>0</v>
      </c>
      <c r="BP15" s="16">
        <f>IF($D15="是",AJ15-AK15,0)</f>
        <v>0</v>
      </c>
      <c r="BQ15" s="16">
        <f>IF($D15="是",AL15-AM15,0)</f>
        <v>112</v>
      </c>
      <c r="BR15" s="16">
        <f>IF($D15="是",AN15-AO15,0)</f>
        <v>514</v>
      </c>
      <c r="BS15" s="16">
        <f>IF($D15="是",AP15-AQ15,0)</f>
        <v>0</v>
      </c>
      <c r="BT15" s="22">
        <f>IF($D15="是",AR15-AS15,0)</f>
        <v>0</v>
      </c>
    </row>
    <row r="16" spans="1:72" s="1729" customFormat="1" ht="26.4">
      <c r="A16" s="1178"/>
      <c r="B16" s="1178"/>
      <c r="C16" s="1178" t="str">
        <f>[2]面积整理!A7</f>
        <v xml:space="preserve">4#定向安置住宅 </v>
      </c>
      <c r="D16" s="1775" t="s">
        <v>3169</v>
      </c>
      <c r="E16" s="16">
        <f>IF($C$3="是",ROUND($A$3*G16/$B$3,2),ROUND($A$3*(G16-AT16)/$B$3,2))</f>
        <v>4515.5200000000004</v>
      </c>
      <c r="F16" s="32"/>
      <c r="G16" s="33">
        <f>H16+AC16+AT16</f>
        <v>14800</v>
      </c>
      <c r="H16" s="20">
        <f>SUMIF(I$12:AB$12,"总值",I16:AB16)</f>
        <v>14375</v>
      </c>
      <c r="I16" s="1776">
        <v>14375</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425</v>
      </c>
      <c r="AD16" s="1777"/>
      <c r="AE16" s="1777"/>
      <c r="AF16" s="1777"/>
      <c r="AG16" s="1777"/>
      <c r="AH16" s="1777"/>
      <c r="AI16" s="1777"/>
      <c r="AJ16" s="1777"/>
      <c r="AK16" s="1777"/>
      <c r="AL16" s="1777">
        <f>[2]面积整理!F7</f>
        <v>65</v>
      </c>
      <c r="AM16" s="1777"/>
      <c r="AN16" s="1777">
        <f>[2]面积整理!I52</f>
        <v>360</v>
      </c>
      <c r="AO16" s="1777"/>
      <c r="AP16" s="1777"/>
      <c r="AQ16" s="1777"/>
      <c r="AR16" s="1777"/>
      <c r="AS16" s="1777"/>
      <c r="AT16" s="1778"/>
      <c r="AU16" s="1779"/>
      <c r="AV16" s="11">
        <f t="shared" si="6"/>
        <v>0</v>
      </c>
      <c r="AW16" s="11">
        <f t="shared" si="6"/>
        <v>0</v>
      </c>
      <c r="AX16" s="11" t="str">
        <f t="shared" si="6"/>
        <v xml:space="preserve">4#定向安置住宅 </v>
      </c>
      <c r="AY16" s="1498">
        <f>ROUND($AY$6*AZ16/$AZ$5,2)</f>
        <v>6307.36</v>
      </c>
      <c r="AZ16" s="16">
        <f>BA16+BL16</f>
        <v>14800</v>
      </c>
      <c r="BA16" s="16">
        <f>SUM(BB16:BK16)</f>
        <v>14375</v>
      </c>
      <c r="BB16" s="16">
        <f>IF($D16="是",I16-J16,0)</f>
        <v>14375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425</v>
      </c>
      <c r="BM16" s="16">
        <f>IF($D16="是",AD16-AE16,0)</f>
        <v>0</v>
      </c>
      <c r="BN16" s="16">
        <f>IF($D16="是",AF16-AG16,0)</f>
        <v>0</v>
      </c>
      <c r="BO16" s="16">
        <f>IF($D16="是",AH16-AI16,0)</f>
        <v>0</v>
      </c>
      <c r="BP16" s="16">
        <f>IF($D16="是",AJ16-AK16,0)</f>
        <v>0</v>
      </c>
      <c r="BQ16" s="16">
        <f>IF($D16="是",AL16-AM16,0)</f>
        <v>65</v>
      </c>
      <c r="BR16" s="16">
        <f>IF($D16="是",AN16-AO16,0)</f>
        <v>360</v>
      </c>
      <c r="BS16" s="16">
        <f>IF($D16="是",AP16-AQ16,0)</f>
        <v>0</v>
      </c>
      <c r="BT16" s="22">
        <f>IF($D16="是",AR16-AS16,0)</f>
        <v>0</v>
      </c>
    </row>
    <row r="17" spans="1:72" s="1729" customFormat="1" ht="13.2">
      <c r="A17" s="1178"/>
      <c r="B17" s="1178"/>
      <c r="C17" s="3466" t="s">
        <v>3628</v>
      </c>
      <c r="D17" s="1775" t="s">
        <v>3169</v>
      </c>
      <c r="E17" s="16">
        <f>IF($C$3="是",ROUND($A$3*G17/$B$3,2),ROUND($A$3*(G17-AT17)/$B$3,2))</f>
        <v>651.39</v>
      </c>
      <c r="F17" s="32"/>
      <c r="G17" s="33">
        <f>H17+AC17+AT17</f>
        <v>2135</v>
      </c>
      <c r="H17" s="20">
        <f>SUMIF(I$12:AB$12,"总值",I17:AB17)</f>
        <v>0</v>
      </c>
      <c r="I17" s="1776"/>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2135</v>
      </c>
      <c r="AD17" s="1777"/>
      <c r="AE17" s="1777"/>
      <c r="AF17" s="1777"/>
      <c r="AG17" s="1777"/>
      <c r="AH17" s="1777"/>
      <c r="AI17" s="1777"/>
      <c r="AJ17" s="1777"/>
      <c r="AK17" s="1777"/>
      <c r="AL17" s="1777"/>
      <c r="AM17" s="1777"/>
      <c r="AN17" s="1777">
        <f>[2]面积整理!K53+[2]面积整理!L53</f>
        <v>2135</v>
      </c>
      <c r="AO17" s="1777"/>
      <c r="AP17" s="1777"/>
      <c r="AQ17" s="1777"/>
      <c r="AR17" s="1777"/>
      <c r="AS17" s="1777"/>
      <c r="AT17" s="1778"/>
      <c r="AU17" s="1779"/>
      <c r="AV17" s="11">
        <f t="shared" si="6"/>
        <v>0</v>
      </c>
      <c r="AW17" s="11">
        <f t="shared" si="6"/>
        <v>0</v>
      </c>
      <c r="AX17" s="11" t="str">
        <f t="shared" si="6"/>
        <v>地下车库</v>
      </c>
      <c r="AY17" s="1498">
        <f>ROUND($AY$6*AZ17/$AZ$5,2)</f>
        <v>909.88</v>
      </c>
      <c r="AZ17" s="16">
        <f>BA17+BL17</f>
        <v>2135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2135</v>
      </c>
      <c r="BM17" s="16">
        <f>IF($D17="是",AD17-AE17,0)</f>
        <v>0</v>
      </c>
      <c r="BN17" s="16">
        <f>IF($D17="是",AF17-AG17,0)</f>
        <v>0</v>
      </c>
      <c r="BO17" s="16">
        <f>IF($D17="是",AH17-AI17,0)</f>
        <v>0</v>
      </c>
      <c r="BP17" s="16">
        <f>IF($D17="是",AJ17-AK17,0)</f>
        <v>0</v>
      </c>
      <c r="BQ17" s="16">
        <f>IF($D17="是",AL17-AM17,0)</f>
        <v>0</v>
      </c>
      <c r="BR17" s="16">
        <f>IF($D17="是",AN17-AO17,0)</f>
        <v>2135</v>
      </c>
      <c r="BS17" s="16">
        <f>IF($D17="是",AP17-AQ17,0)</f>
        <v>0</v>
      </c>
      <c r="BT17" s="22">
        <f>IF($D17="是",AR17-AS17,0)</f>
        <v>0</v>
      </c>
    </row>
    <row r="18" spans="1:72">
      <c r="A18" s="9"/>
      <c r="B18" s="34"/>
      <c r="C18" s="1178"/>
      <c r="D18" s="1775"/>
      <c r="E18" s="35">
        <f t="shared" ref="E18:E112" si="7">IF($C$3="是",ROUND($A$3*G18/$B$3,2),ROUND($A$3*(G18-AT18)/$B$3,2))</f>
        <v>0</v>
      </c>
      <c r="F18" s="36"/>
      <c r="G18" s="37">
        <f t="shared" ref="G18:G109" si="8">H18+AC18+AT18</f>
        <v>0</v>
      </c>
      <c r="H18" s="38">
        <f t="shared" ref="H18:H109" si="9">SUMIF(I$12:AB$12,"总值",I18:AB18)</f>
        <v>0</v>
      </c>
      <c r="I18" s="1776"/>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1"/>
      <c r="AV18" s="1492">
        <f t="shared" ref="AV18:AV112" si="11">A18</f>
        <v>0</v>
      </c>
      <c r="AW18" s="1492">
        <f t="shared" ref="AW18:AW112" si="12">B18</f>
        <v>0</v>
      </c>
      <c r="AX18" s="14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78"/>
      <c r="D19" s="1775"/>
      <c r="E19" s="35">
        <f t="shared" si="7"/>
        <v>0</v>
      </c>
      <c r="F19" s="36"/>
      <c r="G19" s="37">
        <f t="shared" si="8"/>
        <v>0</v>
      </c>
      <c r="H19" s="38">
        <f t="shared" si="9"/>
        <v>0</v>
      </c>
      <c r="I19" s="1776"/>
      <c r="J19" s="39"/>
      <c r="K19" s="39"/>
      <c r="L19" s="39"/>
      <c r="M19" s="39"/>
      <c r="N19" s="39"/>
      <c r="O19" s="39"/>
      <c r="P19" s="39"/>
      <c r="Q19" s="1776"/>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1"/>
      <c r="AV19" s="1492">
        <f t="shared" si="11"/>
        <v>0</v>
      </c>
      <c r="AW19" s="1492">
        <f t="shared" si="12"/>
        <v>0</v>
      </c>
      <c r="AX19" s="14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8"/>
      <c r="D20" s="177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c r="D21" s="177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1"/>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78"/>
      <c r="D22" s="177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1"/>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78"/>
      <c r="D23" s="177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1"/>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5.5" customHeight="1">
      <c r="A24" s="9"/>
      <c r="B24" s="34"/>
      <c r="C24" s="1178"/>
      <c r="D24" s="1775"/>
      <c r="E24" s="35">
        <f>IF($C$3="是",ROUND($A$3*G24/$B$3,2),ROUND($A$3*(G24-AT24)/$B$3,2))</f>
        <v>0</v>
      </c>
      <c r="F24" s="36"/>
      <c r="G24" s="37">
        <f>H24+AC24+AT24</f>
        <v>12254.67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3353"/>
      <c r="AO24" s="40"/>
      <c r="AP24" s="40"/>
      <c r="AQ24" s="40"/>
      <c r="AR24" s="40"/>
      <c r="AS24" s="40"/>
      <c r="AT24" s="41">
        <f>面积表!N19+面积表!O19</f>
        <v>12254.67</v>
      </c>
      <c r="AU24" s="1781"/>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IF($D24="是",AR24-AS24,0)</f>
        <v>0</v>
      </c>
    </row>
    <row r="25" spans="1:72" ht="28.5" customHeight="1">
      <c r="A25" s="9"/>
      <c r="B25" s="34"/>
      <c r="C25" s="1178"/>
      <c r="D25" s="17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1"/>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78"/>
      <c r="D26" s="17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1"/>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78"/>
      <c r="D27" s="17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1"/>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624" t="s">
        <v>0</v>
      </c>
      <c r="B1" s="3624" t="s">
        <v>4</v>
      </c>
      <c r="C1" s="3624" t="s">
        <v>5</v>
      </c>
      <c r="D1" s="3625" t="s">
        <v>53</v>
      </c>
      <c r="E1" s="3625" t="s">
        <v>54</v>
      </c>
      <c r="F1" s="3625"/>
      <c r="G1" s="3625"/>
      <c r="H1" s="3625"/>
      <c r="I1" s="3625"/>
      <c r="J1" s="3625"/>
      <c r="K1" s="3625"/>
      <c r="L1" s="3625"/>
      <c r="M1" s="3625"/>
    </row>
    <row r="2" spans="1:13" ht="27" customHeight="1">
      <c r="A2" s="3624"/>
      <c r="B2" s="3624"/>
      <c r="C2" s="3624"/>
      <c r="D2" s="3625"/>
      <c r="E2" s="3625" t="s">
        <v>37</v>
      </c>
      <c r="F2" s="3625" t="s">
        <v>38</v>
      </c>
      <c r="G2" s="3625"/>
      <c r="H2" s="3625"/>
      <c r="I2" s="3625"/>
      <c r="J2" s="3625" t="s">
        <v>39</v>
      </c>
      <c r="K2" s="3625"/>
      <c r="L2" s="3625"/>
      <c r="M2" s="3625"/>
    </row>
    <row r="3" spans="1:13" ht="46.8">
      <c r="A3" s="3624"/>
      <c r="B3" s="3624"/>
      <c r="C3" s="3624"/>
      <c r="D3" s="3625"/>
      <c r="E3" s="362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5" t="s">
        <v>55</v>
      </c>
      <c r="B9" s="3625"/>
      <c r="C9" s="36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3" sqref="L43"/>
    </sheetView>
  </sheetViews>
  <sheetFormatPr defaultColWidth="9.21875" defaultRowHeight="13.8"/>
  <cols>
    <col min="1" max="1" width="12.109375" style="1788" customWidth="1"/>
    <col min="2" max="2" width="10.21875" style="1788" customWidth="1"/>
    <col min="3" max="3" width="18.44140625" style="1788" customWidth="1"/>
    <col min="4" max="4" width="11.6640625" style="1788" customWidth="1"/>
    <col min="5" max="5" width="13.33203125" style="1788" customWidth="1"/>
    <col min="6" max="8" width="11.44140625" style="1788" customWidth="1"/>
    <col min="9" max="9" width="11.109375" style="1788" customWidth="1"/>
    <col min="10" max="10" width="3.109375" style="2839" customWidth="1"/>
    <col min="11" max="16" width="10" style="1788" customWidth="1"/>
    <col min="17" max="17" width="2.6640625" style="1788" customWidth="1"/>
    <col min="18" max="18" width="9.33203125" style="1788" bestFit="1" customWidth="1"/>
    <col min="19" max="19" width="10.44140625" style="1788" bestFit="1" customWidth="1"/>
    <col min="20" max="16384" width="9.21875" style="1788"/>
  </cols>
  <sheetData>
    <row r="1" spans="1:16" ht="18" thickBot="1">
      <c r="A1" s="1787" t="s">
        <v>1756</v>
      </c>
      <c r="B1" s="1268"/>
      <c r="C1" s="1268"/>
      <c r="D1" s="1268"/>
      <c r="E1" s="1268"/>
      <c r="F1" s="1268"/>
      <c r="G1" s="1268"/>
      <c r="H1" s="1268"/>
      <c r="I1" s="1268"/>
      <c r="J1" s="1268"/>
      <c r="K1" s="1268"/>
      <c r="L1" s="1268"/>
      <c r="M1" s="1268"/>
      <c r="N1" s="1268"/>
      <c r="O1" s="1268"/>
      <c r="P1" s="1268"/>
    </row>
    <row r="2" spans="1:16" ht="14.4">
      <c r="A2" s="3635" t="s">
        <v>1757</v>
      </c>
      <c r="B2" s="3635"/>
      <c r="C2" s="3635"/>
      <c r="D2" s="901" t="s">
        <v>1733</v>
      </c>
      <c r="E2" s="1789" t="s">
        <v>1734</v>
      </c>
      <c r="F2" s="2849"/>
      <c r="G2" s="2840"/>
      <c r="H2" s="2841"/>
      <c r="I2" s="2512" t="s">
        <v>1758</v>
      </c>
      <c r="J2" s="2849"/>
      <c r="K2" s="2849"/>
      <c r="L2" s="2849"/>
      <c r="M2" s="2849"/>
      <c r="N2" s="2851"/>
      <c r="O2" s="2849"/>
      <c r="P2" s="2849"/>
    </row>
    <row r="3" spans="1:16" ht="15" thickBot="1">
      <c r="A3" s="3636" t="s">
        <v>1731</v>
      </c>
      <c r="B3" s="3636"/>
      <c r="C3" s="3636"/>
      <c r="D3" s="46">
        <f>'数据-基础表'!AY6</f>
        <v>21500</v>
      </c>
      <c r="E3" s="46">
        <f>'数据-基础表'!AZ5</f>
        <v>50449</v>
      </c>
      <c r="F3" s="2849">
        <f>E3+面积表!S9+面积表!S5</f>
        <v>71771.98</v>
      </c>
      <c r="G3" s="1274"/>
      <c r="H3" s="1154" t="s">
        <v>1732</v>
      </c>
      <c r="I3" s="961">
        <f>ROUND('数据-基础表'!B3/'数据-基础表'!A3,2)</f>
        <v>3.28</v>
      </c>
      <c r="J3" s="2849"/>
      <c r="K3" s="2849"/>
      <c r="L3" s="2849"/>
      <c r="M3" s="2849"/>
      <c r="N3" s="2851"/>
      <c r="O3" s="2849"/>
      <c r="P3" s="2849"/>
    </row>
    <row r="4" spans="1:16" ht="14.4">
      <c r="A4" s="3637"/>
      <c r="B4" s="3638"/>
      <c r="C4" s="3639"/>
      <c r="D4" s="1791" t="s">
        <v>1733</v>
      </c>
      <c r="E4" s="1792" t="s">
        <v>1734</v>
      </c>
      <c r="F4" s="2849"/>
      <c r="G4" s="2842" t="s">
        <v>1759</v>
      </c>
      <c r="H4" s="1154" t="s">
        <v>1739</v>
      </c>
      <c r="I4" s="961">
        <f>ROUND(SUMIF('数据-基础表'!I9:AS9,"地上",'数据-基础表'!I5:AS5)/'数据-基础表'!A3,2)</f>
        <v>2.85</v>
      </c>
      <c r="J4" s="2849"/>
      <c r="K4" s="2849"/>
      <c r="L4" s="2849"/>
      <c r="M4" s="2849"/>
      <c r="N4" s="2851"/>
      <c r="O4" s="2849"/>
      <c r="P4" s="2849"/>
    </row>
    <row r="5" spans="1:16" ht="14.4">
      <c r="A5" s="47" t="s">
        <v>1735</v>
      </c>
      <c r="B5" s="3640" t="s">
        <v>1736</v>
      </c>
      <c r="C5" s="3640"/>
      <c r="D5" s="48">
        <f>ROUND($D$3*E5/$E$3,2)</f>
        <v>19949.16</v>
      </c>
      <c r="E5" s="49">
        <f>SUMIF('数据-基础表'!$11:$11,"住宅",'数据-基础表'!$5:$5)</f>
        <v>46810</v>
      </c>
      <c r="F5" s="2849"/>
      <c r="G5" s="1274"/>
      <c r="H5" s="1154" t="s">
        <v>1732</v>
      </c>
      <c r="I5" s="961">
        <f>ROUND(E31/D31,2)</f>
        <v>2.35</v>
      </c>
      <c r="J5" s="2849"/>
      <c r="K5" s="2849"/>
      <c r="L5" s="2849"/>
      <c r="M5" s="2849"/>
      <c r="N5" s="2849"/>
      <c r="O5" s="2849"/>
      <c r="P5" s="2849"/>
    </row>
    <row r="6" spans="1:16" ht="15" thickBot="1">
      <c r="A6" s="1794"/>
      <c r="B6" s="3640" t="s">
        <v>1737</v>
      </c>
      <c r="C6" s="3640"/>
      <c r="D6" s="48">
        <f>ROUND($D$3*E6/$E$3,2)</f>
        <v>1550.84</v>
      </c>
      <c r="E6" s="49">
        <f>E3-E5</f>
        <v>3639</v>
      </c>
      <c r="F6" s="2849"/>
      <c r="G6" s="2843" t="s">
        <v>1738</v>
      </c>
      <c r="H6" s="1275" t="s">
        <v>1739</v>
      </c>
      <c r="I6" s="2844">
        <f>ROUND(F31/D31,2)</f>
        <v>2.19</v>
      </c>
      <c r="J6" s="2849"/>
      <c r="K6" s="2849"/>
      <c r="L6" s="2849"/>
      <c r="M6" s="2849"/>
      <c r="N6" s="2849"/>
      <c r="O6" s="2849"/>
      <c r="P6" s="2849"/>
    </row>
    <row r="7" spans="1:16" ht="15" thickBot="1">
      <c r="A7" s="3632"/>
      <c r="B7" s="3633"/>
      <c r="C7" s="3634"/>
      <c r="D7" s="1791" t="s">
        <v>1733</v>
      </c>
      <c r="E7" s="1795" t="s">
        <v>1740</v>
      </c>
      <c r="F7" s="2849"/>
      <c r="G7" s="2845" t="s">
        <v>1741</v>
      </c>
      <c r="H7" s="2846"/>
      <c r="I7" s="2847">
        <v>2.9</v>
      </c>
      <c r="J7" s="2849"/>
      <c r="K7" s="2849"/>
      <c r="L7" s="2849"/>
      <c r="M7" s="2849"/>
      <c r="N7" s="2849"/>
      <c r="O7" s="2849"/>
      <c r="P7" s="2849"/>
    </row>
    <row r="8" spans="1:16" ht="14.4">
      <c r="A8" s="47" t="s">
        <v>1742</v>
      </c>
      <c r="B8" s="50" t="s">
        <v>1743</v>
      </c>
      <c r="C8" s="48" t="s">
        <v>1744</v>
      </c>
      <c r="D8" s="48">
        <f t="shared" ref="D8:D15" si="0">ROUND($D$3*E8/$E$3,2)</f>
        <v>19949.16</v>
      </c>
      <c r="E8" s="51">
        <f>SUMIF('数据-基础表'!BB10:BK10,"地上",'数据-基础表'!BB5:BK5)</f>
        <v>46810</v>
      </c>
      <c r="F8" s="2849"/>
      <c r="G8" s="2850"/>
      <c r="H8" s="2850"/>
      <c r="I8" s="2849"/>
      <c r="J8" s="2849"/>
      <c r="K8" s="2849"/>
      <c r="L8" s="2849"/>
      <c r="M8" s="2849"/>
      <c r="N8" s="2849"/>
      <c r="O8" s="2849"/>
      <c r="P8" s="2849"/>
    </row>
    <row r="9" spans="1:16" ht="14.4">
      <c r="A9" s="1796"/>
      <c r="B9" s="1797"/>
      <c r="C9" s="48" t="s">
        <v>1745</v>
      </c>
      <c r="D9" s="48">
        <f t="shared" si="0"/>
        <v>0</v>
      </c>
      <c r="E9" s="52">
        <v>0</v>
      </c>
      <c r="F9" s="2849"/>
      <c r="G9" s="2850"/>
      <c r="H9" s="2850"/>
      <c r="I9" s="2849"/>
      <c r="J9" s="2849"/>
      <c r="K9" s="2849"/>
      <c r="L9" s="2849"/>
      <c r="M9" s="2849"/>
      <c r="N9" s="2849"/>
      <c r="O9" s="2849"/>
      <c r="P9" s="2849"/>
    </row>
    <row r="10" spans="1:16" ht="14.4">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ht="14.4">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ht="14.4">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ht="14.4">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ht="14.4">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 thickBot="1">
      <c r="A16" s="1794"/>
      <c r="B16" s="1797"/>
      <c r="C16" s="50" t="s">
        <v>1749</v>
      </c>
      <c r="D16" s="50">
        <f>SUM(D8:D15)</f>
        <v>19949.16</v>
      </c>
      <c r="E16" s="53">
        <f>SUM(E8:E15)</f>
        <v>46810</v>
      </c>
      <c r="F16" s="2849"/>
      <c r="G16" s="2850"/>
      <c r="H16" s="1798" t="s">
        <v>1761</v>
      </c>
      <c r="I16" s="1799"/>
      <c r="J16" s="1268"/>
      <c r="K16" s="3629" t="s">
        <v>1761</v>
      </c>
      <c r="L16" s="3630"/>
      <c r="M16" s="3630"/>
      <c r="N16" s="3630"/>
      <c r="O16" s="3630"/>
      <c r="P16" s="3631"/>
    </row>
    <row r="17" spans="1:19" ht="14.4">
      <c r="A17" s="1800" t="s">
        <v>1762</v>
      </c>
      <c r="B17" s="1801" t="s">
        <v>1763</v>
      </c>
      <c r="C17" s="1802" t="s">
        <v>1764</v>
      </c>
      <c r="D17" s="1803" t="s">
        <v>1752</v>
      </c>
      <c r="E17" s="1804" t="s">
        <v>1753</v>
      </c>
      <c r="F17" s="1805"/>
      <c r="G17" s="1806"/>
      <c r="H17" s="1807" t="s">
        <v>1765</v>
      </c>
      <c r="I17" s="1808" t="s">
        <v>1750</v>
      </c>
      <c r="J17" s="1268"/>
      <c r="K17" s="3626" t="s">
        <v>1766</v>
      </c>
      <c r="L17" s="3627"/>
      <c r="M17" s="3628"/>
      <c r="N17" s="3626" t="s">
        <v>1767</v>
      </c>
      <c r="O17" s="3627"/>
      <c r="P17" s="3628"/>
      <c r="R17" s="1790" t="s">
        <v>1768</v>
      </c>
      <c r="S17" s="60"/>
    </row>
    <row r="18" spans="1:19" ht="14.4">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ht="14.4">
      <c r="A19" s="1817"/>
      <c r="B19" s="50" t="s">
        <v>1751</v>
      </c>
      <c r="C19" s="3208" t="s">
        <v>3184</v>
      </c>
      <c r="D19" s="48">
        <f>ROUND($D$3*E19/$E$3,2)</f>
        <v>19949.16</v>
      </c>
      <c r="E19" s="56">
        <f t="shared" ref="E19:E26" si="1">SUM(F19:G19)</f>
        <v>46810</v>
      </c>
      <c r="F19" s="2989">
        <v>46810</v>
      </c>
      <c r="G19" s="2990"/>
      <c r="H19" s="677">
        <f>ROUND($D$3*I19/$E$3,2)</f>
        <v>1550.84</v>
      </c>
      <c r="I19" s="51">
        <f t="shared" ref="I19:I26" si="2">IF($I$17="自定义",P19,M19)</f>
        <v>3639</v>
      </c>
      <c r="J19" s="1268"/>
      <c r="K19" s="1267">
        <f t="shared" ref="K19:K26" si="3">ROUND(E$28*E19/E$27,2)</f>
        <v>3639</v>
      </c>
      <c r="L19" s="1154">
        <f t="shared" ref="L19:L26" si="4">ROUND(IF(COUNTIF(C19,"*住宅*")&gt;0,E$29*E19/E$32,0),2)</f>
        <v>0</v>
      </c>
      <c r="M19" s="1279">
        <f>K19+L19</f>
        <v>3639</v>
      </c>
      <c r="N19" s="1819"/>
      <c r="O19" s="1820"/>
      <c r="P19" s="1279">
        <f>N19+O19</f>
        <v>0</v>
      </c>
      <c r="R19" s="1154">
        <f t="shared" ref="R19:S26" si="5">D19+H19</f>
        <v>21500</v>
      </c>
      <c r="S19" s="1155">
        <f t="shared" si="5"/>
        <v>50449</v>
      </c>
    </row>
    <row r="20" spans="1:19" ht="14.4">
      <c r="A20" s="1821"/>
      <c r="B20" s="50" t="s">
        <v>1779</v>
      </c>
      <c r="C20" s="3208"/>
      <c r="D20" s="48">
        <f t="shared" ref="D20:D26" si="6">ROUND($D$3*E20/$E$3,2)</f>
        <v>0</v>
      </c>
      <c r="E20" s="56">
        <f t="shared" si="1"/>
        <v>0</v>
      </c>
      <c r="F20" s="2989"/>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ht="14.4">
      <c r="A21" s="1821"/>
      <c r="B21" s="50" t="s">
        <v>1779</v>
      </c>
      <c r="C21" s="1818"/>
      <c r="D21" s="48">
        <f t="shared" si="6"/>
        <v>0</v>
      </c>
      <c r="E21" s="56">
        <f t="shared" si="1"/>
        <v>0</v>
      </c>
      <c r="F21" s="2989"/>
      <c r="G21" s="2990"/>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ht="14.4">
      <c r="A22" s="1821"/>
      <c r="B22" s="50" t="s">
        <v>1779</v>
      </c>
      <c r="C22" s="58"/>
      <c r="D22" s="48">
        <f t="shared" si="6"/>
        <v>0</v>
      </c>
      <c r="E22" s="56">
        <f t="shared" si="1"/>
        <v>0</v>
      </c>
      <c r="F22" s="2991"/>
      <c r="G22" s="2992"/>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ht="14.4">
      <c r="A23" s="1821"/>
      <c r="B23" s="50" t="s">
        <v>1779</v>
      </c>
      <c r="C23" s="58"/>
      <c r="D23" s="48">
        <f>ROUND($D$3*E23/$E$3,2)</f>
        <v>0</v>
      </c>
      <c r="E23" s="56">
        <f>SUM(F23:G23)</f>
        <v>0</v>
      </c>
      <c r="F23" s="2991"/>
      <c r="G23" s="2992"/>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ht="14.4">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ht="14.4">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ht="14.4">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 thickBot="1">
      <c r="A27" s="1821"/>
      <c r="B27" s="48"/>
      <c r="C27" s="1824" t="s">
        <v>1780</v>
      </c>
      <c r="D27" s="1269">
        <f>SUM(D19:D26)</f>
        <v>19949.16</v>
      </c>
      <c r="E27" s="1270">
        <f>IF(SUM(E19:E26)='数据-基础表'!BA5,SUM(E19:E26),IF(F27="地上面积有误","面积有误","地下面积有误"))</f>
        <v>46810</v>
      </c>
      <c r="F27" s="1269">
        <f>IF(SUM(F19:F26)=E8,SUM(F19:F26),"地上面积有误")</f>
        <v>46810</v>
      </c>
      <c r="G27" s="1271">
        <f>SUM(G19:G26)</f>
        <v>0</v>
      </c>
      <c r="H27" s="1272">
        <f>SUM(H19:H26)</f>
        <v>1550.84</v>
      </c>
      <c r="I27" s="1273">
        <f>SUM(I19:I26)</f>
        <v>3639</v>
      </c>
      <c r="J27" s="1268"/>
      <c r="K27" s="1276">
        <f>SUM(K19:K26)</f>
        <v>3639</v>
      </c>
      <c r="L27" s="1277">
        <f>SUM(L19:L26)</f>
        <v>0</v>
      </c>
      <c r="M27" s="1280">
        <f>SUM(M19:M26)</f>
        <v>3639</v>
      </c>
      <c r="N27" s="1276">
        <f t="shared" ref="N27:O27" si="10">SUM(N19:N26)</f>
        <v>0</v>
      </c>
      <c r="O27" s="1277">
        <f t="shared" si="10"/>
        <v>0</v>
      </c>
      <c r="P27" s="1278">
        <f>SUM(P19:P26)</f>
        <v>0</v>
      </c>
      <c r="R27" s="1156">
        <f>IF(SUM(R19:R26)=$D$3,SUM(R19:R26),SUM(R19:R26)&amp;"误差"&amp;ROUND(SUM(R19:R26)-$D$3,2))</f>
        <v>21500</v>
      </c>
      <c r="S27" s="1154">
        <f>IF(SUM(S19:S26)=$E$3,SUM(S19:S26),SUM(S19:S26)&amp;"误差"&amp;ROUND(SUM(S19:S26)-E3,2))</f>
        <v>50449</v>
      </c>
    </row>
    <row r="28" spans="1:19" ht="14.4">
      <c r="A28" s="1821"/>
      <c r="B28" s="50" t="s">
        <v>1781</v>
      </c>
      <c r="C28" s="1166" t="s">
        <v>1782</v>
      </c>
      <c r="D28" s="48">
        <f>ROUND($D$3*E28/$E$3,2)</f>
        <v>1550.84</v>
      </c>
      <c r="E28" s="56">
        <f>SUM(F28:G28)</f>
        <v>3639</v>
      </c>
      <c r="F28" s="60">
        <f>'数据-基础表'!BQ5+'数据-基础表'!BS5</f>
        <v>250</v>
      </c>
      <c r="G28" s="61">
        <f>'数据-基础表'!BR5+'数据-基础表'!BT5</f>
        <v>3389</v>
      </c>
      <c r="H28" s="2849"/>
      <c r="I28" s="2849"/>
      <c r="J28" s="2849"/>
      <c r="K28" s="2849"/>
      <c r="L28" s="2849"/>
      <c r="M28" s="2849"/>
      <c r="N28" s="2849"/>
      <c r="O28" s="2849"/>
      <c r="P28" s="2849"/>
    </row>
    <row r="29" spans="1:19" ht="14.4">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4.4">
      <c r="A30" s="1821"/>
      <c r="B30" s="50"/>
      <c r="C30" s="1826" t="s">
        <v>1780</v>
      </c>
      <c r="D30" s="1269">
        <f>SUM(D28:D29)</f>
        <v>1550.84</v>
      </c>
      <c r="E30" s="1269">
        <f>SUM(E28:E29)</f>
        <v>3639</v>
      </c>
      <c r="F30" s="1269">
        <f>SUM(F28:F29)</f>
        <v>250</v>
      </c>
      <c r="G30" s="1271">
        <f>SUM(G28:G29)</f>
        <v>3389</v>
      </c>
      <c r="H30" s="2849"/>
      <c r="I30" s="2849"/>
      <c r="J30" s="2849"/>
      <c r="K30" s="2849"/>
      <c r="L30" s="2849"/>
      <c r="M30" s="2849"/>
      <c r="N30" s="2849"/>
      <c r="O30" s="2849"/>
      <c r="P30" s="2849"/>
    </row>
    <row r="31" spans="1:19" ht="15" thickBot="1">
      <c r="A31" s="1827"/>
      <c r="B31" s="1828"/>
      <c r="C31" s="941" t="s">
        <v>1784</v>
      </c>
      <c r="D31" s="682">
        <f>D27+D30</f>
        <v>21500</v>
      </c>
      <c r="E31" s="682">
        <f>E27+E30</f>
        <v>50449</v>
      </c>
      <c r="F31" s="683">
        <f>F27+F30</f>
        <v>47060</v>
      </c>
      <c r="G31" s="684">
        <f>G27+G30</f>
        <v>3389</v>
      </c>
      <c r="H31" s="2849"/>
      <c r="I31" s="2849"/>
      <c r="J31" s="2849"/>
      <c r="K31" s="2849"/>
      <c r="L31" s="2849"/>
      <c r="M31" s="2849"/>
      <c r="N31" s="2849"/>
      <c r="O31" s="2849"/>
      <c r="P31" s="2849"/>
    </row>
    <row r="32" spans="1:19" ht="14.4">
      <c r="A32" s="1793"/>
      <c r="B32" s="1793" t="s">
        <v>1785</v>
      </c>
      <c r="C32" s="1793"/>
      <c r="D32" s="1793"/>
      <c r="E32" s="1180">
        <f>SUMIF(C19:C26,"*住宅*",E19:E26)</f>
        <v>46810</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896" customWidth="1"/>
    <col min="2" max="2" width="12" style="1833" customWidth="1"/>
    <col min="3" max="3" width="12.77734375" style="1833" customWidth="1"/>
    <col min="4" max="4" width="9.109375" style="1897" customWidth="1"/>
    <col min="5" max="5" width="15" style="1833" bestFit="1" customWidth="1"/>
    <col min="6" max="10" width="8.88671875" style="1833" customWidth="1"/>
    <col min="11" max="12" width="12.33203125" style="1751" customWidth="1"/>
    <col min="13" max="13" width="8.6640625" style="1833" customWidth="1"/>
    <col min="14" max="14" width="11.88671875" style="1833" customWidth="1"/>
    <col min="15" max="15" width="8.44140625" style="1833" customWidth="1"/>
    <col min="16" max="17" width="10.88671875" style="1833" customWidth="1"/>
    <col min="18" max="19" width="12.44140625" style="1833" customWidth="1"/>
    <col min="20" max="20" width="12.109375" style="1833" customWidth="1"/>
    <col min="21" max="21" width="7.44140625" style="1833" customWidth="1"/>
    <col min="22" max="22" width="6.33203125" style="1833" customWidth="1"/>
    <col min="23" max="24" width="6.77734375" style="1833" customWidth="1"/>
    <col min="25" max="25" width="7.6640625" style="1833" customWidth="1"/>
    <col min="26" max="29" width="6.77734375" style="1833" customWidth="1"/>
    <col min="30" max="30" width="9.33203125" style="1833" customWidth="1"/>
    <col min="31" max="31" width="8" style="1833" customWidth="1"/>
    <col min="32" max="34" width="7.21875" style="1833" customWidth="1"/>
    <col min="35" max="39" width="8" style="1833" customWidth="1"/>
    <col min="40" max="40" width="13.77734375" style="1832"/>
    <col min="41" max="41" width="11.6640625" style="1832" customWidth="1"/>
    <col min="42" max="42" width="9.77734375" style="1832" customWidth="1"/>
    <col min="43" max="67" width="13.77734375" style="1832"/>
    <col min="68" max="16384" width="13.77734375" style="1833"/>
  </cols>
  <sheetData>
    <row r="1" spans="1:67" ht="18"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 thickBot="1">
      <c r="A2" s="1834" t="s">
        <v>1787</v>
      </c>
      <c r="B2" s="1173">
        <f>项目基本情况!D3</f>
        <v>43252</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4.4"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57.6">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3185</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3.8">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738">
        <v>4.4999999999999998E-2</v>
      </c>
      <c r="J6" s="70"/>
      <c r="K6" s="1158">
        <f>SUMIF('数据-汇总表'!C$19:C$33,A6,'数据-汇总表'!E$19:E$33)</f>
        <v>46810</v>
      </c>
      <c r="L6" s="3386">
        <v>3000</v>
      </c>
      <c r="M6" s="71">
        <f t="shared" ref="M6:M14" si="0">ROUND(K6*L6/10000,0)</f>
        <v>14043</v>
      </c>
      <c r="N6" s="737">
        <v>1</v>
      </c>
      <c r="O6" s="71" t="str">
        <f>IF($N$5="成新度","——",ROUND(M6*N6,0))</f>
        <v>——</v>
      </c>
      <c r="P6" s="72" t="str">
        <f>IF($N$5="成新度","——",M6-O6)</f>
        <v>——</v>
      </c>
      <c r="Q6" s="3351">
        <v>0.03</v>
      </c>
      <c r="R6" s="73">
        <f ca="1">SUMIF('数据-汇总表'!C$19:C$33,A6,'数据-汇总表'!R$19:R$27)</f>
        <v>21500</v>
      </c>
      <c r="S6" s="54">
        <f>IF('数据-汇总表'!$I$17="按面积比例",SUMIF('数据-汇总表'!C$19:C$33,A6,'数据-汇总表'!K$19:K$33),SUMIF('数据-汇总表'!C$19:C$33,A6,'数据-汇总表'!N$19:N$33))</f>
        <v>3639</v>
      </c>
      <c r="T6" s="1301">
        <f>ROUND($L$14*S6/10000,0)</f>
        <v>1092</v>
      </c>
      <c r="U6" s="74">
        <v>80</v>
      </c>
      <c r="V6" s="75">
        <v>0.01</v>
      </c>
      <c r="W6" s="75">
        <v>0.1</v>
      </c>
      <c r="X6" s="1168"/>
      <c r="Y6" s="76">
        <f>N6</f>
        <v>1</v>
      </c>
      <c r="Z6" s="77"/>
      <c r="AA6" s="70"/>
      <c r="AB6" s="70"/>
      <c r="AC6" s="1168"/>
      <c r="AD6" s="78">
        <v>1</v>
      </c>
      <c r="AE6" s="1169">
        <f ca="1">IF(AN6="",0,SUMIF(INDIRECT("'"&amp;AN6&amp;"'"&amp;"!E:E"),$AE$5,INDIRECT("'"&amp;AN6&amp;"'"&amp;"!F:F")))</f>
        <v>70</v>
      </c>
      <c r="AF6" s="1497"/>
      <c r="AG6" s="141">
        <f>IF(AF6="",0,AE6-AF6)</f>
        <v>0</v>
      </c>
      <c r="AH6" s="79">
        <f ca="1">收益法!F43</f>
        <v>46810</v>
      </c>
      <c r="AI6" s="81">
        <v>12</v>
      </c>
      <c r="AJ6" s="82"/>
      <c r="AK6" s="83">
        <v>0.03</v>
      </c>
      <c r="AL6" s="84">
        <v>3.0000000000000001E-3</v>
      </c>
      <c r="AM6" s="85">
        <v>0.03</v>
      </c>
      <c r="AN6" s="1866" t="s">
        <v>3846</v>
      </c>
      <c r="AO6" s="55">
        <f ca="1">SUMIF(INDIRECT("'"&amp;AN6&amp;"'"&amp;"!A:A"),"总价",INDIRECT("'"&amp;AN6&amp;"'"&amp;"!B:B"))</f>
        <v>78986</v>
      </c>
      <c r="AP6" s="1867">
        <f>IF(C6="住宅",K6*L6,0)</f>
        <v>140430000</v>
      </c>
      <c r="AQ6" s="55">
        <f>ROUND($L$14*$N$14*S6/10000,0)</f>
        <v>1092</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3.8">
      <c r="A7" s="1863">
        <f>'数据-汇总表'!C20</f>
        <v>0</v>
      </c>
      <c r="B7" s="1864" t="str">
        <f t="shared" ref="B7:B13" si="1">IF(A7=0,"","经营性")</f>
        <v/>
      </c>
      <c r="C7" s="1865"/>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3.8">
      <c r="A8" s="1863">
        <f>'数据-汇总表'!C21</f>
        <v>0</v>
      </c>
      <c r="B8" s="1864" t="str">
        <f t="shared" si="1"/>
        <v/>
      </c>
      <c r="C8" s="1865"/>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3.8">
      <c r="A9" s="1863">
        <f>'数据-汇总表'!C22</f>
        <v>0</v>
      </c>
      <c r="B9" s="1864" t="str">
        <f t="shared" si="1"/>
        <v/>
      </c>
      <c r="C9" s="1865"/>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3.8">
      <c r="A10" s="1863">
        <f>'数据-汇总表'!C23</f>
        <v>0</v>
      </c>
      <c r="B10" s="1864" t="str">
        <f t="shared" si="1"/>
        <v/>
      </c>
      <c r="C10" s="1865"/>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3.8">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3.8">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3.8">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4">
      <c r="A14" s="1868" t="s">
        <v>1831</v>
      </c>
      <c r="B14" s="1864" t="s">
        <v>1832</v>
      </c>
      <c r="C14" s="1869" t="s">
        <v>1831</v>
      </c>
      <c r="D14" s="964"/>
      <c r="E14" s="963"/>
      <c r="F14" s="68"/>
      <c r="G14" s="69"/>
      <c r="H14" s="1157"/>
      <c r="I14" s="1157"/>
      <c r="J14" s="1157"/>
      <c r="K14" s="1158">
        <f>SUMIF('数据-汇总表'!C$19:C$33,A14,'数据-汇总表'!E$19:E$33)</f>
        <v>3639</v>
      </c>
      <c r="L14" s="3387">
        <f>L6</f>
        <v>3000</v>
      </c>
      <c r="M14" s="71">
        <f t="shared" si="0"/>
        <v>1092</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8.8">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50449</v>
      </c>
      <c r="L16" s="98">
        <f>ROUND(M16*10000/SUM(K6:K14),0)</f>
        <v>3000</v>
      </c>
      <c r="M16" s="98">
        <f>SUM(M6:M14)</f>
        <v>15135</v>
      </c>
      <c r="N16" s="99">
        <f>ROUND(SUMPRODUCT(M6:M14,N6:N14)/M16,3)</f>
        <v>1</v>
      </c>
      <c r="O16" s="98">
        <f>SUM(O6:O14)</f>
        <v>0</v>
      </c>
      <c r="P16" s="98">
        <f>SUM(P6:P14)</f>
        <v>0</v>
      </c>
      <c r="Q16" s="100">
        <f>ROUND(SUMPRODUCT(Q6:Q13,K6:K13)/SUMPRODUCT((Q6:Q13&gt;0)*(K6:K13)),2)</f>
        <v>0.03</v>
      </c>
      <c r="R16" s="1162">
        <f ca="1">SUM(R6:R13)</f>
        <v>21500</v>
      </c>
      <c r="S16" s="101">
        <f>SUM(S6:S13)</f>
        <v>3639</v>
      </c>
      <c r="T16" s="102">
        <f>IF(SUMIF(T6:T13,"&lt;9E307")=M14,SUMIF(T6:T13,"&lt;9E307"),"有误，请检查")</f>
        <v>1092</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8" thickBot="1">
      <c r="A17" s="1872"/>
      <c r="B17" s="2874"/>
      <c r="C17" s="2863"/>
      <c r="D17" s="2867"/>
      <c r="E17" s="2867"/>
      <c r="F17" s="2863"/>
      <c r="G17" s="2863"/>
      <c r="H17" s="2863"/>
      <c r="I17" s="2863"/>
      <c r="J17" s="2863"/>
      <c r="K17" s="2864"/>
      <c r="L17" s="2864">
        <f>M6+(L14*'数据-汇总表'!M19)/10000</f>
        <v>15134.7</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4">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4">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4">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4">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4">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4.4"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8.8">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8.8">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9.4"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8.8">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8.8">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9.4"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4">
      <c r="A33" s="1878" t="s">
        <v>1852</v>
      </c>
      <c r="B33" s="3342">
        <v>0.05</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4">
      <c r="A34" s="1880" t="s">
        <v>1853</v>
      </c>
      <c r="B34" s="3343">
        <v>0.1</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4">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4">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4">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4">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4.4"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4">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4">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4">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4">
      <c r="A44" s="1885" t="s">
        <v>1862</v>
      </c>
      <c r="B44" s="122">
        <v>7.0000000000000007E-2</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4">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4">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4">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4">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4">
      <c r="A52" s="1888" t="s">
        <v>1870</v>
      </c>
      <c r="B52" s="127">
        <f>SUMIF(A54:A63,B53,B54:B63)</f>
        <v>18</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8.8">
      <c r="A53" s="1880" t="s">
        <v>1871</v>
      </c>
      <c r="B53" s="1889" t="s">
        <v>442</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4">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4">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4">
      <c r="A56" s="1890" t="s">
        <v>1875</v>
      </c>
      <c r="B56" s="80">
        <f>C56</f>
        <v>18</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4">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4">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4">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4">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4">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4">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80" zoomScaleNormal="80" workbookViewId="0">
      <selection activeCell="A7" sqref="A7:XFD7"/>
    </sheetView>
  </sheetViews>
  <sheetFormatPr defaultColWidth="9" defaultRowHeight="14.4"/>
  <cols>
    <col min="1" max="1" width="11.6640625" style="3398" bestFit="1" customWidth="1"/>
    <col min="2" max="2" width="34.77734375" style="3398" customWidth="1"/>
    <col min="3" max="3" width="9" style="3398"/>
    <col min="4" max="4" width="14.33203125" style="3398" customWidth="1"/>
    <col min="5" max="6" width="9" style="3398"/>
    <col min="7" max="7" width="12.21875" style="3398" customWidth="1"/>
    <col min="8" max="8" width="10.44140625" style="3398" bestFit="1" customWidth="1"/>
    <col min="9" max="9" width="13.77734375" style="3398" customWidth="1"/>
    <col min="10" max="10" width="16.6640625" style="3398" customWidth="1"/>
    <col min="11" max="13" width="9" style="3398"/>
    <col min="14" max="14" width="9.44140625" style="3398" bestFit="1" customWidth="1"/>
    <col min="15" max="17" width="9" style="3398"/>
    <col min="18" max="18" width="10.44140625" style="3398" bestFit="1" customWidth="1"/>
    <col min="19" max="16384" width="9" style="3398"/>
  </cols>
  <sheetData>
    <row r="1" spans="1:20">
      <c r="A1" s="3397" t="s">
        <v>3480</v>
      </c>
      <c r="B1" s="3397" t="s">
        <v>3481</v>
      </c>
    </row>
    <row r="2" spans="1:20" ht="28.8">
      <c r="A2" s="3400">
        <v>43818</v>
      </c>
      <c r="B2" s="3397" t="s">
        <v>3522</v>
      </c>
      <c r="C2" s="3397" t="s">
        <v>3523</v>
      </c>
      <c r="D2" s="3398">
        <v>25000</v>
      </c>
    </row>
    <row r="3" spans="1:20" ht="43.2">
      <c r="A3" s="3400">
        <v>44133</v>
      </c>
      <c r="B3" s="3397" t="s">
        <v>3516</v>
      </c>
      <c r="C3" s="3397" t="s">
        <v>3517</v>
      </c>
      <c r="D3" s="3397" t="s">
        <v>3518</v>
      </c>
      <c r="E3" s="3397" t="s">
        <v>3499</v>
      </c>
      <c r="F3" s="3398">
        <v>85160</v>
      </c>
      <c r="G3" s="3397" t="s">
        <v>3520</v>
      </c>
      <c r="H3" s="3398">
        <v>47220</v>
      </c>
      <c r="I3" s="3397" t="s">
        <v>3521</v>
      </c>
      <c r="J3" s="3398">
        <v>37940</v>
      </c>
      <c r="K3" s="3397" t="s">
        <v>3519</v>
      </c>
      <c r="L3" s="3398">
        <v>81081</v>
      </c>
    </row>
    <row r="4" spans="1:20" ht="43.2">
      <c r="A4" s="3400">
        <v>44158</v>
      </c>
      <c r="B4" s="3397" t="s">
        <v>3515</v>
      </c>
      <c r="C4" s="3397" t="s">
        <v>3484</v>
      </c>
      <c r="D4" s="3398">
        <v>25000</v>
      </c>
      <c r="E4" s="3397" t="s">
        <v>3499</v>
      </c>
      <c r="F4" s="3398">
        <v>85084</v>
      </c>
      <c r="G4" s="3397" t="s">
        <v>3520</v>
      </c>
      <c r="H4" s="3397">
        <v>48221</v>
      </c>
      <c r="I4" s="3397" t="s">
        <v>3506</v>
      </c>
      <c r="J4" s="3397">
        <v>36863</v>
      </c>
    </row>
    <row r="5" spans="1:20" ht="57.6">
      <c r="A5" s="3399">
        <v>44204</v>
      </c>
      <c r="B5" s="3397" t="s">
        <v>3534</v>
      </c>
      <c r="C5" s="3397" t="s">
        <v>1275</v>
      </c>
      <c r="D5" s="3397" t="s">
        <v>3507</v>
      </c>
      <c r="E5" s="3397" t="s">
        <v>3508</v>
      </c>
      <c r="F5" s="3397" t="s">
        <v>3483</v>
      </c>
      <c r="G5" s="3397" t="s">
        <v>3509</v>
      </c>
      <c r="H5" s="3398">
        <v>25000</v>
      </c>
      <c r="I5" s="3397" t="s">
        <v>3510</v>
      </c>
      <c r="J5" s="3398">
        <v>85084</v>
      </c>
    </row>
    <row r="6" spans="1:20" ht="43.2">
      <c r="A6" s="3399">
        <v>44211</v>
      </c>
      <c r="B6" s="3397" t="s">
        <v>3535</v>
      </c>
      <c r="C6" s="3397" t="s">
        <v>1275</v>
      </c>
      <c r="D6" s="3397" t="s">
        <v>3507</v>
      </c>
      <c r="E6" s="3397" t="s">
        <v>3484</v>
      </c>
      <c r="F6" s="3398">
        <v>25000</v>
      </c>
      <c r="G6" s="3397" t="s">
        <v>3511</v>
      </c>
      <c r="H6" s="3398">
        <v>18734.726999999999</v>
      </c>
      <c r="I6" s="3397" t="s">
        <v>3497</v>
      </c>
      <c r="J6" s="3397" t="s">
        <v>3512</v>
      </c>
      <c r="K6" s="3397" t="s">
        <v>3513</v>
      </c>
      <c r="L6" s="3397" t="s">
        <v>3514</v>
      </c>
      <c r="M6" s="3397" t="s">
        <v>3499</v>
      </c>
      <c r="N6" s="3398">
        <v>85084</v>
      </c>
      <c r="O6" s="3397" t="s">
        <v>3500</v>
      </c>
      <c r="P6" s="3398">
        <v>1.93</v>
      </c>
    </row>
    <row r="7" spans="1:20" ht="42" customHeight="1">
      <c r="A7" s="3399">
        <v>44333</v>
      </c>
      <c r="B7" s="3397" t="s">
        <v>3536</v>
      </c>
      <c r="C7" s="3397" t="s">
        <v>3482</v>
      </c>
      <c r="D7" s="3397" t="s">
        <v>3483</v>
      </c>
      <c r="E7" s="3397" t="s">
        <v>3484</v>
      </c>
      <c r="F7" s="3398">
        <v>25000</v>
      </c>
      <c r="G7" s="3397" t="s">
        <v>3485</v>
      </c>
      <c r="H7" s="3398">
        <v>6265.27</v>
      </c>
      <c r="I7" s="3397" t="s">
        <v>3486</v>
      </c>
      <c r="J7" s="3397" t="s">
        <v>3487</v>
      </c>
      <c r="K7" s="3397" t="s">
        <v>3488</v>
      </c>
      <c r="L7" s="3397" t="s">
        <v>3489</v>
      </c>
      <c r="M7" s="3397" t="s">
        <v>3490</v>
      </c>
      <c r="N7" s="3397" t="s">
        <v>3491</v>
      </c>
      <c r="O7" s="3397" t="s">
        <v>3492</v>
      </c>
      <c r="P7" s="3397" t="s">
        <v>3493</v>
      </c>
      <c r="Q7" s="3397" t="s">
        <v>3494</v>
      </c>
      <c r="R7" s="3397" t="s">
        <v>3495</v>
      </c>
      <c r="S7" s="3397" t="s">
        <v>3496</v>
      </c>
      <c r="T7" s="3398">
        <v>81081</v>
      </c>
    </row>
    <row r="8" spans="1:20" ht="43.2">
      <c r="C8" s="3397" t="s">
        <v>3497</v>
      </c>
      <c r="D8" s="3397" t="s">
        <v>3498</v>
      </c>
      <c r="E8" s="3397" t="s">
        <v>3499</v>
      </c>
      <c r="F8" s="3398">
        <v>85084</v>
      </c>
      <c r="G8" s="3397" t="s">
        <v>3500</v>
      </c>
      <c r="H8" s="3398">
        <v>1.93</v>
      </c>
      <c r="I8" s="3397" t="s">
        <v>1209</v>
      </c>
      <c r="J8" s="3397" t="s">
        <v>3501</v>
      </c>
      <c r="K8" s="3397" t="s">
        <v>3502</v>
      </c>
      <c r="L8" s="3397" t="s">
        <v>3503</v>
      </c>
      <c r="M8" s="3397" t="s">
        <v>3504</v>
      </c>
      <c r="N8" s="3398">
        <v>21322.98</v>
      </c>
      <c r="O8" s="3397" t="s">
        <v>3505</v>
      </c>
      <c r="P8" s="3398">
        <v>457.8</v>
      </c>
      <c r="Q8" s="3397" t="s">
        <v>3506</v>
      </c>
      <c r="R8" s="3398">
        <v>20865.18</v>
      </c>
    </row>
    <row r="9" spans="1:20" ht="43.2">
      <c r="A9" s="3400">
        <v>44224</v>
      </c>
      <c r="B9" s="3397" t="s">
        <v>3538</v>
      </c>
      <c r="C9" s="3397" t="s">
        <v>3529</v>
      </c>
      <c r="D9" s="3397" t="s">
        <v>3483</v>
      </c>
      <c r="E9" s="3397" t="s">
        <v>3530</v>
      </c>
      <c r="F9" s="3398">
        <v>85084</v>
      </c>
      <c r="G9" s="3397"/>
      <c r="I9" s="3397"/>
      <c r="J9" s="3397"/>
      <c r="K9" s="3397"/>
      <c r="L9" s="3397"/>
      <c r="M9" s="3397"/>
      <c r="O9" s="3397"/>
      <c r="Q9" s="3397"/>
    </row>
    <row r="10" spans="1:20" ht="43.2">
      <c r="A10" s="3399">
        <v>44230</v>
      </c>
      <c r="B10" s="3397" t="s">
        <v>3537</v>
      </c>
      <c r="C10" s="3397" t="s">
        <v>3529</v>
      </c>
      <c r="D10" s="3397" t="s">
        <v>3483</v>
      </c>
      <c r="E10" s="3397" t="s">
        <v>3530</v>
      </c>
      <c r="F10" s="3398">
        <v>85084</v>
      </c>
      <c r="G10" s="3397"/>
      <c r="I10" s="3397"/>
      <c r="J10" s="3397"/>
      <c r="K10" s="3397"/>
      <c r="L10" s="3397"/>
      <c r="M10" s="3397"/>
      <c r="O10" s="3397"/>
      <c r="Q10" s="3397"/>
    </row>
    <row r="11" spans="1:20" ht="158.4">
      <c r="A11" s="3399">
        <v>44257</v>
      </c>
      <c r="B11" s="3397" t="s">
        <v>3524</v>
      </c>
      <c r="C11" s="3397" t="s">
        <v>3525</v>
      </c>
      <c r="D11" s="3397" t="s">
        <v>3526</v>
      </c>
      <c r="E11" s="3397" t="s">
        <v>3527</v>
      </c>
      <c r="F11" s="3397" t="s">
        <v>3483</v>
      </c>
      <c r="G11" s="3401" t="s">
        <v>3528</v>
      </c>
    </row>
    <row r="12" spans="1:20" ht="43.2">
      <c r="A12" s="3399">
        <v>44329</v>
      </c>
      <c r="B12" s="3397" t="s">
        <v>3531</v>
      </c>
      <c r="C12" s="3397" t="s">
        <v>3532</v>
      </c>
      <c r="D12" s="3402" t="s">
        <v>3533</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37" customWidth="1"/>
    <col min="2" max="2" width="24.44140625" style="1722" customWidth="1"/>
    <col min="3" max="3" width="24.44140625" style="2699" customWidth="1"/>
    <col min="4" max="4" width="2.6640625" style="2699" customWidth="1"/>
    <col min="5" max="5" width="5.88671875" style="2699" customWidth="1"/>
    <col min="6" max="6" width="27" style="1722" customWidth="1"/>
    <col min="7" max="7" width="27" style="2700" customWidth="1"/>
    <col min="8" max="8" width="11.88671875" style="2680" customWidth="1"/>
    <col min="9" max="9" width="16.77734375" style="2681" customWidth="1"/>
    <col min="10" max="10" width="2.6640625" style="2680" customWidth="1"/>
    <col min="11" max="11" width="11.88671875" style="2680" customWidth="1"/>
    <col min="12" max="12" width="16.77734375" style="2681" customWidth="1"/>
    <col min="13" max="13" width="2.6640625" style="2680" customWidth="1"/>
    <col min="14" max="14" width="11.88671875" style="2680" customWidth="1"/>
    <col min="15" max="15" width="16.77734375" style="2681" customWidth="1"/>
    <col min="16" max="16" width="2.6640625" style="2680" customWidth="1"/>
    <col min="17" max="17" width="11.88671875" style="2680" customWidth="1"/>
    <col min="18" max="18" width="16.77734375" style="2682" customWidth="1"/>
    <col min="19" max="29" width="9" style="904"/>
    <col min="30" max="16384" width="9" style="1837"/>
  </cols>
  <sheetData>
    <row r="1" spans="1:29" s="2646" customFormat="1" ht="18" thickBot="1">
      <c r="A1" s="3641" t="s">
        <v>2970</v>
      </c>
      <c r="B1" s="3642"/>
      <c r="C1" s="3642"/>
      <c r="D1" s="3642"/>
      <c r="E1" s="3642"/>
      <c r="F1" s="3642"/>
      <c r="G1" s="3642"/>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4.4"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7.200000000000003">
      <c r="A4" s="2631"/>
      <c r="B4" s="327" t="s">
        <v>2938</v>
      </c>
      <c r="C4" s="2657" t="s">
        <v>2939</v>
      </c>
      <c r="D4" s="2654"/>
      <c r="E4" s="2658"/>
      <c r="F4" s="1522" t="s">
        <v>2940</v>
      </c>
      <c r="G4" s="2659" t="s">
        <v>2941</v>
      </c>
      <c r="H4" s="904"/>
      <c r="I4" s="904"/>
      <c r="J4" s="904"/>
      <c r="K4" s="904"/>
      <c r="L4" s="904"/>
      <c r="M4" s="904"/>
      <c r="N4" s="904"/>
      <c r="O4" s="904"/>
      <c r="P4" s="904"/>
      <c r="Q4" s="904"/>
      <c r="R4" s="904"/>
    </row>
    <row r="5" spans="1:29" ht="37.200000000000003">
      <c r="A5" s="2631"/>
      <c r="B5" s="327" t="s">
        <v>2942</v>
      </c>
      <c r="C5" s="2657" t="s">
        <v>2943</v>
      </c>
      <c r="D5" s="2654"/>
      <c r="E5" s="2658"/>
      <c r="F5" s="327" t="s">
        <v>2944</v>
      </c>
      <c r="G5" s="2659" t="s">
        <v>2945</v>
      </c>
      <c r="H5" s="904"/>
      <c r="I5" s="904"/>
      <c r="J5" s="904"/>
      <c r="K5" s="904"/>
      <c r="L5" s="904"/>
      <c r="M5" s="904"/>
      <c r="N5" s="904"/>
      <c r="O5" s="904"/>
      <c r="P5" s="904"/>
      <c r="Q5" s="904"/>
      <c r="R5" s="904"/>
    </row>
    <row r="6" spans="1:29" ht="48">
      <c r="A6" s="2631"/>
      <c r="B6" s="327" t="s">
        <v>2946</v>
      </c>
      <c r="C6" s="2659" t="s">
        <v>2941</v>
      </c>
      <c r="D6" s="2654"/>
      <c r="E6" s="2658"/>
      <c r="F6" s="327" t="s">
        <v>2947</v>
      </c>
      <c r="G6" s="2659" t="s">
        <v>2948</v>
      </c>
      <c r="H6" s="904"/>
      <c r="I6" s="904"/>
      <c r="J6" s="904"/>
      <c r="K6" s="904"/>
      <c r="L6" s="904"/>
      <c r="M6" s="904"/>
      <c r="N6" s="904"/>
      <c r="O6" s="904"/>
      <c r="P6" s="904"/>
      <c r="Q6" s="904"/>
      <c r="R6" s="904"/>
    </row>
    <row r="7" spans="1:29" ht="36.6"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ht="24">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4.4"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7.399999999999999">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 thickBot="1">
      <c r="A13" s="2679" t="s">
        <v>2971</v>
      </c>
      <c r="B13" s="2673"/>
      <c r="C13" s="2673"/>
      <c r="D13" s="2671"/>
      <c r="E13" s="2673"/>
      <c r="F13" s="2673"/>
      <c r="G13" s="2673"/>
    </row>
    <row r="14" spans="1:29" ht="14.4" thickBot="1">
      <c r="A14" s="2683"/>
      <c r="B14" s="2683"/>
      <c r="C14" s="2684" t="s">
        <v>2954</v>
      </c>
      <c r="D14" s="2654"/>
      <c r="E14" s="2685"/>
      <c r="F14" s="2685"/>
      <c r="G14" s="2649" t="s">
        <v>2955</v>
      </c>
    </row>
    <row r="15" spans="1:29" ht="52.8">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9.6">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9.6">
      <c r="A17" s="2635"/>
      <c r="B17" s="2689" t="s">
        <v>2942</v>
      </c>
      <c r="C17" s="2690" t="str">
        <f>C5</f>
        <v>估价对象位于XX商圈，周边办公楼项目较多，入驻率高，办公集聚程度较好</v>
      </c>
      <c r="D17" s="2660"/>
      <c r="E17" s="2636"/>
      <c r="F17" s="2691" t="s">
        <v>2959</v>
      </c>
      <c r="G17" s="2693"/>
    </row>
    <row r="18" spans="1:18" ht="52.8">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6.4">
      <c r="A19" s="2635"/>
      <c r="B19" s="2691" t="s">
        <v>2960</v>
      </c>
      <c r="C19" s="2693"/>
      <c r="D19" s="2654"/>
      <c r="E19" s="2636"/>
      <c r="F19" s="327" t="s">
        <v>2944</v>
      </c>
      <c r="G19" s="2692" t="str">
        <f>G5</f>
        <v>估价对象所在区域公共配套设施齐备情况</v>
      </c>
    </row>
    <row r="20" spans="1:18" ht="26.4">
      <c r="A20" s="2635"/>
      <c r="B20" s="2691" t="s">
        <v>2961</v>
      </c>
      <c r="C20" s="2690" t="str">
        <f>C9</f>
        <v>区域自然环境：；人文环境；综合评价环境状况一般</v>
      </c>
      <c r="D20" s="2660"/>
      <c r="E20" s="2636"/>
      <c r="F20" s="327" t="s">
        <v>2947</v>
      </c>
      <c r="G20" s="2692" t="str">
        <f>G6</f>
        <v>估价对象所在区域基础设施水平</v>
      </c>
    </row>
    <row r="21" spans="1:18" ht="26.4">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4.4"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4.4"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O26"/>
  <sheetViews>
    <sheetView workbookViewId="0">
      <selection activeCell="F24" sqref="F24"/>
    </sheetView>
  </sheetViews>
  <sheetFormatPr defaultRowHeight="14.4"/>
  <cols>
    <col min="5" max="5" width="13.21875" customWidth="1"/>
    <col min="6" max="6" width="13.88671875" customWidth="1"/>
    <col min="7" max="7" width="14" customWidth="1"/>
    <col min="8" max="8" width="12.33203125" customWidth="1"/>
  </cols>
  <sheetData>
    <row r="1" spans="1:15">
      <c r="A1" s="3643" t="s">
        <v>3340</v>
      </c>
      <c r="B1" s="3645" t="s">
        <v>3342</v>
      </c>
      <c r="C1" s="3646"/>
      <c r="D1" s="3647"/>
      <c r="E1" s="3651" t="s">
        <v>3343</v>
      </c>
      <c r="F1" s="3653" t="s">
        <v>3344</v>
      </c>
      <c r="G1" s="3651" t="s">
        <v>3345</v>
      </c>
      <c r="H1" s="3651" t="s">
        <v>3346</v>
      </c>
      <c r="I1" s="3658" t="s">
        <v>3347</v>
      </c>
      <c r="J1" s="3659"/>
      <c r="K1" s="3662" t="s">
        <v>3348</v>
      </c>
      <c r="L1" s="3663"/>
      <c r="M1" s="3653" t="s">
        <v>3349</v>
      </c>
      <c r="N1" s="3658" t="s">
        <v>3350</v>
      </c>
      <c r="O1" s="3659"/>
    </row>
    <row r="2" spans="1:15" ht="15" thickBot="1">
      <c r="A2" s="3644"/>
      <c r="B2" s="3648"/>
      <c r="C2" s="3649"/>
      <c r="D2" s="3650"/>
      <c r="E2" s="3652"/>
      <c r="F2" s="3654"/>
      <c r="G2" s="3652"/>
      <c r="H2" s="3652"/>
      <c r="I2" s="3660"/>
      <c r="J2" s="3661"/>
      <c r="K2" s="3664"/>
      <c r="L2" s="3665"/>
      <c r="M2" s="3654"/>
      <c r="N2" s="3660"/>
      <c r="O2" s="3661"/>
    </row>
    <row r="3" spans="1:15" ht="15" thickBot="1">
      <c r="A3" s="3680">
        <v>1</v>
      </c>
      <c r="B3" s="3666" t="s">
        <v>3351</v>
      </c>
      <c r="C3" s="3667"/>
      <c r="D3" s="3668"/>
      <c r="E3" s="3256" t="e">
        <f>SUM(E4:E8)</f>
        <v>#REF!</v>
      </c>
      <c r="F3" s="3256" t="e">
        <f>ROUND(E3/#REF!*#REF!,4)</f>
        <v>#REF!</v>
      </c>
      <c r="G3" s="3256" t="e">
        <f>SUM(G4:G8)</f>
        <v>#REF!</v>
      </c>
      <c r="H3" s="3256">
        <v>0</v>
      </c>
      <c r="I3" s="3669" t="e">
        <f>ROUND(F3*100000000/#REF!,0)</f>
        <v>#REF!</v>
      </c>
      <c r="J3" s="3670"/>
      <c r="K3" s="3671"/>
      <c r="L3" s="3672"/>
      <c r="M3" s="3257">
        <v>0</v>
      </c>
      <c r="N3" s="3669" t="e">
        <f>ROUND(M3*100000000/#REF!,0)</f>
        <v>#REF!</v>
      </c>
      <c r="O3" s="3670"/>
    </row>
    <row r="4" spans="1:15" ht="15" thickBot="1">
      <c r="A4" s="3673"/>
      <c r="B4" s="3643" t="s">
        <v>3352</v>
      </c>
      <c r="C4" s="3655" t="s">
        <v>3353</v>
      </c>
      <c r="D4" s="3656"/>
      <c r="E4" s="3258">
        <v>0</v>
      </c>
      <c r="F4" s="3258">
        <v>0</v>
      </c>
      <c r="G4" s="3258">
        <v>0</v>
      </c>
      <c r="H4" s="3258">
        <v>0</v>
      </c>
      <c r="I4" s="3655"/>
      <c r="J4" s="3656"/>
      <c r="K4" s="3657"/>
      <c r="L4" s="3656"/>
      <c r="M4" s="3259">
        <f t="shared" ref="M4:M24" si="0">F4</f>
        <v>0</v>
      </c>
      <c r="N4" s="3655"/>
      <c r="O4" s="3656"/>
    </row>
    <row r="5" spans="1:15" ht="15" thickBot="1">
      <c r="A5" s="3673"/>
      <c r="B5" s="3673"/>
      <c r="C5" s="3655" t="s">
        <v>3354</v>
      </c>
      <c r="D5" s="3656"/>
      <c r="E5" s="3258" t="e">
        <f>ROUND((D34+D36+D38)/10000-#REF!,4)</f>
        <v>#REF!</v>
      </c>
      <c r="F5" s="3258" t="e">
        <f>ROUND(E5/#REF!*#REF!,4)</f>
        <v>#REF!</v>
      </c>
      <c r="G5" s="3258" t="e">
        <f>ROUND(E5/#REF!*#REF!,4)</f>
        <v>#REF!</v>
      </c>
      <c r="H5" s="3258">
        <v>0</v>
      </c>
      <c r="I5" s="3655"/>
      <c r="J5" s="3656"/>
      <c r="K5" s="3657" t="s">
        <v>3355</v>
      </c>
      <c r="L5" s="3656"/>
      <c r="M5" s="3259" t="e">
        <f t="shared" si="0"/>
        <v>#REF!</v>
      </c>
      <c r="N5" s="3655"/>
      <c r="O5" s="3656"/>
    </row>
    <row r="6" spans="1:15" ht="15" thickBot="1">
      <c r="A6" s="3673"/>
      <c r="B6" s="3673"/>
      <c r="C6" s="3655" t="s">
        <v>3356</v>
      </c>
      <c r="D6" s="3656"/>
      <c r="E6" s="3258">
        <f>ROUND(D35/10000,4)</f>
        <v>0</v>
      </c>
      <c r="F6" s="3258" t="e">
        <f>ROUND(E6/#REF!*#REF!,4)</f>
        <v>#REF!</v>
      </c>
      <c r="G6" s="3258" t="e">
        <f>ROUND(E6/#REF!*#REF!,4)</f>
        <v>#REF!</v>
      </c>
      <c r="H6" s="3258">
        <v>0</v>
      </c>
      <c r="I6" s="3655"/>
      <c r="J6" s="3656"/>
      <c r="K6" s="3657" t="s">
        <v>3357</v>
      </c>
      <c r="L6" s="3656"/>
      <c r="M6" s="3259" t="e">
        <f t="shared" si="0"/>
        <v>#REF!</v>
      </c>
      <c r="N6" s="3655"/>
      <c r="O6" s="3656"/>
    </row>
    <row r="7" spans="1:15" ht="15" thickBot="1">
      <c r="A7" s="3673"/>
      <c r="B7" s="3673"/>
      <c r="C7" s="3655" t="s">
        <v>3358</v>
      </c>
      <c r="D7" s="3656"/>
      <c r="E7" s="3258">
        <f>ROUND(D37/10000,4)</f>
        <v>0</v>
      </c>
      <c r="F7" s="3258" t="e">
        <f>ROUND(E7/#REF!*#REF!,4)</f>
        <v>#REF!</v>
      </c>
      <c r="G7" s="3258" t="e">
        <f>ROUND(E7/#REF!*#REF!,4)</f>
        <v>#REF!</v>
      </c>
      <c r="H7" s="3258">
        <v>0</v>
      </c>
      <c r="I7" s="3655"/>
      <c r="J7" s="3656"/>
      <c r="K7" s="3657" t="s">
        <v>3359</v>
      </c>
      <c r="L7" s="3656"/>
      <c r="M7" s="3259" t="e">
        <f t="shared" si="0"/>
        <v>#REF!</v>
      </c>
      <c r="N7" s="3655"/>
      <c r="O7" s="3656"/>
    </row>
    <row r="8" spans="1:15" ht="15" thickBot="1">
      <c r="A8" s="3674"/>
      <c r="B8" s="3674"/>
      <c r="C8" s="3655" t="s">
        <v>3360</v>
      </c>
      <c r="D8" s="3656"/>
      <c r="E8" s="3258">
        <v>0</v>
      </c>
      <c r="F8" s="3258">
        <v>0</v>
      </c>
      <c r="G8" s="3258">
        <v>0</v>
      </c>
      <c r="H8" s="3258">
        <v>0</v>
      </c>
      <c r="I8" s="3655"/>
      <c r="J8" s="3656"/>
      <c r="K8" s="3657" t="s">
        <v>3357</v>
      </c>
      <c r="L8" s="3656"/>
      <c r="M8" s="3259">
        <f t="shared" si="0"/>
        <v>0</v>
      </c>
      <c r="N8" s="3655"/>
      <c r="O8" s="3656"/>
    </row>
    <row r="9" spans="1:15" ht="15" thickBot="1">
      <c r="A9" s="3643">
        <v>2</v>
      </c>
      <c r="B9" s="3675" t="s">
        <v>3361</v>
      </c>
      <c r="C9" s="3676"/>
      <c r="D9" s="3677"/>
      <c r="E9" s="3256" t="e">
        <f>#REF!</f>
        <v>#REF!</v>
      </c>
      <c r="F9" s="3256" t="e">
        <f>F10</f>
        <v>#REF!</v>
      </c>
      <c r="G9" s="3256" t="e">
        <f>G10</f>
        <v>#REF!</v>
      </c>
      <c r="H9" s="3256" t="e">
        <f>#REF!</f>
        <v>#REF!</v>
      </c>
      <c r="I9" s="3669" t="e">
        <f>ROUND(F9*100000000/#REF!,0)</f>
        <v>#REF!</v>
      </c>
      <c r="J9" s="3678"/>
      <c r="K9" s="3655"/>
      <c r="L9" s="3679"/>
      <c r="M9" s="3256" t="e">
        <f t="shared" si="0"/>
        <v>#REF!</v>
      </c>
      <c r="N9" s="3669" t="e">
        <f>ROUND(M9*100000000/#REF!,0)</f>
        <v>#REF!</v>
      </c>
      <c r="O9" s="3678"/>
    </row>
    <row r="10" spans="1:15" ht="15" thickBot="1">
      <c r="A10" s="3673"/>
      <c r="B10" s="3643" t="s">
        <v>3362</v>
      </c>
      <c r="C10" s="3655" t="s">
        <v>3363</v>
      </c>
      <c r="D10" s="3656"/>
      <c r="E10" s="3258" t="e">
        <f>#REF!</f>
        <v>#REF!</v>
      </c>
      <c r="F10" s="3258" t="e">
        <f>ROUND(E10/#REF!*#REF!,4)</f>
        <v>#REF!</v>
      </c>
      <c r="G10" s="3258" t="e">
        <f>ROUND(E10/#REF!*#REF!,4)</f>
        <v>#REF!</v>
      </c>
      <c r="H10" s="3258" t="e">
        <f>#REF!</f>
        <v>#REF!</v>
      </c>
      <c r="I10" s="3655"/>
      <c r="J10" s="3656"/>
      <c r="K10" s="3657"/>
      <c r="L10" s="3656"/>
      <c r="M10" s="3259" t="e">
        <f t="shared" si="0"/>
        <v>#REF!</v>
      </c>
      <c r="N10" s="3655"/>
      <c r="O10" s="3656"/>
    </row>
    <row r="11" spans="1:15" ht="15" thickBot="1">
      <c r="A11" s="3644"/>
      <c r="B11" s="3644"/>
      <c r="C11" s="3655" t="s">
        <v>3364</v>
      </c>
      <c r="D11" s="3656"/>
      <c r="E11" s="3258">
        <v>0</v>
      </c>
      <c r="F11" s="3258">
        <v>0</v>
      </c>
      <c r="G11" s="3258">
        <v>0</v>
      </c>
      <c r="H11" s="3258">
        <v>0</v>
      </c>
      <c r="I11" s="3655"/>
      <c r="J11" s="3656"/>
      <c r="K11" s="3657"/>
      <c r="L11" s="3656"/>
      <c r="M11" s="3259">
        <f t="shared" si="0"/>
        <v>0</v>
      </c>
      <c r="N11" s="3655"/>
      <c r="O11" s="3656"/>
    </row>
    <row r="12" spans="1:15" ht="15" thickBot="1">
      <c r="A12" s="3680">
        <v>3</v>
      </c>
      <c r="B12" s="3681" t="s">
        <v>3365</v>
      </c>
      <c r="C12" s="3682"/>
      <c r="D12" s="3683"/>
      <c r="E12" s="3256" t="e">
        <f>#REF!</f>
        <v>#REF!</v>
      </c>
      <c r="F12" s="3256" t="e">
        <f>ROUND(E12/#REF!*#REF!,4)</f>
        <v>#REF!</v>
      </c>
      <c r="G12" s="3256" t="e">
        <f>ROUND(E12/#REF!*#REF!,4)</f>
        <v>#REF!</v>
      </c>
      <c r="H12" s="3256" t="e">
        <f>#REF!</f>
        <v>#REF!</v>
      </c>
      <c r="I12" s="3669" t="e">
        <f>ROUND(F12*100000000/#REF!,0)</f>
        <v>#REF!</v>
      </c>
      <c r="J12" s="3670"/>
      <c r="K12" s="3657" t="s">
        <v>3366</v>
      </c>
      <c r="L12" s="3656"/>
      <c r="M12" s="3256" t="e">
        <f t="shared" si="0"/>
        <v>#REF!</v>
      </c>
      <c r="N12" s="3669" t="e">
        <f>ROUND(M12*100000000/#REF!,0)</f>
        <v>#REF!</v>
      </c>
      <c r="O12" s="3670"/>
    </row>
    <row r="13" spans="1:15" ht="15" thickBot="1">
      <c r="A13" s="3673"/>
      <c r="B13" s="3643" t="s">
        <v>3362</v>
      </c>
      <c r="C13" s="3655" t="s">
        <v>3367</v>
      </c>
      <c r="D13" s="3656"/>
      <c r="E13" s="3258">
        <v>0</v>
      </c>
      <c r="F13" s="3258">
        <v>0</v>
      </c>
      <c r="G13" s="3258">
        <v>0</v>
      </c>
      <c r="H13" s="3258">
        <v>0</v>
      </c>
      <c r="I13" s="3655"/>
      <c r="J13" s="3656"/>
      <c r="K13" s="3657" t="s">
        <v>3368</v>
      </c>
      <c r="L13" s="3656"/>
      <c r="M13" s="3259">
        <f t="shared" si="0"/>
        <v>0</v>
      </c>
      <c r="N13" s="3655"/>
      <c r="O13" s="3656"/>
    </row>
    <row r="14" spans="1:15" ht="15" thickBot="1">
      <c r="A14" s="3644"/>
      <c r="B14" s="3644"/>
      <c r="C14" s="3655" t="s">
        <v>3369</v>
      </c>
      <c r="D14" s="3656"/>
      <c r="E14" s="3258">
        <v>0</v>
      </c>
      <c r="F14" s="3258">
        <v>0</v>
      </c>
      <c r="G14" s="3258">
        <v>0</v>
      </c>
      <c r="H14" s="3258">
        <v>0</v>
      </c>
      <c r="I14" s="3655"/>
      <c r="J14" s="3656"/>
      <c r="K14" s="3657" t="s">
        <v>3368</v>
      </c>
      <c r="L14" s="3656"/>
      <c r="M14" s="3259">
        <f t="shared" si="0"/>
        <v>0</v>
      </c>
      <c r="N14" s="3655"/>
      <c r="O14" s="3656"/>
    </row>
    <row r="15" spans="1:15" ht="15" thickBot="1">
      <c r="A15" s="3680">
        <v>4</v>
      </c>
      <c r="B15" s="3681" t="s">
        <v>3370</v>
      </c>
      <c r="C15" s="3682"/>
      <c r="D15" s="3683"/>
      <c r="E15" s="3256" t="e">
        <f>E16</f>
        <v>#REF!</v>
      </c>
      <c r="F15" s="3256" t="e">
        <f>F16</f>
        <v>#REF!</v>
      </c>
      <c r="G15" s="3256" t="e">
        <f>G16</f>
        <v>#REF!</v>
      </c>
      <c r="H15" s="3256" t="e">
        <f>H16</f>
        <v>#REF!</v>
      </c>
      <c r="I15" s="3669" t="e">
        <f>ROUND(F15*100000000/#REF!,0)</f>
        <v>#REF!</v>
      </c>
      <c r="J15" s="3670"/>
      <c r="K15" s="3657" t="s">
        <v>3371</v>
      </c>
      <c r="L15" s="3656"/>
      <c r="M15" s="3256" t="e">
        <f t="shared" si="0"/>
        <v>#REF!</v>
      </c>
      <c r="N15" s="3669" t="e">
        <f>ROUND(M15*100000000/#REF!,0)</f>
        <v>#REF!</v>
      </c>
      <c r="O15" s="3670"/>
    </row>
    <row r="16" spans="1:15" ht="15" thickBot="1">
      <c r="A16" s="3673"/>
      <c r="B16" s="3643" t="s">
        <v>3362</v>
      </c>
      <c r="C16" s="3655" t="s">
        <v>3372</v>
      </c>
      <c r="D16" s="3656"/>
      <c r="E16" s="3258" t="e">
        <f>E17+E18</f>
        <v>#REF!</v>
      </c>
      <c r="F16" s="3259" t="e">
        <f>F17+F18</f>
        <v>#REF!</v>
      </c>
      <c r="G16" s="3258" t="e">
        <f>G17+G18</f>
        <v>#REF!</v>
      </c>
      <c r="H16" s="3258" t="e">
        <f>H17+H18</f>
        <v>#REF!</v>
      </c>
      <c r="I16" s="3655"/>
      <c r="J16" s="3656"/>
      <c r="K16" s="3657"/>
      <c r="L16" s="3656"/>
      <c r="M16" s="3259" t="e">
        <f t="shared" si="0"/>
        <v>#REF!</v>
      </c>
      <c r="N16" s="3655"/>
      <c r="O16" s="3656"/>
    </row>
    <row r="17" spans="1:15" ht="15" thickBot="1">
      <c r="A17" s="3673"/>
      <c r="B17" s="3673"/>
      <c r="C17" s="3643" t="s">
        <v>3373</v>
      </c>
      <c r="D17" s="3258" t="s">
        <v>3374</v>
      </c>
      <c r="E17" s="3258" t="e">
        <f>#REF!</f>
        <v>#REF!</v>
      </c>
      <c r="F17" s="3259" t="e">
        <f>ROUND(E17/#REF!*#REF!,4)</f>
        <v>#REF!</v>
      </c>
      <c r="G17" s="3258" t="e">
        <f>ROUND(E17/#REF!*#REF!,4)</f>
        <v>#REF!</v>
      </c>
      <c r="H17" s="3258" t="e">
        <f>#REF!</f>
        <v>#REF!</v>
      </c>
      <c r="I17" s="3655"/>
      <c r="J17" s="3656"/>
      <c r="K17" s="3657"/>
      <c r="L17" s="3656"/>
      <c r="M17" s="3259" t="e">
        <f t="shared" si="0"/>
        <v>#REF!</v>
      </c>
      <c r="N17" s="3655"/>
      <c r="O17" s="3656"/>
    </row>
    <row r="18" spans="1:15" ht="29.4" thickBot="1">
      <c r="A18" s="3644"/>
      <c r="B18" s="3644"/>
      <c r="C18" s="3644"/>
      <c r="D18" s="3260" t="s">
        <v>3375</v>
      </c>
      <c r="E18" s="3258" t="e">
        <f>#REF!</f>
        <v>#REF!</v>
      </c>
      <c r="F18" s="3259" t="e">
        <f>ROUND(E18/#REF!*#REF!,4)</f>
        <v>#REF!</v>
      </c>
      <c r="G18" s="3258" t="e">
        <f>ROUND(E18/#REF!*#REF!,4)</f>
        <v>#REF!</v>
      </c>
      <c r="H18" s="3258" t="e">
        <f>#REF!</f>
        <v>#REF!</v>
      </c>
      <c r="I18" s="3655"/>
      <c r="J18" s="3656"/>
      <c r="K18" s="3657"/>
      <c r="L18" s="3656"/>
      <c r="M18" s="3259" t="e">
        <f t="shared" si="0"/>
        <v>#REF!</v>
      </c>
      <c r="N18" s="3655"/>
      <c r="O18" s="3656"/>
    </row>
    <row r="19" spans="1:15" ht="15" thickBot="1">
      <c r="A19" s="3261">
        <v>5</v>
      </c>
      <c r="B19" s="3681" t="s">
        <v>3376</v>
      </c>
      <c r="C19" s="3682"/>
      <c r="D19" s="3683"/>
      <c r="E19" s="3257" t="e">
        <f>ROUND((E3+E9+E12+E15)*0.02,4)</f>
        <v>#REF!</v>
      </c>
      <c r="F19" s="3257" t="e">
        <f>ROUND(E19/#REF!*#REF!,4)</f>
        <v>#REF!</v>
      </c>
      <c r="G19" s="3257" t="e">
        <f>ROUND(E19/#REF!*#REF!,4)</f>
        <v>#REF!</v>
      </c>
      <c r="H19" s="3257" t="e">
        <f>ROUND((H3+H9+H12+H15)*0.02,4)</f>
        <v>#REF!</v>
      </c>
      <c r="I19" s="3675" t="e">
        <f>ROUND(F19*100000000/#REF!,0)</f>
        <v>#REF!</v>
      </c>
      <c r="J19" s="3692"/>
      <c r="K19" s="3693" t="s">
        <v>3377</v>
      </c>
      <c r="L19" s="3694"/>
      <c r="M19" s="3257" t="e">
        <f>ROUND((M3+M9+M12+M15)*0.02,4)</f>
        <v>#REF!</v>
      </c>
      <c r="N19" s="3675" t="e">
        <f>ROUND(M19*100000000/#REF!,0)</f>
        <v>#REF!</v>
      </c>
      <c r="O19" s="3692"/>
    </row>
    <row r="20" spans="1:15" ht="15" thickBot="1">
      <c r="A20" s="3684">
        <v>6</v>
      </c>
      <c r="B20" s="3686" t="s">
        <v>3378</v>
      </c>
      <c r="C20" s="3687"/>
      <c r="D20" s="3262" t="s">
        <v>3379</v>
      </c>
      <c r="E20" s="3263" t="e">
        <f>F20+G20</f>
        <v>#REF!</v>
      </c>
      <c r="F20" s="3264">
        <v>5.2285000000000004</v>
      </c>
      <c r="G20" s="3263" t="e">
        <f>ROUND(G3*(1.0475^(3/2+3)-1)+(G9+G12+G15+G19)*(1.0475^(3/2)-1),4)</f>
        <v>#REF!</v>
      </c>
      <c r="H20" s="3263" t="e">
        <f>ROUND(H3*(1.0475^(3/2+3)-1)+(H9+H12+H15+H19)*(1.0475^(3/2)-1),4)</f>
        <v>#REF!</v>
      </c>
      <c r="I20" s="3686" t="e">
        <f>ROUND(F20*100000000/#REF!,0)</f>
        <v>#REF!</v>
      </c>
      <c r="J20" s="3687"/>
      <c r="K20" s="3662" t="s">
        <v>3380</v>
      </c>
      <c r="L20" s="3663"/>
      <c r="M20" s="3263" t="e">
        <f>ROUND(M3*(1.0475^(3/2+3)-1)+(M9+M12+M15+M19)*(1.0475^(3/2)-1),4)</f>
        <v>#REF!</v>
      </c>
      <c r="N20" s="3686" t="e">
        <f>ROUND(M20*100000000/#REF!,0)</f>
        <v>#REF!</v>
      </c>
      <c r="O20" s="3687"/>
    </row>
    <row r="21" spans="1:15" ht="15" thickBot="1">
      <c r="A21" s="3685"/>
      <c r="B21" s="3688"/>
      <c r="C21" s="3689"/>
      <c r="D21" s="3256" t="s">
        <v>3381</v>
      </c>
      <c r="E21" s="3265">
        <v>4.7500000000000001E-2</v>
      </c>
      <c r="F21" s="3265">
        <f>E21</f>
        <v>4.7500000000000001E-2</v>
      </c>
      <c r="G21" s="3265">
        <f>F21</f>
        <v>4.7500000000000001E-2</v>
      </c>
      <c r="H21" s="3265">
        <f>E21</f>
        <v>4.7500000000000001E-2</v>
      </c>
      <c r="I21" s="3681"/>
      <c r="J21" s="3683"/>
      <c r="K21" s="3690"/>
      <c r="L21" s="3691"/>
      <c r="M21" s="3266">
        <f>E21</f>
        <v>4.7500000000000001E-2</v>
      </c>
      <c r="N21" s="3681"/>
      <c r="O21" s="3683"/>
    </row>
    <row r="22" spans="1:15" ht="15" thickBot="1">
      <c r="A22" s="3261">
        <v>7</v>
      </c>
      <c r="B22" s="3681" t="s">
        <v>3382</v>
      </c>
      <c r="C22" s="3682"/>
      <c r="D22" s="3683"/>
      <c r="E22" s="3257" t="e">
        <f>ROUND((E3+E9+E12+E15)*0.03,4)</f>
        <v>#REF!</v>
      </c>
      <c r="F22" s="3257" t="e">
        <f>ROUND(E22/#REF!*#REF!,4)</f>
        <v>#REF!</v>
      </c>
      <c r="G22" s="3257" t="e">
        <f>ROUND(E22/#REF!*#REF!,4)</f>
        <v>#REF!</v>
      </c>
      <c r="H22" s="3257" t="e">
        <f>ROUND((H9+H12+H15+H3)*0.03,4)</f>
        <v>#REF!</v>
      </c>
      <c r="I22" s="3675" t="e">
        <f>ROUND(F22*100000000/#REF!,0)</f>
        <v>#REF!</v>
      </c>
      <c r="J22" s="3692"/>
      <c r="K22" s="3693" t="s">
        <v>3383</v>
      </c>
      <c r="L22" s="3694"/>
      <c r="M22" s="3257" t="e">
        <f>ROUND((M3+M9+M12+M15)*0.03,4)</f>
        <v>#REF!</v>
      </c>
      <c r="N22" s="3675" t="e">
        <f>ROUND(M22*100000000/#REF!,0)</f>
        <v>#REF!</v>
      </c>
      <c r="O22" s="3692"/>
    </row>
    <row r="23" spans="1:15" ht="15" thickBot="1">
      <c r="A23" s="3261">
        <v>8</v>
      </c>
      <c r="B23" s="3675" t="s">
        <v>3384</v>
      </c>
      <c r="C23" s="3676"/>
      <c r="D23" s="3692"/>
      <c r="E23" s="3267" t="e">
        <f>ROUND((E3+E9+E12+E15+E19+E20+E22)*0.055,4)</f>
        <v>#REF!</v>
      </c>
      <c r="F23" s="3267" t="e">
        <f>ROUND(E23/#REF!*#REF!,4)</f>
        <v>#REF!</v>
      </c>
      <c r="G23" s="3268" t="e">
        <f>ROUND((G3+G9+G12+G15+G19+G20+G22)*0.055,4)</f>
        <v>#REF!</v>
      </c>
      <c r="H23" s="3268" t="e">
        <f>ROUND((H3+H9+H12+H15+H19+H20+H22)*0.055,4)</f>
        <v>#REF!</v>
      </c>
      <c r="I23" s="3675" t="e">
        <f>ROUND(F23*100000000/#REF!,0)</f>
        <v>#REF!</v>
      </c>
      <c r="J23" s="3676"/>
      <c r="K23" s="3695" t="s">
        <v>3385</v>
      </c>
      <c r="L23" s="3694"/>
      <c r="M23" s="3257" t="e">
        <f>ROUND((M3+M9+M12+M15+M19+M20+M22)*0.055,4)</f>
        <v>#REF!</v>
      </c>
      <c r="N23" s="3675" t="e">
        <f>ROUND(M23*100000000/#REF!,0)</f>
        <v>#REF!</v>
      </c>
      <c r="O23" s="3676"/>
    </row>
    <row r="24" spans="1:15" ht="15" thickBot="1">
      <c r="A24" s="3269">
        <v>9</v>
      </c>
      <c r="B24" s="3699" t="s">
        <v>3386</v>
      </c>
      <c r="C24" s="3699"/>
      <c r="D24" s="3699"/>
      <c r="E24" s="3270" t="e">
        <f>#REF!</f>
        <v>#REF!</v>
      </c>
      <c r="F24" s="3271" t="e">
        <f>ROUND(E24/#REF!*#REF!,4)</f>
        <v>#REF!</v>
      </c>
      <c r="G24" s="3272" t="e">
        <f>ROUND(E24/#REF!*#REF!,4)</f>
        <v>#REF!</v>
      </c>
      <c r="H24" s="3271" t="e">
        <f>#REF!</f>
        <v>#REF!</v>
      </c>
      <c r="I24" s="3699" t="e">
        <f>ROUND(F24*100000000/#REF!,0)</f>
        <v>#REF!</v>
      </c>
      <c r="J24" s="3699"/>
      <c r="K24" s="3700"/>
      <c r="L24" s="3656"/>
      <c r="M24" s="3257" t="e">
        <f t="shared" si="0"/>
        <v>#REF!</v>
      </c>
      <c r="N24" s="3699" t="e">
        <f>ROUND(M24*100000000/#REF!,0)</f>
        <v>#REF!</v>
      </c>
      <c r="O24" s="3699"/>
    </row>
    <row r="25" spans="1:15" ht="15" thickBot="1">
      <c r="A25" s="3273">
        <v>10</v>
      </c>
      <c r="B25" s="3655" t="s">
        <v>3387</v>
      </c>
      <c r="C25" s="3700"/>
      <c r="D25" s="3679"/>
      <c r="E25" s="3258" t="e">
        <f>E3+E9+E12+E15+E19+E20+E22+E23+E24</f>
        <v>#REF!</v>
      </c>
      <c r="F25" s="3274" t="e">
        <f>F3+F9+F12+F15+F19+F20+F22+F23+F24</f>
        <v>#REF!</v>
      </c>
      <c r="G25" s="3258" t="e">
        <f>G3+G9+G12+G15+G19+G20+G22+G23+G24</f>
        <v>#REF!</v>
      </c>
      <c r="H25" s="3258" t="e">
        <f>H3+H9+H12+H15+H19+H20+H22+H23+H24</f>
        <v>#REF!</v>
      </c>
      <c r="I25" s="3701" t="e">
        <f>ROUND(F25*100000000/#REF!,0)</f>
        <v>#REF!</v>
      </c>
      <c r="J25" s="3702"/>
      <c r="K25" s="3657"/>
      <c r="L25" s="3656"/>
      <c r="M25" s="3258" t="e">
        <f>M3+M9+M12+M15+M19+M20+M22+M23+M24</f>
        <v>#REF!</v>
      </c>
      <c r="N25" s="3655" t="e">
        <f>ROUND(M25*100000000/#REF!,0)</f>
        <v>#REF!</v>
      </c>
      <c r="O25" s="3656"/>
    </row>
    <row r="26" spans="1:15" ht="15" thickBot="1">
      <c r="A26" s="3275"/>
      <c r="B26" s="3696" t="s">
        <v>3388</v>
      </c>
      <c r="C26" s="3697"/>
      <c r="D26" s="3698"/>
      <c r="E26" s="3258" t="e">
        <f>E25+H25</f>
        <v>#REF!</v>
      </c>
      <c r="F26" s="3258" t="e">
        <f>F25+H25+G25</f>
        <v>#REF!</v>
      </c>
      <c r="G26" s="3276"/>
      <c r="H26" s="3276"/>
      <c r="I26" s="3276"/>
      <c r="J26" s="3277"/>
      <c r="K26" s="3276"/>
      <c r="L26" s="3277"/>
      <c r="M26" s="3277"/>
      <c r="N26" s="3277"/>
      <c r="O26" s="3278"/>
    </row>
  </sheetData>
  <mergeCells count="107">
    <mergeCell ref="B26:D26"/>
    <mergeCell ref="B24:D24"/>
    <mergeCell ref="I24:J24"/>
    <mergeCell ref="K24:L24"/>
    <mergeCell ref="N24:O24"/>
    <mergeCell ref="B25:D25"/>
    <mergeCell ref="I25:J25"/>
    <mergeCell ref="K25:L25"/>
    <mergeCell ref="N25:O25"/>
    <mergeCell ref="B22:D22"/>
    <mergeCell ref="I22:J22"/>
    <mergeCell ref="K22:L22"/>
    <mergeCell ref="N22:O22"/>
    <mergeCell ref="B23:D23"/>
    <mergeCell ref="I23:J23"/>
    <mergeCell ref="K23:L23"/>
    <mergeCell ref="N23:O23"/>
    <mergeCell ref="N18:O18"/>
    <mergeCell ref="B19:D19"/>
    <mergeCell ref="I19:J19"/>
    <mergeCell ref="K19:L19"/>
    <mergeCell ref="N19:O19"/>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1:A2"/>
    <mergeCell ref="B1:D2"/>
    <mergeCell ref="E1:E2"/>
    <mergeCell ref="F1:F2"/>
    <mergeCell ref="G1:G2"/>
    <mergeCell ref="H1:H2"/>
    <mergeCell ref="C4:D4"/>
    <mergeCell ref="I4:J4"/>
    <mergeCell ref="K4:L4"/>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workbookViewId="0">
      <selection activeCell="J29" sqref="J29"/>
    </sheetView>
  </sheetViews>
  <sheetFormatPr defaultColWidth="9" defaultRowHeight="9.6"/>
  <cols>
    <col min="1" max="1" width="13.77734375" style="3468" customWidth="1"/>
    <col min="2" max="2" width="13.88671875" style="3468" customWidth="1"/>
    <col min="3" max="3" width="9.77734375" style="3468" bestFit="1" customWidth="1"/>
    <col min="4" max="4" width="11.6640625" style="3468" customWidth="1"/>
    <col min="5" max="5" width="9.109375" style="3468" bestFit="1" customWidth="1"/>
    <col min="6" max="6" width="13.33203125" style="3468" customWidth="1"/>
    <col min="7" max="7" width="9.77734375" style="3468" bestFit="1" customWidth="1"/>
    <col min="8" max="8" width="9.77734375" style="3468" customWidth="1"/>
    <col min="9" max="9" width="9.77734375" style="3468" bestFit="1" customWidth="1"/>
    <col min="10" max="12" width="9.109375" style="3468" bestFit="1" customWidth="1"/>
    <col min="13" max="13" width="9.77734375" style="3468" bestFit="1" customWidth="1"/>
    <col min="14" max="14" width="9.109375" style="3468" bestFit="1" customWidth="1"/>
    <col min="15" max="16384" width="9" style="3468"/>
  </cols>
  <sheetData>
    <row r="1" spans="1:14" ht="12">
      <c r="A1" s="3467" t="s">
        <v>3630</v>
      </c>
      <c r="B1" s="3467">
        <v>21500</v>
      </c>
      <c r="C1" s="3467" t="s">
        <v>3631</v>
      </c>
      <c r="D1" s="3467">
        <v>7552.43</v>
      </c>
      <c r="E1" s="3467" t="s">
        <v>3632</v>
      </c>
      <c r="F1" s="3467">
        <f>B1-D1</f>
        <v>13947.57</v>
      </c>
      <c r="G1" s="3468">
        <v>13854.97</v>
      </c>
      <c r="H1" s="3469">
        <f>G1+D1</f>
        <v>21407.4</v>
      </c>
    </row>
    <row r="2" spans="1:14" ht="16.5" customHeight="1">
      <c r="A2" s="3703" t="s">
        <v>3539</v>
      </c>
      <c r="B2" s="3703" t="s">
        <v>3540</v>
      </c>
      <c r="C2" s="3703" t="s">
        <v>3541</v>
      </c>
      <c r="D2" s="3703" t="s">
        <v>3542</v>
      </c>
      <c r="E2" s="3703"/>
      <c r="F2" s="3703"/>
      <c r="G2" s="3703" t="s">
        <v>3543</v>
      </c>
      <c r="H2" s="3467"/>
      <c r="I2" s="3703" t="s">
        <v>3542</v>
      </c>
      <c r="J2" s="3703"/>
      <c r="K2" s="3703"/>
      <c r="L2" s="3703"/>
      <c r="M2" s="3704" t="s">
        <v>3633</v>
      </c>
      <c r="N2" s="3705"/>
    </row>
    <row r="3" spans="1:14" ht="24">
      <c r="A3" s="3703"/>
      <c r="B3" s="3703"/>
      <c r="C3" s="3703"/>
      <c r="D3" s="3467" t="s">
        <v>3130</v>
      </c>
      <c r="E3" s="3467" t="s">
        <v>3546</v>
      </c>
      <c r="F3" s="3467" t="s">
        <v>3544</v>
      </c>
      <c r="G3" s="3703"/>
      <c r="H3" s="3467" t="s">
        <v>3634</v>
      </c>
      <c r="I3" s="3467" t="s">
        <v>3635</v>
      </c>
      <c r="J3" s="3467" t="s">
        <v>3636</v>
      </c>
      <c r="K3" s="3467" t="s">
        <v>3637</v>
      </c>
      <c r="L3" s="3467" t="s">
        <v>3548</v>
      </c>
      <c r="M3" s="3470" t="s">
        <v>3638</v>
      </c>
      <c r="N3" s="3470" t="s">
        <v>3639</v>
      </c>
    </row>
    <row r="4" spans="1:14" ht="12">
      <c r="A4" s="3467" t="s">
        <v>3640</v>
      </c>
      <c r="B4" s="3471">
        <v>30431</v>
      </c>
      <c r="C4" s="3472">
        <v>15250</v>
      </c>
      <c r="D4" s="3473">
        <f>6300+5480</f>
        <v>11780</v>
      </c>
      <c r="E4" s="3473">
        <f>125+220+100+170+200+150+900+625</f>
        <v>2490</v>
      </c>
      <c r="F4" s="3473">
        <f>411+69+500</f>
        <v>980</v>
      </c>
      <c r="G4" s="3472">
        <v>15181</v>
      </c>
      <c r="H4" s="3473"/>
      <c r="I4" s="3473"/>
      <c r="J4" s="3473">
        <v>8802</v>
      </c>
      <c r="K4" s="3473"/>
      <c r="L4" s="3474">
        <f>5119+60+560</f>
        <v>5739</v>
      </c>
      <c r="M4" s="3474">
        <v>640</v>
      </c>
      <c r="N4" s="3474"/>
    </row>
    <row r="5" spans="1:14" ht="12">
      <c r="A5" s="3467" t="s">
        <v>3641</v>
      </c>
      <c r="B5" s="3471">
        <v>18165</v>
      </c>
      <c r="C5" s="3472">
        <v>14830</v>
      </c>
      <c r="D5" s="3473">
        <v>14757</v>
      </c>
      <c r="E5" s="3473" t="s">
        <v>3550</v>
      </c>
      <c r="F5" s="3473">
        <v>73</v>
      </c>
      <c r="G5" s="3472">
        <v>3335</v>
      </c>
      <c r="H5" s="3473" t="s">
        <v>3157</v>
      </c>
      <c r="I5" s="3473">
        <v>380</v>
      </c>
      <c r="J5" s="3473">
        <v>2955</v>
      </c>
      <c r="K5" s="3473" t="s">
        <v>3550</v>
      </c>
      <c r="L5" s="3474" t="s">
        <v>3157</v>
      </c>
      <c r="M5" s="3474" t="s">
        <v>3550</v>
      </c>
      <c r="N5" s="3474" t="s">
        <v>3550</v>
      </c>
    </row>
    <row r="6" spans="1:14" ht="12">
      <c r="A6" s="3467" t="s">
        <v>3642</v>
      </c>
      <c r="B6" s="3471">
        <v>21434</v>
      </c>
      <c r="C6" s="3472">
        <v>17790</v>
      </c>
      <c r="D6" s="3473">
        <v>17678</v>
      </c>
      <c r="E6" s="3473">
        <v>39</v>
      </c>
      <c r="F6" s="3473">
        <v>73</v>
      </c>
      <c r="G6" s="3472">
        <v>3644</v>
      </c>
      <c r="H6" s="3473" t="s">
        <v>3157</v>
      </c>
      <c r="I6" s="3473">
        <v>514</v>
      </c>
      <c r="J6" s="3473">
        <v>3130</v>
      </c>
      <c r="K6" s="3473" t="s">
        <v>3550</v>
      </c>
      <c r="L6" s="3474" t="s">
        <v>3157</v>
      </c>
      <c r="M6" s="3474" t="s">
        <v>3550</v>
      </c>
      <c r="N6" s="3474" t="s">
        <v>3550</v>
      </c>
    </row>
    <row r="7" spans="1:14" ht="12">
      <c r="A7" s="3467" t="s">
        <v>3643</v>
      </c>
      <c r="B7" s="3471">
        <v>17750</v>
      </c>
      <c r="C7" s="3472">
        <v>14440</v>
      </c>
      <c r="D7" s="3473">
        <v>14375</v>
      </c>
      <c r="E7" s="3473" t="s">
        <v>3550</v>
      </c>
      <c r="F7" s="3473">
        <v>65</v>
      </c>
      <c r="G7" s="3472">
        <v>3310</v>
      </c>
      <c r="H7" s="3473" t="s">
        <v>3157</v>
      </c>
      <c r="I7" s="3473">
        <v>360</v>
      </c>
      <c r="J7" s="3473">
        <v>2950</v>
      </c>
      <c r="K7" s="3473" t="s">
        <v>3644</v>
      </c>
      <c r="L7" s="3474" t="s">
        <v>3644</v>
      </c>
      <c r="M7" s="3474" t="s">
        <v>3550</v>
      </c>
      <c r="N7" s="3474" t="s">
        <v>3550</v>
      </c>
    </row>
    <row r="8" spans="1:14" ht="19.5" customHeight="1">
      <c r="A8" s="3467" t="s">
        <v>3645</v>
      </c>
      <c r="B8" s="3471">
        <v>36530</v>
      </c>
      <c r="C8" s="3475" t="s">
        <v>3644</v>
      </c>
      <c r="D8" s="3474" t="s">
        <v>3550</v>
      </c>
      <c r="E8" s="3474" t="s">
        <v>3550</v>
      </c>
      <c r="F8" s="3476" t="s">
        <v>3157</v>
      </c>
      <c r="G8" s="3475">
        <v>36530</v>
      </c>
      <c r="H8" s="3474">
        <v>24000</v>
      </c>
      <c r="I8" s="3473" t="s">
        <v>3646</v>
      </c>
      <c r="J8" s="3474">
        <v>860</v>
      </c>
      <c r="K8" s="3474">
        <v>220</v>
      </c>
      <c r="L8" s="3474">
        <v>1915</v>
      </c>
      <c r="M8" s="3474">
        <v>9535</v>
      </c>
      <c r="N8" s="3474" t="s">
        <v>3644</v>
      </c>
    </row>
    <row r="9" spans="1:14" ht="22.5" customHeight="1">
      <c r="A9" s="3467" t="s">
        <v>3448</v>
      </c>
      <c r="B9" s="3470">
        <f>SUM(B4:B8)</f>
        <v>124310</v>
      </c>
      <c r="C9" s="3467">
        <f>SUM(C4:C8)</f>
        <v>62310</v>
      </c>
      <c r="D9" s="3467">
        <f t="shared" ref="D9:L9" si="0">SUM(D4:D8)</f>
        <v>58590</v>
      </c>
      <c r="E9" s="3467">
        <f t="shared" si="0"/>
        <v>2529</v>
      </c>
      <c r="F9" s="3467">
        <f t="shared" si="0"/>
        <v>1191</v>
      </c>
      <c r="G9" s="3467">
        <f t="shared" si="0"/>
        <v>62000</v>
      </c>
      <c r="H9" s="3467">
        <f t="shared" si="0"/>
        <v>24000</v>
      </c>
      <c r="I9" s="3467">
        <f t="shared" si="0"/>
        <v>1254</v>
      </c>
      <c r="J9" s="3467">
        <f t="shared" si="0"/>
        <v>18697</v>
      </c>
      <c r="K9" s="3467">
        <f t="shared" si="0"/>
        <v>220</v>
      </c>
      <c r="L9" s="3467">
        <f t="shared" si="0"/>
        <v>7654</v>
      </c>
      <c r="M9" s="3470">
        <f>SUM(M4:M8)</f>
        <v>10175</v>
      </c>
      <c r="N9" s="3470">
        <f>SUM(N4:N8)</f>
        <v>0</v>
      </c>
    </row>
    <row r="10" spans="1:14">
      <c r="B10" s="3469">
        <f>B9-D27-D28-D29-D30-M9</f>
        <v>70468</v>
      </c>
      <c r="C10" s="3469"/>
      <c r="D10" s="3469">
        <f>D5+D6+D7</f>
        <v>46810</v>
      </c>
    </row>
    <row r="11" spans="1:14">
      <c r="C11" s="3468">
        <f>C9/B1</f>
        <v>2.8981395348837209</v>
      </c>
    </row>
    <row r="12" spans="1:14" hidden="1"/>
    <row r="13" spans="1:14" hidden="1"/>
    <row r="14" spans="1:14" hidden="1">
      <c r="A14" s="3468" t="s">
        <v>3647</v>
      </c>
    </row>
    <row r="15" spans="1:14" ht="12" hidden="1">
      <c r="A15" s="3703" t="s">
        <v>3539</v>
      </c>
      <c r="B15" s="3703" t="s">
        <v>3540</v>
      </c>
      <c r="C15" s="3703" t="s">
        <v>3541</v>
      </c>
      <c r="D15" s="3703" t="s">
        <v>3542</v>
      </c>
      <c r="E15" s="3703"/>
      <c r="F15" s="3703"/>
      <c r="G15" s="3703" t="s">
        <v>3543</v>
      </c>
      <c r="H15" s="3467"/>
      <c r="I15" s="3703" t="s">
        <v>3542</v>
      </c>
      <c r="J15" s="3703"/>
      <c r="K15" s="3703"/>
      <c r="L15" s="3703"/>
      <c r="M15" s="3704" t="s">
        <v>3633</v>
      </c>
      <c r="N15" s="3705"/>
    </row>
    <row r="16" spans="1:14" ht="24" hidden="1">
      <c r="A16" s="3703"/>
      <c r="B16" s="3703"/>
      <c r="C16" s="3703"/>
      <c r="D16" s="3467" t="s">
        <v>3130</v>
      </c>
      <c r="E16" s="3467" t="s">
        <v>3546</v>
      </c>
      <c r="F16" s="3467" t="s">
        <v>3544</v>
      </c>
      <c r="G16" s="3703"/>
      <c r="H16" s="3467" t="s">
        <v>3634</v>
      </c>
      <c r="I16" s="3467" t="s">
        <v>3635</v>
      </c>
      <c r="J16" s="3467" t="s">
        <v>3648</v>
      </c>
      <c r="K16" s="3467" t="s">
        <v>3637</v>
      </c>
      <c r="L16" s="3467" t="s">
        <v>3548</v>
      </c>
      <c r="M16" s="3470" t="s">
        <v>3638</v>
      </c>
      <c r="N16" s="3470" t="s">
        <v>3639</v>
      </c>
    </row>
    <row r="17" spans="1:14" ht="12" hidden="1">
      <c r="A17" s="3467" t="s">
        <v>3649</v>
      </c>
      <c r="B17" s="3471">
        <v>18211.759999999998</v>
      </c>
      <c r="C17" s="3475">
        <v>14707.71</v>
      </c>
      <c r="D17" s="3474">
        <v>14756.66</v>
      </c>
      <c r="E17" s="3474" t="s">
        <v>3550</v>
      </c>
      <c r="F17" s="3474">
        <v>73</v>
      </c>
      <c r="G17" s="3475">
        <v>3326.21</v>
      </c>
      <c r="H17" s="3474" t="s">
        <v>3650</v>
      </c>
      <c r="I17" s="3473">
        <v>538.76</v>
      </c>
      <c r="J17" s="3473">
        <v>2702.97</v>
      </c>
      <c r="K17" s="3473" t="s">
        <v>3550</v>
      </c>
      <c r="L17" s="3474"/>
      <c r="M17" s="3474" t="s">
        <v>3550</v>
      </c>
      <c r="N17" s="3474" t="s">
        <v>3550</v>
      </c>
    </row>
    <row r="18" spans="1:14" ht="12" hidden="1">
      <c r="A18" s="3467" t="s">
        <v>3642</v>
      </c>
      <c r="B18" s="3471">
        <v>21555.51</v>
      </c>
      <c r="C18" s="3475">
        <v>17790</v>
      </c>
      <c r="D18" s="3474">
        <v>17678</v>
      </c>
      <c r="E18" s="3474">
        <v>39</v>
      </c>
      <c r="F18" s="3474">
        <v>73</v>
      </c>
      <c r="G18" s="3475">
        <v>3644</v>
      </c>
      <c r="H18" s="3474" t="s">
        <v>3157</v>
      </c>
      <c r="I18" s="3473">
        <v>514</v>
      </c>
      <c r="J18" s="3473">
        <v>3130</v>
      </c>
      <c r="K18" s="3473" t="s">
        <v>3550</v>
      </c>
      <c r="L18" s="3474" t="s">
        <v>3157</v>
      </c>
      <c r="M18" s="3474" t="s">
        <v>3550</v>
      </c>
      <c r="N18" s="3474" t="s">
        <v>3550</v>
      </c>
    </row>
    <row r="19" spans="1:14" ht="12" hidden="1">
      <c r="A19" s="3467" t="s">
        <v>3643</v>
      </c>
      <c r="B19" s="3471">
        <v>17857.38</v>
      </c>
      <c r="C19" s="3475">
        <v>14440</v>
      </c>
      <c r="D19" s="3474">
        <v>14375</v>
      </c>
      <c r="E19" s="3474" t="s">
        <v>3550</v>
      </c>
      <c r="F19" s="3474">
        <v>65</v>
      </c>
      <c r="G19" s="3475">
        <v>3310</v>
      </c>
      <c r="H19" s="3474" t="s">
        <v>3157</v>
      </c>
      <c r="I19" s="3473">
        <v>360</v>
      </c>
      <c r="J19" s="3473">
        <v>2950</v>
      </c>
      <c r="K19" s="3473" t="s">
        <v>3157</v>
      </c>
      <c r="L19" s="3474" t="s">
        <v>3157</v>
      </c>
      <c r="M19" s="3474" t="s">
        <v>3550</v>
      </c>
      <c r="N19" s="3474" t="s">
        <v>3550</v>
      </c>
    </row>
    <row r="20" spans="1:14" ht="19.5" hidden="1" customHeight="1">
      <c r="A20" s="3467" t="s">
        <v>3651</v>
      </c>
      <c r="B20" s="3471">
        <v>36530</v>
      </c>
      <c r="C20" s="3475" t="s">
        <v>3646</v>
      </c>
      <c r="D20" s="3473" t="s">
        <v>3550</v>
      </c>
      <c r="E20" s="3473" t="s">
        <v>3550</v>
      </c>
      <c r="F20" s="3473" t="s">
        <v>3646</v>
      </c>
      <c r="G20" s="3472">
        <v>36530</v>
      </c>
      <c r="H20" s="3473">
        <v>24000</v>
      </c>
      <c r="I20" s="3473" t="s">
        <v>3157</v>
      </c>
      <c r="J20" s="3474">
        <v>860</v>
      </c>
      <c r="K20" s="3474">
        <v>220</v>
      </c>
      <c r="L20" s="3474">
        <v>1915</v>
      </c>
      <c r="M20" s="3474">
        <v>9535</v>
      </c>
      <c r="N20" s="3474" t="s">
        <v>3650</v>
      </c>
    </row>
    <row r="21" spans="1:14" ht="22.5" hidden="1" customHeight="1">
      <c r="A21" s="3467" t="s">
        <v>3448</v>
      </c>
      <c r="B21" s="3470">
        <f t="shared" ref="B21:G21" si="1">SUM(B17:B20)</f>
        <v>94154.65</v>
      </c>
      <c r="C21" s="3467">
        <f t="shared" si="1"/>
        <v>46937.71</v>
      </c>
      <c r="D21" s="3467">
        <f t="shared" si="1"/>
        <v>46809.66</v>
      </c>
      <c r="E21" s="3467">
        <f t="shared" si="1"/>
        <v>39</v>
      </c>
      <c r="F21" s="3467">
        <f t="shared" si="1"/>
        <v>211</v>
      </c>
      <c r="G21" s="3467">
        <f t="shared" si="1"/>
        <v>46810.21</v>
      </c>
      <c r="H21" s="3467"/>
      <c r="I21" s="3467">
        <f t="shared" ref="I21:N21" si="2">SUM(I17:I20)</f>
        <v>1412.76</v>
      </c>
      <c r="J21" s="3467">
        <f t="shared" si="2"/>
        <v>9642.9699999999993</v>
      </c>
      <c r="K21" s="3467">
        <f t="shared" si="2"/>
        <v>220</v>
      </c>
      <c r="L21" s="3467">
        <f t="shared" si="2"/>
        <v>1915</v>
      </c>
      <c r="M21" s="3470">
        <f t="shared" si="2"/>
        <v>9535</v>
      </c>
      <c r="N21" s="3470">
        <f t="shared" si="2"/>
        <v>0</v>
      </c>
    </row>
    <row r="22" spans="1:14" hidden="1"/>
    <row r="23" spans="1:14" hidden="1"/>
    <row r="24" spans="1:14" s="3477" customFormat="1" ht="12" hidden="1"/>
    <row r="25" spans="1:14" s="3477" customFormat="1" ht="12">
      <c r="A25" s="3706" t="s">
        <v>3652</v>
      </c>
      <c r="B25" s="3706"/>
      <c r="C25" s="3706"/>
      <c r="D25" s="3706"/>
      <c r="F25" s="3477" t="s">
        <v>3640</v>
      </c>
      <c r="G25" s="3477" t="s">
        <v>3172</v>
      </c>
      <c r="H25" s="3477" t="s">
        <v>3176</v>
      </c>
    </row>
    <row r="26" spans="1:14" s="3477" customFormat="1" ht="12">
      <c r="A26" s="3478" t="s">
        <v>3653</v>
      </c>
      <c r="B26" s="3478" t="s">
        <v>3612</v>
      </c>
      <c r="C26" s="3478" t="s">
        <v>3654</v>
      </c>
      <c r="D26" s="3478" t="s">
        <v>3655</v>
      </c>
      <c r="F26" s="3477" t="s">
        <v>3656</v>
      </c>
      <c r="G26" s="3477">
        <v>6300</v>
      </c>
    </row>
    <row r="27" spans="1:14" s="3477" customFormat="1" ht="24">
      <c r="A27" s="3478">
        <v>1</v>
      </c>
      <c r="B27" s="3479" t="s">
        <v>3657</v>
      </c>
      <c r="C27" s="3479" t="s">
        <v>3658</v>
      </c>
      <c r="D27" s="3479">
        <v>100</v>
      </c>
      <c r="F27" s="3477" t="s">
        <v>3659</v>
      </c>
      <c r="G27" s="3477">
        <v>5480</v>
      </c>
    </row>
    <row r="28" spans="1:14" s="3477" customFormat="1" ht="36">
      <c r="A28" s="3478">
        <v>2</v>
      </c>
      <c r="B28" s="3480" t="s">
        <v>3660</v>
      </c>
      <c r="C28" s="3480" t="s">
        <v>3661</v>
      </c>
      <c r="D28" s="3480">
        <v>870</v>
      </c>
      <c r="F28" s="3477" t="s">
        <v>3662</v>
      </c>
      <c r="G28" s="3477">
        <v>125</v>
      </c>
      <c r="I28" s="3477">
        <f>G31+G32+G33</f>
        <v>520</v>
      </c>
      <c r="J28" s="3477">
        <f>D28-I28</f>
        <v>350</v>
      </c>
    </row>
    <row r="29" spans="1:14" s="3477" customFormat="1" ht="72">
      <c r="A29" s="3478">
        <v>3</v>
      </c>
      <c r="B29" s="3478" t="s">
        <v>3613</v>
      </c>
      <c r="C29" s="3478" t="s">
        <v>3663</v>
      </c>
      <c r="D29" s="3478">
        <v>18697</v>
      </c>
      <c r="F29" s="3477" t="s">
        <v>3664</v>
      </c>
      <c r="G29" s="3477">
        <v>220</v>
      </c>
    </row>
    <row r="30" spans="1:14" s="3477" customFormat="1" ht="24">
      <c r="A30" s="3478">
        <v>4</v>
      </c>
      <c r="B30" s="3478" t="s">
        <v>3665</v>
      </c>
      <c r="C30" s="3478" t="s">
        <v>3666</v>
      </c>
      <c r="D30" s="3478">
        <v>24000</v>
      </c>
      <c r="F30" s="3481" t="s">
        <v>3667</v>
      </c>
      <c r="G30" s="3482">
        <v>100</v>
      </c>
      <c r="H30" s="3468"/>
    </row>
    <row r="31" spans="1:14" ht="12">
      <c r="A31" s="3478" t="s">
        <v>3668</v>
      </c>
      <c r="B31" s="3478"/>
      <c r="C31" s="3478"/>
      <c r="D31" s="3478">
        <f>SUM(D27:D30)</f>
        <v>43667</v>
      </c>
      <c r="F31" s="3468" t="s">
        <v>3669</v>
      </c>
      <c r="G31" s="3468">
        <v>170</v>
      </c>
    </row>
    <row r="32" spans="1:14" ht="12">
      <c r="A32" s="3478" t="s">
        <v>3670</v>
      </c>
      <c r="B32" s="3478"/>
      <c r="C32" s="3478"/>
      <c r="D32" s="3478">
        <v>7552.43</v>
      </c>
      <c r="F32" s="3468" t="s">
        <v>3671</v>
      </c>
      <c r="G32" s="3468">
        <v>200</v>
      </c>
    </row>
    <row r="33" spans="1:14">
      <c r="F33" s="3468" t="s">
        <v>3672</v>
      </c>
      <c r="G33" s="3468">
        <v>150</v>
      </c>
    </row>
    <row r="34" spans="1:14">
      <c r="F34" s="3468" t="s">
        <v>3673</v>
      </c>
      <c r="G34" s="3468">
        <v>900</v>
      </c>
    </row>
    <row r="35" spans="1:14">
      <c r="F35" s="3468" t="s">
        <v>3674</v>
      </c>
      <c r="G35" s="3468">
        <v>625</v>
      </c>
    </row>
    <row r="36" spans="1:14">
      <c r="F36" s="3468" t="s">
        <v>3675</v>
      </c>
      <c r="G36" s="3468">
        <v>411</v>
      </c>
      <c r="H36" s="3468">
        <v>5119</v>
      </c>
    </row>
    <row r="37" spans="1:14">
      <c r="F37" s="3468" t="s">
        <v>3676</v>
      </c>
      <c r="G37" s="3468">
        <v>69</v>
      </c>
    </row>
    <row r="38" spans="1:14">
      <c r="F38" s="3468" t="s">
        <v>3677</v>
      </c>
      <c r="G38" s="3468">
        <v>500</v>
      </c>
    </row>
    <row r="39" spans="1:14">
      <c r="F39" s="3468" t="s">
        <v>3678</v>
      </c>
      <c r="H39" s="3468">
        <v>60</v>
      </c>
    </row>
    <row r="40" spans="1:14">
      <c r="F40" s="3468" t="s">
        <v>3679</v>
      </c>
      <c r="H40" s="3468">
        <v>560</v>
      </c>
    </row>
    <row r="41" spans="1:14">
      <c r="F41" s="3468" t="s">
        <v>3680</v>
      </c>
      <c r="H41" s="3468">
        <v>8802</v>
      </c>
    </row>
    <row r="42" spans="1:14">
      <c r="F42" s="3468" t="s">
        <v>3681</v>
      </c>
      <c r="H42" s="3468">
        <v>640</v>
      </c>
    </row>
    <row r="46" spans="1:14" ht="12">
      <c r="A46" s="3467" t="s">
        <v>3630</v>
      </c>
      <c r="B46" s="3467">
        <v>21500</v>
      </c>
      <c r="C46" s="3467" t="s">
        <v>3631</v>
      </c>
      <c r="D46" s="3467">
        <v>7552.43</v>
      </c>
      <c r="E46" s="3467" t="s">
        <v>3632</v>
      </c>
      <c r="F46" s="3467">
        <f>B46-D46</f>
        <v>13947.57</v>
      </c>
      <c r="G46" s="3468">
        <v>13854.97</v>
      </c>
    </row>
    <row r="47" spans="1:14" ht="12">
      <c r="A47" s="3703" t="s">
        <v>3539</v>
      </c>
      <c r="B47" s="3703" t="s">
        <v>3540</v>
      </c>
      <c r="C47" s="3703" t="s">
        <v>3541</v>
      </c>
      <c r="D47" s="3703" t="s">
        <v>3542</v>
      </c>
      <c r="E47" s="3703"/>
      <c r="F47" s="3703"/>
      <c r="G47" s="3703" t="s">
        <v>3543</v>
      </c>
      <c r="H47" s="3467"/>
      <c r="I47" s="3703" t="s">
        <v>3542</v>
      </c>
      <c r="J47" s="3703"/>
      <c r="K47" s="3703"/>
      <c r="L47" s="3703"/>
      <c r="M47" s="3704" t="s">
        <v>3633</v>
      </c>
      <c r="N47" s="3705"/>
    </row>
    <row r="48" spans="1:14" ht="24">
      <c r="A48" s="3703"/>
      <c r="B48" s="3703"/>
      <c r="C48" s="3703"/>
      <c r="D48" s="3467" t="s">
        <v>3130</v>
      </c>
      <c r="E48" s="3467" t="s">
        <v>3546</v>
      </c>
      <c r="F48" s="3467" t="s">
        <v>3544</v>
      </c>
      <c r="G48" s="3703"/>
      <c r="H48" s="3467" t="s">
        <v>3682</v>
      </c>
      <c r="I48" s="3467" t="s">
        <v>3683</v>
      </c>
      <c r="J48" s="3467" t="s">
        <v>3636</v>
      </c>
      <c r="K48" s="3467" t="s">
        <v>3637</v>
      </c>
      <c r="L48" s="3467" t="s">
        <v>3548</v>
      </c>
      <c r="M48" s="3470" t="s">
        <v>3638</v>
      </c>
      <c r="N48" s="3470" t="s">
        <v>3639</v>
      </c>
    </row>
    <row r="49" spans="1:14" ht="12">
      <c r="A49" s="3467" t="s">
        <v>3640</v>
      </c>
      <c r="B49" s="3471">
        <f>C49+G49</f>
        <v>20659</v>
      </c>
      <c r="C49" s="3472">
        <f>D49+E49+F49</f>
        <v>14280</v>
      </c>
      <c r="D49" s="3473">
        <f>6300+5480</f>
        <v>11780</v>
      </c>
      <c r="E49" s="3473">
        <f>125+220+100+170+200+150+900+625-870-100</f>
        <v>1520</v>
      </c>
      <c r="F49" s="3473">
        <f>411+69+500</f>
        <v>980</v>
      </c>
      <c r="G49" s="3472">
        <f>L49+M49</f>
        <v>6379</v>
      </c>
      <c r="H49" s="3473"/>
      <c r="I49" s="3473"/>
      <c r="J49" s="3473" t="s">
        <v>3157</v>
      </c>
      <c r="K49" s="3473"/>
      <c r="L49" s="3474">
        <f>5119+60+560</f>
        <v>5739</v>
      </c>
      <c r="M49" s="3474">
        <v>640</v>
      </c>
      <c r="N49" s="3474"/>
    </row>
    <row r="50" spans="1:14" ht="12">
      <c r="A50" s="3467" t="s">
        <v>3641</v>
      </c>
      <c r="B50" s="3471">
        <f t="shared" ref="B50:B52" si="3">C50+G50</f>
        <v>15210</v>
      </c>
      <c r="C50" s="3472">
        <f>D50+F50</f>
        <v>14830</v>
      </c>
      <c r="D50" s="3473">
        <v>14757</v>
      </c>
      <c r="E50" s="3473" t="s">
        <v>3550</v>
      </c>
      <c r="F50" s="3473">
        <v>73</v>
      </c>
      <c r="G50" s="3472">
        <f>I50</f>
        <v>380</v>
      </c>
      <c r="H50" s="3473" t="s">
        <v>3157</v>
      </c>
      <c r="I50" s="3473">
        <v>380</v>
      </c>
      <c r="J50" s="3473" t="s">
        <v>3157</v>
      </c>
      <c r="K50" s="3473" t="s">
        <v>3550</v>
      </c>
      <c r="L50" s="3474" t="s">
        <v>3157</v>
      </c>
      <c r="M50" s="3474" t="s">
        <v>3550</v>
      </c>
      <c r="N50" s="3474" t="s">
        <v>3550</v>
      </c>
    </row>
    <row r="51" spans="1:14" ht="12">
      <c r="A51" s="3467" t="s">
        <v>3642</v>
      </c>
      <c r="B51" s="3471">
        <f t="shared" si="3"/>
        <v>18304</v>
      </c>
      <c r="C51" s="3472">
        <f t="shared" ref="C51" si="4">D51+E51+F51</f>
        <v>17790</v>
      </c>
      <c r="D51" s="3473">
        <v>17678</v>
      </c>
      <c r="E51" s="3473">
        <v>39</v>
      </c>
      <c r="F51" s="3473">
        <v>73</v>
      </c>
      <c r="G51" s="3472">
        <f>I51</f>
        <v>514</v>
      </c>
      <c r="H51" s="3473" t="s">
        <v>3157</v>
      </c>
      <c r="I51" s="3473">
        <v>514</v>
      </c>
      <c r="J51" s="3473" t="s">
        <v>3157</v>
      </c>
      <c r="K51" s="3473" t="s">
        <v>3550</v>
      </c>
      <c r="L51" s="3474" t="s">
        <v>3157</v>
      </c>
      <c r="M51" s="3474" t="s">
        <v>3550</v>
      </c>
      <c r="N51" s="3474" t="s">
        <v>3550</v>
      </c>
    </row>
    <row r="52" spans="1:14" ht="12">
      <c r="A52" s="3467" t="s">
        <v>3643</v>
      </c>
      <c r="B52" s="3471">
        <f t="shared" si="3"/>
        <v>14800</v>
      </c>
      <c r="C52" s="3472">
        <f>D52+F52</f>
        <v>14440</v>
      </c>
      <c r="D52" s="3473">
        <v>14375</v>
      </c>
      <c r="E52" s="3473" t="s">
        <v>3550</v>
      </c>
      <c r="F52" s="3473">
        <v>65</v>
      </c>
      <c r="G52" s="3472">
        <f>I52</f>
        <v>360</v>
      </c>
      <c r="H52" s="3473" t="s">
        <v>3157</v>
      </c>
      <c r="I52" s="3473">
        <v>360</v>
      </c>
      <c r="J52" s="3473" t="s">
        <v>3157</v>
      </c>
      <c r="K52" s="3473" t="s">
        <v>3157</v>
      </c>
      <c r="L52" s="3474" t="s">
        <v>3157</v>
      </c>
      <c r="M52" s="3474" t="s">
        <v>3550</v>
      </c>
      <c r="N52" s="3474" t="s">
        <v>3550</v>
      </c>
    </row>
    <row r="53" spans="1:14" ht="12">
      <c r="A53" s="3467" t="s">
        <v>3645</v>
      </c>
      <c r="B53" s="3471">
        <f>G53</f>
        <v>11670</v>
      </c>
      <c r="C53" s="3475" t="s">
        <v>3684</v>
      </c>
      <c r="D53" s="3474" t="s">
        <v>3550</v>
      </c>
      <c r="E53" s="3474" t="s">
        <v>3550</v>
      </c>
      <c r="F53" s="3476" t="s">
        <v>3684</v>
      </c>
      <c r="G53" s="3475">
        <f>K53+L53+M53</f>
        <v>11670</v>
      </c>
      <c r="H53" s="3474" t="s">
        <v>3684</v>
      </c>
      <c r="I53" s="3473" t="s">
        <v>3684</v>
      </c>
      <c r="J53" s="3474" t="s">
        <v>3684</v>
      </c>
      <c r="K53" s="3474">
        <v>220</v>
      </c>
      <c r="L53" s="3474">
        <v>1915</v>
      </c>
      <c r="M53" s="3474">
        <v>9535</v>
      </c>
      <c r="N53" s="3474" t="s">
        <v>3684</v>
      </c>
    </row>
    <row r="54" spans="1:14" ht="12">
      <c r="A54" s="3467" t="s">
        <v>3448</v>
      </c>
      <c r="B54" s="3470">
        <f>SUM(B49:B53)</f>
        <v>80643</v>
      </c>
      <c r="C54" s="3467">
        <f>SUM(C49:C53)</f>
        <v>61340</v>
      </c>
      <c r="D54" s="3467">
        <f t="shared" ref="D54:L54" si="5">SUM(D49:D53)</f>
        <v>58590</v>
      </c>
      <c r="E54" s="3467">
        <f t="shared" si="5"/>
        <v>1559</v>
      </c>
      <c r="F54" s="3467">
        <f t="shared" si="5"/>
        <v>1191</v>
      </c>
      <c r="G54" s="3467">
        <f t="shared" si="5"/>
        <v>19303</v>
      </c>
      <c r="H54" s="3467">
        <f t="shared" si="5"/>
        <v>0</v>
      </c>
      <c r="I54" s="3467">
        <f t="shared" si="5"/>
        <v>1254</v>
      </c>
      <c r="J54" s="3467">
        <f t="shared" si="5"/>
        <v>0</v>
      </c>
      <c r="K54" s="3467">
        <f t="shared" si="5"/>
        <v>220</v>
      </c>
      <c r="L54" s="3467">
        <f t="shared" si="5"/>
        <v>7654</v>
      </c>
      <c r="M54" s="3470">
        <f>SUM(M49:M53)</f>
        <v>10175</v>
      </c>
      <c r="N54" s="3470">
        <f>SUM(N49:N53)</f>
        <v>0</v>
      </c>
    </row>
  </sheetData>
  <mergeCells count="22">
    <mergeCell ref="M2:N2"/>
    <mergeCell ref="A15:A16"/>
    <mergeCell ref="B15:B16"/>
    <mergeCell ref="C15:C16"/>
    <mergeCell ref="D15:F15"/>
    <mergeCell ref="G15:G16"/>
    <mergeCell ref="I15:L15"/>
    <mergeCell ref="M15:N15"/>
    <mergeCell ref="A2:A3"/>
    <mergeCell ref="B2:B3"/>
    <mergeCell ref="C2:C3"/>
    <mergeCell ref="D2:F2"/>
    <mergeCell ref="G2:G3"/>
    <mergeCell ref="I2:L2"/>
    <mergeCell ref="I47:L47"/>
    <mergeCell ref="M47:N47"/>
    <mergeCell ref="A25:D25"/>
    <mergeCell ref="A47:A48"/>
    <mergeCell ref="B47:B48"/>
    <mergeCell ref="C47:C48"/>
    <mergeCell ref="D47:F47"/>
    <mergeCell ref="G47:G48"/>
  </mergeCells>
  <phoneticPr fontId="140"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9" customWidth="1"/>
    <col min="2" max="9" width="10" style="949" customWidth="1"/>
    <col min="10" max="16384" width="9" style="949"/>
  </cols>
  <sheetData>
    <row r="36" spans="1:9">
      <c r="A36" s="948" t="s">
        <v>818</v>
      </c>
      <c r="B36" s="948" t="s">
        <v>819</v>
      </c>
    </row>
    <row r="37" spans="1:9" ht="27.75" customHeight="1">
      <c r="A37" s="948"/>
      <c r="B37" s="3551" t="str">
        <f>项目基本情况!B1</f>
        <v>北京市房地产市场价值预评估</v>
      </c>
      <c r="C37" s="3551"/>
      <c r="D37" s="3551"/>
      <c r="E37" s="3551"/>
      <c r="F37" s="3551"/>
      <c r="G37" s="3551"/>
      <c r="H37" s="3551"/>
      <c r="I37" s="3551"/>
    </row>
    <row r="38" spans="1:9">
      <c r="A38" s="950"/>
      <c r="B38" s="950"/>
    </row>
    <row r="39" spans="1:9">
      <c r="A39" s="948" t="s">
        <v>818</v>
      </c>
      <c r="B39" s="948" t="s">
        <v>820</v>
      </c>
    </row>
    <row r="40" spans="1:9">
      <c r="A40" s="948"/>
      <c r="B40" s="1624">
        <f>项目基本情况!B5</f>
        <v>0</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c r="B46" s="1624" t="str">
        <f ca="1">项目基本情况!K4</f>
        <v>陈颖（注册号：0)、叶凌（注册号：0)</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S44"/>
  <sheetViews>
    <sheetView zoomScale="90" zoomScaleNormal="90" workbookViewId="0">
      <selection activeCell="H23" sqref="H23"/>
    </sheetView>
  </sheetViews>
  <sheetFormatPr defaultColWidth="11.88671875" defaultRowHeight="15.6"/>
  <cols>
    <col min="1" max="1" width="15.6640625" style="3200" customWidth="1"/>
    <col min="2" max="2" width="10.44140625" style="3200" customWidth="1"/>
    <col min="3" max="3" width="9.88671875" style="3200" customWidth="1"/>
    <col min="4" max="4" width="11.44140625" style="3200" customWidth="1"/>
    <col min="5" max="5" width="9.33203125" style="3200" customWidth="1"/>
    <col min="6" max="6" width="12.109375" style="3200" customWidth="1"/>
    <col min="7" max="7" width="10.21875" style="3200" customWidth="1"/>
    <col min="8" max="8" width="10.109375" style="3200" customWidth="1"/>
    <col min="9" max="9" width="11.77734375" style="3200" customWidth="1"/>
    <col min="10" max="10" width="10.44140625" style="3200" customWidth="1"/>
    <col min="11" max="11" width="9" style="3200" customWidth="1"/>
    <col min="12" max="12" width="8.77734375" style="3200" customWidth="1"/>
    <col min="13" max="13" width="9.33203125" style="3200" customWidth="1"/>
    <col min="14" max="14" width="10" style="3200" customWidth="1"/>
    <col min="15" max="15" width="9.21875" style="3200" customWidth="1"/>
    <col min="16" max="16" width="4.33203125" style="3200" customWidth="1"/>
    <col min="17" max="17" width="9.6640625" style="3200" customWidth="1"/>
    <col min="18" max="18" width="21.88671875" style="3200" customWidth="1"/>
    <col min="19" max="19" width="9.77734375" style="3200" customWidth="1"/>
    <col min="20" max="16384" width="11.88671875" style="3200"/>
  </cols>
  <sheetData>
    <row r="1" spans="1:19">
      <c r="A1" s="3201" t="s">
        <v>3165</v>
      </c>
      <c r="B1" s="3201">
        <v>25000</v>
      </c>
      <c r="C1" s="3201" t="s">
        <v>3416</v>
      </c>
      <c r="D1" s="3201">
        <v>6265.27</v>
      </c>
      <c r="E1" s="3201" t="s">
        <v>3417</v>
      </c>
      <c r="F1" s="3201">
        <v>18734.726999999999</v>
      </c>
      <c r="N1" s="3201" t="s">
        <v>3183</v>
      </c>
      <c r="O1" s="3201">
        <f>C19/B1</f>
        <v>1.9288400000000001</v>
      </c>
    </row>
    <row r="2" spans="1:19" ht="14.25" customHeight="1">
      <c r="A2" s="3709" t="s">
        <v>3146</v>
      </c>
      <c r="B2" s="3709" t="s">
        <v>3166</v>
      </c>
      <c r="C2" s="3709" t="s">
        <v>3167</v>
      </c>
      <c r="D2" s="3709" t="s">
        <v>3147</v>
      </c>
      <c r="E2" s="3709"/>
      <c r="F2" s="3709"/>
      <c r="G2" s="3709" t="s">
        <v>3168</v>
      </c>
      <c r="H2" s="3709" t="s">
        <v>3147</v>
      </c>
      <c r="I2" s="3709"/>
      <c r="J2" s="3709"/>
      <c r="K2" s="3709"/>
      <c r="L2" s="3709"/>
      <c r="M2" s="3709"/>
      <c r="N2" s="3707" t="s">
        <v>3155</v>
      </c>
      <c r="O2" s="3708"/>
      <c r="Q2" s="3200" t="s">
        <v>3171</v>
      </c>
      <c r="R2" s="3200">
        <v>21322.98</v>
      </c>
    </row>
    <row r="3" spans="1:19" ht="27.75" customHeight="1">
      <c r="A3" s="3709"/>
      <c r="B3" s="3709"/>
      <c r="C3" s="3709"/>
      <c r="D3" s="3203" t="s">
        <v>3131</v>
      </c>
      <c r="E3" s="3203" t="s">
        <v>3135</v>
      </c>
      <c r="F3" s="3203" t="s">
        <v>3136</v>
      </c>
      <c r="G3" s="3709"/>
      <c r="H3" s="3203" t="s">
        <v>3148</v>
      </c>
      <c r="I3" s="3203" t="s">
        <v>3156</v>
      </c>
      <c r="J3" s="3203" t="s">
        <v>3132</v>
      </c>
      <c r="K3" s="3203" t="s">
        <v>3135</v>
      </c>
      <c r="L3" s="3203" t="s">
        <v>3133</v>
      </c>
      <c r="M3" s="3203" t="s">
        <v>3134</v>
      </c>
      <c r="N3" s="3354" t="s">
        <v>3149</v>
      </c>
      <c r="O3" s="3354" t="s">
        <v>3150</v>
      </c>
      <c r="Q3" s="3200" t="s">
        <v>3172</v>
      </c>
      <c r="R3" s="3200" t="s">
        <v>3173</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3174</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3180</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3176</v>
      </c>
      <c r="R6" s="3200" t="s">
        <v>3177</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3178</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3179</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3180</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3430</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2" spans="1:15">
      <c r="H22" s="3200">
        <f>H19+I19</f>
        <v>23672.18</v>
      </c>
    </row>
    <row r="25" spans="1:15" ht="16.2" thickBot="1">
      <c r="A25" s="3713" t="s">
        <v>3565</v>
      </c>
      <c r="B25" s="3713"/>
      <c r="C25" s="3713"/>
      <c r="D25" s="3713"/>
      <c r="E25" s="3713"/>
      <c r="F25" s="3713"/>
      <c r="G25" s="3713"/>
      <c r="H25" s="3713"/>
      <c r="I25" s="3713"/>
      <c r="J25" s="3713"/>
    </row>
    <row r="26" spans="1:15" ht="16.2" thickBot="1">
      <c r="A26" s="3714" t="s">
        <v>3539</v>
      </c>
      <c r="B26" s="3714" t="s">
        <v>3540</v>
      </c>
      <c r="C26" s="3714" t="s">
        <v>3541</v>
      </c>
      <c r="D26" s="3710" t="s">
        <v>3542</v>
      </c>
      <c r="E26" s="3712"/>
      <c r="F26" s="3714" t="s">
        <v>3543</v>
      </c>
      <c r="G26" s="3710" t="s">
        <v>3542</v>
      </c>
      <c r="H26" s="3711"/>
      <c r="I26" s="3711"/>
      <c r="J26" s="3712"/>
    </row>
    <row r="27" spans="1:15" ht="47.4" thickBot="1">
      <c r="A27" s="3715"/>
      <c r="B27" s="3715"/>
      <c r="C27" s="3715"/>
      <c r="D27" s="3404" t="s">
        <v>3130</v>
      </c>
      <c r="E27" s="3404" t="s">
        <v>3544</v>
      </c>
      <c r="F27" s="3715"/>
      <c r="G27" s="3404" t="s">
        <v>3545</v>
      </c>
      <c r="H27" s="3404" t="s">
        <v>3546</v>
      </c>
      <c r="I27" s="3404" t="s">
        <v>3547</v>
      </c>
      <c r="J27" s="3404" t="s">
        <v>3548</v>
      </c>
    </row>
    <row r="28" spans="1:15" ht="16.2" thickBot="1">
      <c r="A28" s="3405" t="s">
        <v>3549</v>
      </c>
      <c r="B28" s="3206">
        <f>C28+F28</f>
        <v>4030.4</v>
      </c>
      <c r="C28" s="3206">
        <f>SUM(D28:E28)</f>
        <v>3238.3</v>
      </c>
      <c r="D28" s="3206">
        <v>3238.3</v>
      </c>
      <c r="E28" s="3206" t="s">
        <v>3550</v>
      </c>
      <c r="F28" s="3206">
        <f>SUM(G28:J28)</f>
        <v>792.1</v>
      </c>
      <c r="G28" s="3206" t="s">
        <v>3550</v>
      </c>
      <c r="H28" s="3206" t="s">
        <v>3550</v>
      </c>
      <c r="I28" s="3206">
        <v>491</v>
      </c>
      <c r="J28" s="3206">
        <v>301.10000000000002</v>
      </c>
    </row>
    <row r="29" spans="1:15" ht="16.2" thickBot="1">
      <c r="A29" s="3405" t="s">
        <v>3551</v>
      </c>
      <c r="B29" s="3206">
        <f t="shared" ref="B29:B42" si="7">C29+F29</f>
        <v>3380.8700000000003</v>
      </c>
      <c r="C29" s="3206">
        <f t="shared" ref="C29:C42" si="8">SUM(D29:E29)</f>
        <v>3190.8</v>
      </c>
      <c r="D29" s="3206">
        <v>3190.8</v>
      </c>
      <c r="E29" s="3206" t="s">
        <v>3550</v>
      </c>
      <c r="F29" s="3206">
        <f t="shared" ref="F29:F42" si="9">SUM(G29:J29)</f>
        <v>190.07</v>
      </c>
      <c r="G29" s="3206" t="s">
        <v>3550</v>
      </c>
      <c r="H29" s="3206" t="s">
        <v>3550</v>
      </c>
      <c r="I29" s="3206" t="s">
        <v>3550</v>
      </c>
      <c r="J29" s="3206">
        <v>190.07</v>
      </c>
    </row>
    <row r="30" spans="1:15" ht="16.2" thickBot="1">
      <c r="A30" s="3405" t="s">
        <v>3552</v>
      </c>
      <c r="B30" s="3206">
        <f t="shared" si="7"/>
        <v>5990.76</v>
      </c>
      <c r="C30" s="3206">
        <f t="shared" si="8"/>
        <v>4841.55</v>
      </c>
      <c r="D30" s="3206">
        <v>4841.55</v>
      </c>
      <c r="E30" s="3206" t="s">
        <v>3550</v>
      </c>
      <c r="F30" s="3206">
        <f t="shared" si="9"/>
        <v>1149.21</v>
      </c>
      <c r="G30" s="3206" t="s">
        <v>3550</v>
      </c>
      <c r="H30" s="3206" t="s">
        <v>3550</v>
      </c>
      <c r="I30" s="3206">
        <v>769</v>
      </c>
      <c r="J30" s="3206">
        <v>380.21</v>
      </c>
    </row>
    <row r="31" spans="1:15" ht="16.2" thickBot="1">
      <c r="A31" s="3405" t="s">
        <v>3553</v>
      </c>
      <c r="B31" s="3206">
        <f t="shared" si="7"/>
        <v>5279.77</v>
      </c>
      <c r="C31" s="3206">
        <f t="shared" si="8"/>
        <v>5030.88</v>
      </c>
      <c r="D31" s="3206">
        <v>5030.88</v>
      </c>
      <c r="E31" s="3206" t="s">
        <v>3550</v>
      </c>
      <c r="F31" s="3206">
        <f t="shared" si="9"/>
        <v>248.89</v>
      </c>
      <c r="G31" s="3206" t="s">
        <v>3550</v>
      </c>
      <c r="H31" s="3206">
        <v>36</v>
      </c>
      <c r="I31" s="3206" t="s">
        <v>3550</v>
      </c>
      <c r="J31" s="3206">
        <v>212.89</v>
      </c>
    </row>
    <row r="32" spans="1:15" ht="16.2" thickBot="1">
      <c r="A32" s="3405" t="s">
        <v>3554</v>
      </c>
      <c r="B32" s="3206">
        <f t="shared" si="7"/>
        <v>11763.41</v>
      </c>
      <c r="C32" s="3206">
        <f t="shared" si="8"/>
        <v>11302.98</v>
      </c>
      <c r="D32" s="3206">
        <v>11302.98</v>
      </c>
      <c r="E32" s="3206" t="s">
        <v>3550</v>
      </c>
      <c r="F32" s="3206">
        <f t="shared" si="9"/>
        <v>460.43</v>
      </c>
      <c r="G32" s="3206" t="s">
        <v>3550</v>
      </c>
      <c r="H32" s="3206" t="s">
        <v>3550</v>
      </c>
      <c r="I32" s="3206" t="s">
        <v>3550</v>
      </c>
      <c r="J32" s="3206">
        <v>460.43</v>
      </c>
    </row>
    <row r="33" spans="1:10" ht="16.2" thickBot="1">
      <c r="A33" s="3405" t="s">
        <v>3555</v>
      </c>
      <c r="B33" s="3206">
        <f t="shared" si="7"/>
        <v>10261.550000000001</v>
      </c>
      <c r="C33" s="3206">
        <f t="shared" si="8"/>
        <v>9939.19</v>
      </c>
      <c r="D33" s="3206">
        <v>9939.19</v>
      </c>
      <c r="E33" s="3206" t="s">
        <v>3550</v>
      </c>
      <c r="F33" s="3206">
        <f t="shared" si="9"/>
        <v>322.36</v>
      </c>
      <c r="G33" s="3206" t="s">
        <v>3550</v>
      </c>
      <c r="H33" s="3206" t="s">
        <v>3550</v>
      </c>
      <c r="I33" s="3206" t="s">
        <v>3550</v>
      </c>
      <c r="J33" s="3206">
        <v>322.36</v>
      </c>
    </row>
    <row r="34" spans="1:10" ht="16.2" thickBot="1">
      <c r="A34" s="3405" t="s">
        <v>3556</v>
      </c>
      <c r="B34" s="3206">
        <f t="shared" si="7"/>
        <v>10256.44</v>
      </c>
      <c r="C34" s="3206">
        <f t="shared" si="8"/>
        <v>9933.65</v>
      </c>
      <c r="D34" s="3206">
        <v>9918.15</v>
      </c>
      <c r="E34" s="3206">
        <v>15.5</v>
      </c>
      <c r="F34" s="3206">
        <f t="shared" si="9"/>
        <v>322.79000000000002</v>
      </c>
      <c r="G34" s="3206" t="s">
        <v>3550</v>
      </c>
      <c r="H34" s="3206" t="s">
        <v>3550</v>
      </c>
      <c r="I34" s="3206" t="s">
        <v>3550</v>
      </c>
      <c r="J34" s="3206">
        <v>322.79000000000002</v>
      </c>
    </row>
    <row r="35" spans="1:10" ht="16.2" thickBot="1">
      <c r="A35" s="3405" t="s">
        <v>3557</v>
      </c>
      <c r="B35" s="3206">
        <f t="shared" si="7"/>
        <v>0</v>
      </c>
      <c r="C35" s="3206">
        <f t="shared" si="8"/>
        <v>0</v>
      </c>
      <c r="D35" s="3206" t="s">
        <v>3550</v>
      </c>
      <c r="E35" s="3206" t="s">
        <v>3550</v>
      </c>
      <c r="F35" s="3206">
        <f t="shared" si="9"/>
        <v>0</v>
      </c>
      <c r="G35" s="3206" t="s">
        <v>3550</v>
      </c>
      <c r="H35" s="3206" t="s">
        <v>3550</v>
      </c>
      <c r="I35" s="3206" t="s">
        <v>3550</v>
      </c>
      <c r="J35" s="3206" t="s">
        <v>3550</v>
      </c>
    </row>
    <row r="36" spans="1:10" ht="16.2" thickBot="1">
      <c r="A36" s="3405" t="s">
        <v>3558</v>
      </c>
      <c r="B36" s="3206">
        <f t="shared" si="7"/>
        <v>40</v>
      </c>
      <c r="C36" s="3206">
        <f t="shared" si="8"/>
        <v>40</v>
      </c>
      <c r="D36" s="3206" t="s">
        <v>3550</v>
      </c>
      <c r="E36" s="3206">
        <v>40</v>
      </c>
      <c r="F36" s="3206">
        <f t="shared" si="9"/>
        <v>0</v>
      </c>
      <c r="G36" s="3206" t="s">
        <v>3550</v>
      </c>
      <c r="H36" s="3206" t="s">
        <v>3550</v>
      </c>
      <c r="I36" s="3206" t="s">
        <v>3550</v>
      </c>
      <c r="J36" s="3206" t="s">
        <v>3550</v>
      </c>
    </row>
    <row r="37" spans="1:10" ht="16.2" thickBot="1">
      <c r="A37" s="3405" t="s">
        <v>3559</v>
      </c>
      <c r="B37" s="3206">
        <f t="shared" si="7"/>
        <v>40</v>
      </c>
      <c r="C37" s="3206">
        <f t="shared" si="8"/>
        <v>40</v>
      </c>
      <c r="D37" s="3206" t="s">
        <v>3550</v>
      </c>
      <c r="E37" s="3206">
        <v>40</v>
      </c>
      <c r="F37" s="3206">
        <f t="shared" si="9"/>
        <v>0</v>
      </c>
      <c r="G37" s="3206" t="s">
        <v>3550</v>
      </c>
      <c r="H37" s="3206" t="s">
        <v>3550</v>
      </c>
      <c r="I37" s="3206" t="s">
        <v>3550</v>
      </c>
      <c r="J37" s="3206" t="s">
        <v>3550</v>
      </c>
    </row>
    <row r="38" spans="1:10" ht="16.2" thickBot="1">
      <c r="A38" s="3405" t="s">
        <v>3560</v>
      </c>
      <c r="B38" s="3206">
        <f t="shared" si="7"/>
        <v>40</v>
      </c>
      <c r="C38" s="3206">
        <f t="shared" si="8"/>
        <v>40</v>
      </c>
      <c r="D38" s="3206" t="s">
        <v>3550</v>
      </c>
      <c r="E38" s="3206">
        <v>40</v>
      </c>
      <c r="F38" s="3206">
        <f t="shared" si="9"/>
        <v>0</v>
      </c>
      <c r="G38" s="3206" t="s">
        <v>3550</v>
      </c>
      <c r="H38" s="3206" t="s">
        <v>3550</v>
      </c>
      <c r="I38" s="3206" t="s">
        <v>3550</v>
      </c>
      <c r="J38" s="3206" t="s">
        <v>3550</v>
      </c>
    </row>
    <row r="39" spans="1:10" ht="31.8" thickBot="1">
      <c r="A39" s="3405" t="s">
        <v>3561</v>
      </c>
      <c r="B39" s="3206">
        <f t="shared" si="7"/>
        <v>12511.97</v>
      </c>
      <c r="C39" s="3206">
        <f t="shared" si="8"/>
        <v>0</v>
      </c>
      <c r="D39" s="3206" t="s">
        <v>3550</v>
      </c>
      <c r="E39" s="3206" t="s">
        <v>3550</v>
      </c>
      <c r="F39" s="3206">
        <f t="shared" si="9"/>
        <v>12511.97</v>
      </c>
      <c r="G39" s="3206">
        <v>11891.97</v>
      </c>
      <c r="H39" s="3206">
        <v>620</v>
      </c>
      <c r="I39" s="3206" t="s">
        <v>3550</v>
      </c>
      <c r="J39" s="3206" t="s">
        <v>3550</v>
      </c>
    </row>
    <row r="40" spans="1:10" ht="22.5" customHeight="1" thickBot="1">
      <c r="A40" s="3405" t="s">
        <v>3562</v>
      </c>
      <c r="B40" s="3206">
        <f t="shared" si="7"/>
        <v>65.45</v>
      </c>
      <c r="C40" s="3206">
        <f t="shared" si="8"/>
        <v>65.45</v>
      </c>
      <c r="D40" s="3206" t="s">
        <v>3550</v>
      </c>
      <c r="E40" s="3206">
        <v>65.45</v>
      </c>
      <c r="F40" s="3206">
        <f t="shared" si="9"/>
        <v>0</v>
      </c>
      <c r="G40" s="3206" t="s">
        <v>3550</v>
      </c>
      <c r="H40" s="3206" t="s">
        <v>3550</v>
      </c>
      <c r="I40" s="3206" t="s">
        <v>3550</v>
      </c>
      <c r="J40" s="3206" t="s">
        <v>3550</v>
      </c>
    </row>
    <row r="41" spans="1:10" ht="21.75" customHeight="1" thickBot="1">
      <c r="A41" s="3405" t="s">
        <v>3563</v>
      </c>
      <c r="B41" s="3206">
        <f t="shared" si="7"/>
        <v>65.45</v>
      </c>
      <c r="C41" s="3206">
        <f t="shared" si="8"/>
        <v>65.45</v>
      </c>
      <c r="D41" s="3206" t="s">
        <v>3550</v>
      </c>
      <c r="E41" s="3206">
        <v>65.45</v>
      </c>
      <c r="F41" s="3206">
        <f t="shared" si="9"/>
        <v>0</v>
      </c>
      <c r="G41" s="3206" t="s">
        <v>3550</v>
      </c>
      <c r="H41" s="3206" t="s">
        <v>3550</v>
      </c>
      <c r="I41" s="3206" t="s">
        <v>3550</v>
      </c>
      <c r="J41" s="3206" t="s">
        <v>3550</v>
      </c>
    </row>
    <row r="42" spans="1:10" ht="31.8" thickBot="1">
      <c r="A42" s="3405" t="s">
        <v>3564</v>
      </c>
      <c r="B42" s="3206">
        <f t="shared" si="7"/>
        <v>34.950000000000003</v>
      </c>
      <c r="C42" s="3206">
        <f t="shared" si="8"/>
        <v>34.950000000000003</v>
      </c>
      <c r="D42" s="3206" t="s">
        <v>3550</v>
      </c>
      <c r="E42" s="3206">
        <v>34.950000000000003</v>
      </c>
      <c r="F42" s="3206">
        <f t="shared" si="9"/>
        <v>0</v>
      </c>
      <c r="G42" s="3206" t="s">
        <v>3550</v>
      </c>
      <c r="H42" s="3206" t="s">
        <v>3550</v>
      </c>
      <c r="I42" s="3206" t="s">
        <v>3550</v>
      </c>
      <c r="J42" s="3206" t="s">
        <v>3550</v>
      </c>
    </row>
    <row r="43" spans="1:10" ht="16.2" thickBot="1">
      <c r="A43" s="3403" t="s">
        <v>3448</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G26:J26"/>
    <mergeCell ref="A25:J25"/>
    <mergeCell ref="A26:A27"/>
    <mergeCell ref="B26:B27"/>
    <mergeCell ref="C26:C27"/>
    <mergeCell ref="D26:E26"/>
    <mergeCell ref="F26:F27"/>
    <mergeCell ref="N2:O2"/>
    <mergeCell ref="D2:F2"/>
    <mergeCell ref="A2:A3"/>
    <mergeCell ref="B2:B3"/>
    <mergeCell ref="C2:C3"/>
    <mergeCell ref="G2:G3"/>
    <mergeCell ref="H2:M2"/>
  </mergeCells>
  <phoneticPr fontId="140"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abSelected="1" topLeftCell="A13" workbookViewId="0">
      <selection activeCell="D25" sqref="D25"/>
    </sheetView>
  </sheetViews>
  <sheetFormatPr defaultRowHeight="14.4"/>
  <cols>
    <col min="2" max="2" width="20.109375" customWidth="1"/>
    <col min="4" max="4" width="27.33203125" customWidth="1"/>
    <col min="5" max="5" width="19" customWidth="1"/>
    <col min="6" max="6" width="18.6640625" customWidth="1"/>
    <col min="7" max="7" width="16.33203125" customWidth="1"/>
  </cols>
  <sheetData>
    <row r="1" spans="1:7">
      <c r="B1" s="3510" t="s">
        <v>3723</v>
      </c>
    </row>
    <row r="2" spans="1:7">
      <c r="D2" s="3510"/>
    </row>
    <row r="3" spans="1:7">
      <c r="B3" s="3510" t="s">
        <v>3724</v>
      </c>
      <c r="D3" s="3717" t="s">
        <v>3725</v>
      </c>
      <c r="E3" s="3717"/>
      <c r="F3" s="3717"/>
      <c r="G3" s="3717"/>
    </row>
    <row r="4" spans="1:7">
      <c r="A4">
        <v>1</v>
      </c>
      <c r="B4" s="3510" t="s">
        <v>3726</v>
      </c>
      <c r="D4" s="3461" t="s">
        <v>1281</v>
      </c>
      <c r="E4" s="3460" t="s">
        <v>3617</v>
      </c>
      <c r="F4" s="3460" t="s">
        <v>3727</v>
      </c>
      <c r="G4" s="3460" t="s">
        <v>3728</v>
      </c>
    </row>
    <row r="5" spans="1:7">
      <c r="A5">
        <v>2</v>
      </c>
      <c r="B5" s="3510" t="s">
        <v>3729</v>
      </c>
      <c r="D5" s="3463" t="s">
        <v>3730</v>
      </c>
      <c r="E5" s="3356">
        <f>[2]面积整理!D5+[2]面积整理!D6+[2]面积整理!D7</f>
        <v>46810</v>
      </c>
      <c r="F5" s="3356">
        <f>[2]成本法!B3</f>
        <v>7378</v>
      </c>
      <c r="G5" s="3356">
        <f>ROUND(E5*F5/10000,0)</f>
        <v>34536</v>
      </c>
    </row>
    <row r="6" spans="1:7">
      <c r="A6">
        <v>3</v>
      </c>
      <c r="B6" s="3510" t="s">
        <v>3731</v>
      </c>
      <c r="D6" s="3463" t="s">
        <v>3732</v>
      </c>
      <c r="E6" s="3356">
        <f>E5</f>
        <v>46810</v>
      </c>
      <c r="F6" s="3356" t="e">
        <f>'[2]比较法-住宅'!C48</f>
        <v>#DIV/0!</v>
      </c>
      <c r="G6" s="3356" t="e">
        <f>ROUND(E6*F6/10000,0)</f>
        <v>#DIV/0!</v>
      </c>
    </row>
    <row r="7" spans="1:7">
      <c r="A7">
        <v>4</v>
      </c>
      <c r="B7" s="3510" t="s">
        <v>3733</v>
      </c>
    </row>
    <row r="8" spans="1:7">
      <c r="A8">
        <v>5</v>
      </c>
      <c r="B8" s="3510" t="s">
        <v>3734</v>
      </c>
    </row>
    <row r="9" spans="1:7">
      <c r="A9">
        <v>6</v>
      </c>
      <c r="B9" s="3510" t="s">
        <v>3735</v>
      </c>
    </row>
    <row r="10" spans="1:7">
      <c r="A10">
        <v>7</v>
      </c>
      <c r="B10" s="3510" t="s">
        <v>3736</v>
      </c>
      <c r="D10" s="3356" t="s">
        <v>3737</v>
      </c>
      <c r="E10" s="3356" t="s">
        <v>3738</v>
      </c>
      <c r="F10" s="3356" t="s">
        <v>3739</v>
      </c>
      <c r="G10" s="3357" t="s">
        <v>3740</v>
      </c>
    </row>
    <row r="11" spans="1:7">
      <c r="D11" s="3356" t="s">
        <v>3741</v>
      </c>
      <c r="E11" s="3356">
        <f>ROUND(基准地价修正!C29*0.75*基准地价修正!G3,0)</f>
        <v>75068</v>
      </c>
      <c r="F11" s="3356">
        <v>0.55000000000000004</v>
      </c>
      <c r="G11" s="3718">
        <f>ROUND(E11*F11+E12*F12,0)</f>
        <v>51179</v>
      </c>
    </row>
    <row r="12" spans="1:7">
      <c r="D12" s="3356" t="s">
        <v>3742</v>
      </c>
      <c r="E12" s="3356">
        <f>成本逼近法!B4</f>
        <v>21982</v>
      </c>
      <c r="F12" s="3356">
        <f>1-F11</f>
        <v>0.44999999999999996</v>
      </c>
      <c r="G12" s="3719"/>
    </row>
    <row r="15" spans="1:7">
      <c r="D15" s="3720" t="s">
        <v>3743</v>
      </c>
      <c r="E15" s="3720"/>
      <c r="F15" s="3720"/>
      <c r="G15" s="3720"/>
    </row>
    <row r="16" spans="1:7">
      <c r="D16" s="3716" t="s">
        <v>3744</v>
      </c>
      <c r="E16" s="3716"/>
      <c r="F16" s="3716"/>
      <c r="G16" s="3716"/>
    </row>
    <row r="17" spans="2:7">
      <c r="D17" s="3357" t="s">
        <v>3745</v>
      </c>
      <c r="E17" s="3357" t="s">
        <v>3746</v>
      </c>
      <c r="F17" s="3357" t="s">
        <v>3747</v>
      </c>
      <c r="G17" s="3357" t="s">
        <v>3748</v>
      </c>
    </row>
    <row r="18" spans="2:7">
      <c r="D18" s="3721" t="s">
        <v>3131</v>
      </c>
      <c r="E18" s="3357" t="s">
        <v>3749</v>
      </c>
      <c r="F18" s="3357" t="s">
        <v>3750</v>
      </c>
      <c r="G18" s="3357" t="s">
        <v>3751</v>
      </c>
    </row>
    <row r="19" spans="2:7">
      <c r="D19" s="3721"/>
      <c r="E19" s="3357" t="s">
        <v>3752</v>
      </c>
      <c r="F19" s="3357" t="s">
        <v>3753</v>
      </c>
      <c r="G19" s="3357" t="s">
        <v>3754</v>
      </c>
    </row>
    <row r="20" spans="2:7">
      <c r="D20" s="3357" t="s">
        <v>3755</v>
      </c>
      <c r="E20" s="3357" t="s">
        <v>3157</v>
      </c>
      <c r="F20" s="3357" t="s">
        <v>3157</v>
      </c>
      <c r="G20" s="3357" t="s">
        <v>3756</v>
      </c>
    </row>
    <row r="21" spans="2:7">
      <c r="D21" s="3716" t="s">
        <v>3757</v>
      </c>
      <c r="E21" s="3716"/>
      <c r="F21" s="3716"/>
      <c r="G21" s="3716"/>
    </row>
    <row r="22" spans="2:7">
      <c r="D22" s="3357" t="s">
        <v>3758</v>
      </c>
      <c r="E22" s="3724" t="s">
        <v>3205</v>
      </c>
      <c r="F22" s="3724"/>
      <c r="G22" s="3724"/>
    </row>
    <row r="23" spans="2:7">
      <c r="D23" s="3357" t="s">
        <v>3730</v>
      </c>
      <c r="E23" s="3725">
        <v>7700</v>
      </c>
      <c r="F23" s="3725"/>
      <c r="G23" s="3725"/>
    </row>
    <row r="24" spans="2:7">
      <c r="D24" s="3357" t="s">
        <v>3759</v>
      </c>
      <c r="E24" s="3725">
        <v>62000</v>
      </c>
      <c r="F24" s="3725"/>
      <c r="G24" s="3725"/>
    </row>
    <row r="28" spans="2:7">
      <c r="B28">
        <v>2018</v>
      </c>
      <c r="C28" s="3723" t="s">
        <v>3852</v>
      </c>
      <c r="D28" s="3723"/>
      <c r="E28" s="3723"/>
    </row>
    <row r="29" spans="2:7">
      <c r="C29" s="3355"/>
      <c r="D29" s="3458" t="s">
        <v>3847</v>
      </c>
      <c r="E29" s="3458" t="s">
        <v>3848</v>
      </c>
    </row>
    <row r="30" spans="2:7">
      <c r="C30" s="3458" t="s">
        <v>3849</v>
      </c>
      <c r="D30" s="3355">
        <f ca="1">收益法!B3</f>
        <v>16874</v>
      </c>
      <c r="E30" s="3355">
        <f ca="1">成本法!B3</f>
        <v>35369</v>
      </c>
    </row>
    <row r="31" spans="2:7">
      <c r="C31" s="3458" t="s">
        <v>3850</v>
      </c>
      <c r="D31" s="3550">
        <v>0.4</v>
      </c>
      <c r="E31" s="3550">
        <f>1-D31</f>
        <v>0.6</v>
      </c>
    </row>
    <row r="32" spans="2:7">
      <c r="C32" s="3458" t="s">
        <v>3851</v>
      </c>
      <c r="D32" s="3722">
        <f ca="1">ROUND((D30*D31+E30*E31),0)</f>
        <v>27971</v>
      </c>
      <c r="E32" s="3722"/>
    </row>
    <row r="34" spans="2:5">
      <c r="B34">
        <v>2025</v>
      </c>
      <c r="C34" s="3723" t="s">
        <v>3852</v>
      </c>
      <c r="D34" s="3723"/>
      <c r="E34" s="3723"/>
    </row>
    <row r="35" spans="2:5">
      <c r="C35" s="3355"/>
      <c r="D35" s="3458" t="s">
        <v>3847</v>
      </c>
      <c r="E35" s="3458" t="s">
        <v>3848</v>
      </c>
    </row>
    <row r="36" spans="2:5">
      <c r="C36" s="3458" t="s">
        <v>3849</v>
      </c>
      <c r="D36" s="3355">
        <f>[3]收益法!$B$3</f>
        <v>18109</v>
      </c>
      <c r="E36" s="3355">
        <f>[3]成本法!$B$3</f>
        <v>26457</v>
      </c>
    </row>
    <row r="37" spans="2:5">
      <c r="C37" s="3458" t="s">
        <v>3850</v>
      </c>
      <c r="D37" s="3550">
        <f>D31</f>
        <v>0.4</v>
      </c>
      <c r="E37" s="3550">
        <f>E31</f>
        <v>0.6</v>
      </c>
    </row>
    <row r="38" spans="2:5">
      <c r="C38" s="3458" t="s">
        <v>3851</v>
      </c>
      <c r="D38" s="3722">
        <f>ROUND((D36*D37+E36*E37),0)</f>
        <v>23118</v>
      </c>
      <c r="E38" s="3722"/>
    </row>
  </sheetData>
  <mergeCells count="13">
    <mergeCell ref="D32:E32"/>
    <mergeCell ref="C28:E28"/>
    <mergeCell ref="C34:E34"/>
    <mergeCell ref="D38:E38"/>
    <mergeCell ref="E22:G22"/>
    <mergeCell ref="E23:G23"/>
    <mergeCell ref="E24:G24"/>
    <mergeCell ref="D21:G21"/>
    <mergeCell ref="D3:G3"/>
    <mergeCell ref="G11:G12"/>
    <mergeCell ref="D15:G15"/>
    <mergeCell ref="D16:G16"/>
    <mergeCell ref="D18:D19"/>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22"/>
  <sheetViews>
    <sheetView workbookViewId="0">
      <selection activeCell="D23" sqref="D23"/>
    </sheetView>
  </sheetViews>
  <sheetFormatPr defaultRowHeight="14.4"/>
  <cols>
    <col min="2" max="2" width="20.77734375" customWidth="1"/>
    <col min="3" max="3" width="21.109375" customWidth="1"/>
    <col min="4" max="4" width="15.44140625" customWidth="1"/>
    <col min="5" max="5" width="18.21875" customWidth="1"/>
    <col min="6" max="6" width="15.6640625" customWidth="1"/>
    <col min="7" max="7" width="10" customWidth="1"/>
    <col min="8" max="8" width="13.33203125" customWidth="1"/>
    <col min="9" max="9" width="16.6640625" customWidth="1"/>
  </cols>
  <sheetData>
    <row r="1" spans="2:11" ht="24" customHeight="1">
      <c r="B1" s="3726" t="s">
        <v>3616</v>
      </c>
      <c r="C1" s="3726"/>
      <c r="D1" s="3726"/>
      <c r="E1" s="3726"/>
      <c r="G1" s="3355"/>
      <c r="H1" s="3356">
        <v>81081</v>
      </c>
      <c r="I1" s="3355"/>
      <c r="J1" s="3355"/>
      <c r="K1" s="3355"/>
    </row>
    <row r="2" spans="2:11" ht="14.25" customHeight="1">
      <c r="B2" s="3717" t="s">
        <v>3626</v>
      </c>
      <c r="C2" s="3717"/>
      <c r="D2" s="3717"/>
      <c r="E2" s="3717"/>
      <c r="F2" s="3356"/>
      <c r="G2" s="3356"/>
      <c r="H2" s="3356"/>
      <c r="I2" s="3355"/>
      <c r="J2" s="3355"/>
      <c r="K2" s="3355"/>
    </row>
    <row r="3" spans="2:11" ht="14.25" customHeight="1">
      <c r="B3" s="3461" t="s">
        <v>3612</v>
      </c>
      <c r="C3" s="3460" t="s">
        <v>3617</v>
      </c>
      <c r="D3" s="3460" t="s">
        <v>3618</v>
      </c>
      <c r="E3" s="3460" t="s">
        <v>3619</v>
      </c>
      <c r="F3" s="3357" t="s">
        <v>3622</v>
      </c>
      <c r="G3" s="3459" t="s">
        <v>3620</v>
      </c>
      <c r="H3" s="3357" t="s">
        <v>3621</v>
      </c>
      <c r="J3" s="3355"/>
      <c r="K3" s="3355"/>
    </row>
    <row r="4" spans="2:11" ht="14.25" customHeight="1">
      <c r="B4" s="3462" t="s">
        <v>3611</v>
      </c>
      <c r="C4" s="3356">
        <f>面积表!D19</f>
        <v>47461.850000000006</v>
      </c>
      <c r="D4" s="3356">
        <f ca="1">ROUND(E4*100000000/C4,0)</f>
        <v>34883</v>
      </c>
      <c r="E4" s="3356">
        <f ca="1">成本法!C52/10000</f>
        <v>16.5562</v>
      </c>
      <c r="F4" s="3356"/>
      <c r="G4" s="3356">
        <v>420</v>
      </c>
      <c r="H4" s="3356"/>
      <c r="J4" s="3355"/>
      <c r="K4" s="3355"/>
    </row>
    <row r="5" spans="2:11" ht="14.25" customHeight="1">
      <c r="B5" s="3463" t="s">
        <v>3614</v>
      </c>
      <c r="C5" s="3356">
        <f>面积表!H19</f>
        <v>11780.21</v>
      </c>
      <c r="D5" s="3356">
        <f>[4]结果汇总!$F$2</f>
        <v>6122</v>
      </c>
      <c r="E5" s="3356">
        <f t="shared" ref="E5:E6" si="0">ROUND(C5*D5/100000000,4)</f>
        <v>0.72119999999999995</v>
      </c>
      <c r="F5" s="3356">
        <f>ROUND(E5*10000/G5,4)</f>
        <v>26.514700000000001</v>
      </c>
      <c r="G5" s="3356">
        <v>272</v>
      </c>
      <c r="H5" s="3356">
        <f>ROUND(C5/G5,2)</f>
        <v>43.31</v>
      </c>
      <c r="J5" s="3355"/>
      <c r="K5" s="3355"/>
    </row>
    <row r="6" spans="2:11" ht="14.25" customHeight="1">
      <c r="B6" s="3463" t="s">
        <v>3613</v>
      </c>
      <c r="C6" s="3356">
        <f>面积表!J19</f>
        <v>9034.9699999999993</v>
      </c>
      <c r="D6" s="3356">
        <f>[4]结果汇总!$F$3</f>
        <v>8738</v>
      </c>
      <c r="E6" s="3356">
        <f t="shared" si="0"/>
        <v>0.78949999999999998</v>
      </c>
      <c r="F6" s="3356">
        <f>ROUND(E6*10000/G6,4)</f>
        <v>16.797899999999998</v>
      </c>
      <c r="G6" s="3356">
        <v>470</v>
      </c>
      <c r="H6" s="3356">
        <f>ROUND(C6/G6,2)</f>
        <v>19.22</v>
      </c>
      <c r="J6" s="3355"/>
      <c r="K6" s="3355"/>
    </row>
    <row r="7" spans="2:11" ht="14.25" customHeight="1">
      <c r="B7" s="3463" t="s">
        <v>3180</v>
      </c>
      <c r="C7" s="3357" t="s">
        <v>3157</v>
      </c>
      <c r="D7" s="3357" t="s">
        <v>3157</v>
      </c>
      <c r="E7" s="3356">
        <f ca="1">SUM(E4:E6)</f>
        <v>18.0669</v>
      </c>
      <c r="F7" s="3465">
        <f>ROUND((E5+E6)*10000/(G5+G6),4)</f>
        <v>20.3598</v>
      </c>
      <c r="G7" s="3356"/>
      <c r="H7" s="3356"/>
      <c r="J7" s="3355"/>
      <c r="K7" s="3355"/>
    </row>
    <row r="8" spans="2:11" ht="14.25" customHeight="1">
      <c r="B8" s="3717" t="s">
        <v>3627</v>
      </c>
      <c r="C8" s="3717"/>
      <c r="D8" s="3717"/>
      <c r="E8" s="3717"/>
      <c r="F8" s="3356"/>
      <c r="G8" s="3356"/>
      <c r="H8" s="3356"/>
      <c r="I8" s="3355"/>
      <c r="J8" s="3355"/>
      <c r="K8" s="3355"/>
    </row>
    <row r="9" spans="2:11" ht="14.25" customHeight="1">
      <c r="B9" s="3461" t="s">
        <v>3612</v>
      </c>
      <c r="C9" s="3460" t="s">
        <v>3617</v>
      </c>
      <c r="D9" s="3460" t="s">
        <v>3618</v>
      </c>
      <c r="E9" s="3460" t="s">
        <v>3619</v>
      </c>
      <c r="F9" s="3356"/>
      <c r="G9" s="3356"/>
      <c r="H9" s="3356"/>
      <c r="I9" s="3355"/>
      <c r="J9" s="3355"/>
      <c r="K9" s="3355"/>
    </row>
    <row r="10" spans="2:11" ht="14.25" customHeight="1">
      <c r="B10" s="3462" t="s">
        <v>3611</v>
      </c>
      <c r="C10" s="3356">
        <f>C4</f>
        <v>47461.850000000006</v>
      </c>
      <c r="D10" s="3464">
        <f ca="1">ROUND((成本法!C5+成本法!C33)*10000/面积表!D19,0)</f>
        <v>30541</v>
      </c>
      <c r="E10" s="3356">
        <f ca="1">ROUND(C10*D10/100000000,4)</f>
        <v>14.4953</v>
      </c>
      <c r="F10" s="3356"/>
      <c r="G10" s="3356"/>
      <c r="H10" s="3356"/>
      <c r="I10" s="3355"/>
      <c r="J10" s="3355"/>
      <c r="K10" s="3355"/>
    </row>
    <row r="11" spans="2:11" ht="14.25" customHeight="1">
      <c r="B11" s="3463" t="s">
        <v>3614</v>
      </c>
      <c r="C11" s="3356">
        <f>C5</f>
        <v>11780.21</v>
      </c>
      <c r="D11" s="3356">
        <f>D5</f>
        <v>6122</v>
      </c>
      <c r="E11" s="3356">
        <f t="shared" ref="E11:E12" si="1">ROUND(C11*D11/100000000,4)</f>
        <v>0.72119999999999995</v>
      </c>
      <c r="F11" s="3356"/>
      <c r="G11" s="3356"/>
      <c r="H11" s="3356"/>
      <c r="I11" s="3355"/>
      <c r="J11" s="3355"/>
      <c r="K11" s="3355"/>
    </row>
    <row r="12" spans="2:11" ht="14.25" customHeight="1">
      <c r="B12" s="3463" t="s">
        <v>3613</v>
      </c>
      <c r="C12" s="3356">
        <f>C6</f>
        <v>9034.9699999999993</v>
      </c>
      <c r="D12" s="3356">
        <f>D6</f>
        <v>8738</v>
      </c>
      <c r="E12" s="3356">
        <f t="shared" si="1"/>
        <v>0.78949999999999998</v>
      </c>
      <c r="F12" s="3356"/>
      <c r="G12" s="3356"/>
      <c r="H12" s="3356"/>
      <c r="I12" s="3355"/>
      <c r="J12" s="3355"/>
      <c r="K12" s="3355"/>
    </row>
    <row r="13" spans="2:11" ht="14.25" customHeight="1">
      <c r="B13" s="3463" t="s">
        <v>3180</v>
      </c>
      <c r="C13" s="3357" t="s">
        <v>3157</v>
      </c>
      <c r="D13" s="3357" t="s">
        <v>3157</v>
      </c>
      <c r="E13" s="3465">
        <f ca="1">SUM(E10:E12)</f>
        <v>16.006</v>
      </c>
      <c r="F13" s="3356"/>
      <c r="G13" s="3356"/>
      <c r="H13" s="3356"/>
      <c r="I13" s="3355"/>
      <c r="J13" s="3355"/>
      <c r="K13" s="3355"/>
    </row>
    <row r="14" spans="2:11" ht="18" customHeight="1">
      <c r="B14" s="3458" t="s">
        <v>3615</v>
      </c>
      <c r="C14" s="3458">
        <f>面积表!I19</f>
        <v>11891.97</v>
      </c>
      <c r="D14" s="3458">
        <f>D11</f>
        <v>6122</v>
      </c>
      <c r="E14" s="3458">
        <f>ROUND(C14*D14/100000000,4)</f>
        <v>0.72799999999999998</v>
      </c>
      <c r="F14" s="3458">
        <f>ROUND(E14*10000/G14,4)</f>
        <v>26.569299999999998</v>
      </c>
      <c r="G14" s="3458">
        <v>274</v>
      </c>
      <c r="H14" s="3458">
        <f>ROUND(C14/G14,2)</f>
        <v>43.4</v>
      </c>
      <c r="I14" s="3355"/>
      <c r="J14" s="3355"/>
      <c r="K14" s="3355"/>
    </row>
    <row r="15" spans="2:11">
      <c r="B15" s="3458" t="s">
        <v>3180</v>
      </c>
      <c r="C15" s="3458" t="s">
        <v>3157</v>
      </c>
      <c r="D15" s="3458" t="s">
        <v>3157</v>
      </c>
      <c r="E15" s="3458">
        <f ca="1">E13+E14</f>
        <v>16.734000000000002</v>
      </c>
      <c r="F15" s="3458"/>
      <c r="G15" s="3458"/>
      <c r="H15" s="3458"/>
      <c r="I15" s="3355"/>
      <c r="J15" s="3355"/>
      <c r="K15" s="3355"/>
    </row>
    <row r="16" spans="2:11">
      <c r="B16" s="3458" t="s">
        <v>3624</v>
      </c>
      <c r="C16" s="3355">
        <f>F14</f>
        <v>26.569299999999998</v>
      </c>
      <c r="D16" s="3355"/>
      <c r="E16" s="3355"/>
      <c r="F16" s="3355"/>
    </row>
    <row r="17" spans="2:6">
      <c r="B17" s="3458" t="s">
        <v>3623</v>
      </c>
      <c r="C17" s="3355">
        <v>500</v>
      </c>
      <c r="D17" s="3355">
        <v>500</v>
      </c>
      <c r="E17" s="3355"/>
      <c r="F17" s="3355"/>
    </row>
    <row r="18" spans="2:6">
      <c r="B18" s="3458" t="s">
        <v>3625</v>
      </c>
      <c r="C18" s="3355">
        <f>ROUND(C16*10000/12/500,2)</f>
        <v>44.28</v>
      </c>
      <c r="D18" s="3355">
        <v>45</v>
      </c>
      <c r="E18" s="3355"/>
      <c r="F18" s="3355"/>
    </row>
    <row r="19" spans="2:6">
      <c r="B19" s="3355"/>
      <c r="C19" s="3355"/>
      <c r="D19" s="3355">
        <f>D17*D18*12*G14/100000000</f>
        <v>0.73980000000000001</v>
      </c>
      <c r="E19" s="3355"/>
      <c r="F19" s="3355"/>
    </row>
    <row r="20" spans="2:6">
      <c r="B20" s="3355"/>
      <c r="C20" s="3355"/>
      <c r="D20" s="3355"/>
      <c r="E20" s="3355"/>
      <c r="F20" s="3355"/>
    </row>
    <row r="21" spans="2:6">
      <c r="B21" s="3355"/>
      <c r="C21" s="3355"/>
      <c r="D21" s="3355"/>
      <c r="E21" s="3355"/>
      <c r="F21" s="3355"/>
    </row>
    <row r="22" spans="2:6">
      <c r="B22" s="3355"/>
      <c r="C22" s="3355"/>
      <c r="D22" s="3355"/>
      <c r="E22" s="3355"/>
      <c r="F22" s="3355"/>
    </row>
  </sheetData>
  <mergeCells count="3">
    <mergeCell ref="B2:E2"/>
    <mergeCell ref="B8:E8"/>
    <mergeCell ref="B1:E1"/>
  </mergeCells>
  <phoneticPr fontId="140" type="noConversion"/>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E50" sqref="E50"/>
    </sheetView>
  </sheetViews>
  <sheetFormatPr defaultColWidth="8.33203125" defaultRowHeight="13.2"/>
  <cols>
    <col min="1" max="1" width="10.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9" s="204" customFormat="1" ht="21">
      <c r="A1" s="200" t="s">
        <v>2087</v>
      </c>
      <c r="B1" s="1619" t="s">
        <v>3130</v>
      </c>
      <c r="C1" s="202"/>
      <c r="D1" s="202"/>
      <c r="E1" s="202"/>
      <c r="F1" s="202"/>
      <c r="G1" s="1255">
        <f>MATCH(B1,'数据-取费表'!A6:A16,0)+5</f>
        <v>6</v>
      </c>
    </row>
    <row r="2" spans="1:9" s="204" customFormat="1" ht="18" customHeight="1">
      <c r="A2" s="205" t="s">
        <v>2088</v>
      </c>
      <c r="B2" s="206">
        <f ca="1">IF(D2="——",C52,C52-E2)</f>
        <v>165562</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35369</v>
      </c>
      <c r="C3" s="203" t="s">
        <v>2091</v>
      </c>
      <c r="D3" s="203"/>
      <c r="E3" s="203"/>
      <c r="F3" s="203"/>
      <c r="G3" s="203"/>
    </row>
    <row r="4" spans="1:9" s="212" customFormat="1" ht="16.2">
      <c r="A4" s="209" t="s">
        <v>2092</v>
      </c>
      <c r="B4" s="210"/>
      <c r="C4" s="210"/>
      <c r="D4" s="3392"/>
      <c r="E4" s="210"/>
      <c r="F4" s="210"/>
      <c r="G4" s="211"/>
    </row>
    <row r="5" spans="1:9" s="218" customFormat="1" ht="13.5" customHeight="1">
      <c r="A5" s="259" t="s">
        <v>2093</v>
      </c>
      <c r="B5" s="3320" t="s">
        <v>2094</v>
      </c>
      <c r="C5" s="3321">
        <f ca="1">C6+C7+C8</f>
        <v>125615</v>
      </c>
      <c r="D5" s="3321" t="s">
        <v>2095</v>
      </c>
      <c r="E5" s="3322" t="s">
        <v>2096</v>
      </c>
      <c r="F5" s="3322" t="s">
        <v>2097</v>
      </c>
      <c r="G5" s="217"/>
    </row>
    <row r="6" spans="1:9" s="218" customFormat="1" ht="13.5" customHeight="1">
      <c r="A6" s="883" t="s">
        <v>2098</v>
      </c>
      <c r="B6" s="3305" t="s">
        <v>2099</v>
      </c>
      <c r="C6" s="3388">
        <f>ROUND(基准地价修正!C29*0.75*基准地价修正!D29/10000,0)</f>
        <v>121170</v>
      </c>
      <c r="D6" s="3315"/>
      <c r="E6" s="3393">
        <f ca="1">ROUND(C5*10000/D9,0)</f>
        <v>26835</v>
      </c>
      <c r="F6" s="3316"/>
      <c r="G6" s="223"/>
    </row>
    <row r="7" spans="1:9" s="218" customFormat="1" ht="13.5" customHeight="1">
      <c r="A7" s="3406" t="s">
        <v>2100</v>
      </c>
      <c r="B7" s="3407" t="s">
        <v>2101</v>
      </c>
      <c r="C7" s="3408">
        <f>ROUND(C6*F7,0)</f>
        <v>3696</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749</v>
      </c>
      <c r="D8" s="3319"/>
      <c r="E8" s="3317"/>
      <c r="F8" s="3318"/>
      <c r="G8" s="2007" t="s">
        <v>3186</v>
      </c>
    </row>
    <row r="9" spans="1:9" s="218" customFormat="1" ht="13.5" customHeight="1">
      <c r="A9" s="884" t="s">
        <v>800</v>
      </c>
      <c r="B9" s="228" t="s">
        <v>2104</v>
      </c>
      <c r="C9" s="229">
        <f ca="1">ROUND(D9*E9/10000,0)</f>
        <v>749</v>
      </c>
      <c r="D9" s="951">
        <f ca="1">IF(B1="",'数据-汇总表'!E5,IF(INDIRECT("'数据-取费表'!c"&amp;$G$1)="住宅",INDIRECT("'数据-取费表'!k"&amp;$G$1),0))</f>
        <v>46810</v>
      </c>
      <c r="E9" s="229">
        <f>'数据-取费表'!B27</f>
        <v>160</v>
      </c>
      <c r="F9" s="225"/>
      <c r="G9" s="2008" t="s">
        <v>3188</v>
      </c>
      <c r="H9" s="1266"/>
      <c r="I9" s="2009" t="s">
        <v>2105</v>
      </c>
    </row>
    <row r="10" spans="1:9" s="218" customFormat="1" ht="13.5" customHeight="1">
      <c r="A10" s="884" t="s">
        <v>801</v>
      </c>
      <c r="B10" s="228" t="s">
        <v>2106</v>
      </c>
      <c r="C10" s="229">
        <f>ROUND(D10*E10/10000,0)</f>
        <v>0</v>
      </c>
      <c r="D10" s="951">
        <v>0</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46810</v>
      </c>
      <c r="E19" s="3321">
        <f>'数据-取费表'!B31</f>
        <v>200</v>
      </c>
      <c r="F19" s="3324"/>
      <c r="G19" s="2007" t="s">
        <v>3187</v>
      </c>
      <c r="H19" s="3390"/>
    </row>
    <row r="20" spans="1:8" s="218" customFormat="1" ht="13.5" customHeight="1">
      <c r="A20" s="259" t="s">
        <v>2119</v>
      </c>
      <c r="B20" s="3320" t="s">
        <v>2120</v>
      </c>
      <c r="C20" s="3325">
        <f ca="1">ROUND((C5+C19)*F20,0)</f>
        <v>2512</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12336</v>
      </c>
      <c r="D22" s="3327">
        <f>C26</f>
        <v>0</v>
      </c>
      <c r="E22" s="3328" t="s">
        <v>2124</v>
      </c>
      <c r="F22" s="3348">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12217</v>
      </c>
      <c r="D23" s="242"/>
      <c r="E23" s="242"/>
      <c r="F23" s="243"/>
      <c r="G23" s="244" t="s">
        <v>2130</v>
      </c>
      <c r="H23" s="218">
        <f ca="1">ROUND(C5*(((1+F22)^'数据-取费表'!B20)-1),0)</f>
        <v>12217</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119</v>
      </c>
      <c r="D25" s="242"/>
      <c r="E25" s="245"/>
      <c r="F25" s="243"/>
      <c r="G25" s="246" t="s">
        <v>2136</v>
      </c>
      <c r="H25" s="218">
        <f ca="1">ROUND(C5*F20*(((1+F22)^('数据-取费表'!B20/2))-1),0)</f>
        <v>119</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6.4">
      <c r="A27" s="259" t="s">
        <v>2138</v>
      </c>
      <c r="B27" s="3329" t="s">
        <v>2139</v>
      </c>
      <c r="C27" s="3330">
        <f ca="1">C28</f>
        <v>3844</v>
      </c>
      <c r="D27" s="3327">
        <f>C29</f>
        <v>0</v>
      </c>
      <c r="E27" s="3328" t="s">
        <v>2140</v>
      </c>
      <c r="F27" s="3350">
        <v>0.03</v>
      </c>
      <c r="G27" s="251" t="s">
        <v>2141</v>
      </c>
    </row>
    <row r="28" spans="1:8" s="218" customFormat="1" ht="13.5" customHeight="1">
      <c r="A28" s="885" t="s">
        <v>791</v>
      </c>
      <c r="B28" s="252" t="s">
        <v>2142</v>
      </c>
      <c r="C28" s="253">
        <f ca="1">ROUND((C5+C19+C20)*F27*'数据-取费表'!B21/'数据-取费表'!B20,0)</f>
        <v>3844</v>
      </c>
      <c r="D28" s="239"/>
      <c r="E28" s="240"/>
      <c r="F28" s="250"/>
      <c r="G28" s="251"/>
    </row>
    <row r="29" spans="1:8" s="218" customFormat="1" ht="13.5" customHeight="1">
      <c r="A29" s="885" t="s">
        <v>792</v>
      </c>
      <c r="B29" s="252" t="s">
        <v>2143</v>
      </c>
      <c r="C29" s="242">
        <f>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144307</v>
      </c>
      <c r="D31" s="3339">
        <f ca="1">ROUND(C31*10000/'数据-汇总表'!E19,0)</f>
        <v>30828</v>
      </c>
      <c r="E31" s="3310"/>
      <c r="F31" s="3340"/>
      <c r="G31" s="238" t="s">
        <v>2148</v>
      </c>
    </row>
    <row r="32" spans="1:8" s="212" customFormat="1" ht="16.2">
      <c r="A32" s="256" t="s">
        <v>2149</v>
      </c>
      <c r="B32" s="257"/>
      <c r="C32" s="257"/>
      <c r="D32" s="257"/>
      <c r="E32" s="257"/>
      <c r="F32" s="257"/>
      <c r="G32" s="258"/>
    </row>
    <row r="33" spans="1:7" s="218" customFormat="1" ht="13.5" customHeight="1">
      <c r="A33" s="259" t="s">
        <v>782</v>
      </c>
      <c r="B33" s="3311" t="s">
        <v>2150</v>
      </c>
      <c r="C33" s="3312">
        <f ca="1">SUM(C34:C38)</f>
        <v>19339</v>
      </c>
      <c r="D33" s="218">
        <f>'数据-汇总表'!E19</f>
        <v>46810</v>
      </c>
      <c r="E33" s="3391">
        <f ca="1">ROUND(C33*10000/D33,0)</f>
        <v>4131</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15135</v>
      </c>
      <c r="D34" s="3332"/>
      <c r="E34" s="3331"/>
      <c r="F34" s="3333">
        <f ca="1">IF('数据-取费表'!B24=0,1,IF(B1="",'数据-取费表'!N16,INDIRECT("'数据-取费表'!n"&amp;$G$1)))</f>
        <v>1</v>
      </c>
      <c r="G34" s="223" t="s">
        <v>2152</v>
      </c>
    </row>
    <row r="35" spans="1:7" ht="13.5" customHeight="1">
      <c r="A35" s="885" t="s">
        <v>796</v>
      </c>
      <c r="B35" s="3306" t="s">
        <v>2153</v>
      </c>
      <c r="C35" s="3331">
        <f ca="1">ROUND(C34*F35,0)</f>
        <v>757</v>
      </c>
      <c r="D35" s="3331"/>
      <c r="E35" s="3331"/>
      <c r="F35" s="3345">
        <f>'数据-取费表'!B33</f>
        <v>0.05</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1404</v>
      </c>
      <c r="D36" s="3331"/>
      <c r="E36" s="3331"/>
      <c r="F36" s="3345">
        <f>'数据-取费表'!B34</f>
        <v>0.1</v>
      </c>
      <c r="G36" s="264" t="s">
        <v>2156</v>
      </c>
    </row>
    <row r="37" spans="1:7" s="262" customFormat="1" ht="13.5" customHeight="1">
      <c r="A37" s="885" t="s">
        <v>798</v>
      </c>
      <c r="B37" s="3306" t="s">
        <v>2157</v>
      </c>
      <c r="C37" s="3307">
        <f ca="1">ROUND(C34*12%,0)</f>
        <v>1816</v>
      </c>
      <c r="D37" s="221">
        <f ca="1">D19</f>
        <v>46810</v>
      </c>
      <c r="E37" s="253">
        <f>'数据-取费表'!B35</f>
        <v>200</v>
      </c>
      <c r="F37" s="263"/>
      <c r="G37" s="265" t="s">
        <v>2158</v>
      </c>
    </row>
    <row r="38" spans="1:7" ht="13.5" customHeight="1">
      <c r="A38" s="3409" t="s">
        <v>799</v>
      </c>
      <c r="B38" s="3407" t="s">
        <v>2159</v>
      </c>
      <c r="C38" s="3408">
        <f ca="1">ROUND(C34*F38,0)</f>
        <v>227</v>
      </c>
      <c r="D38" s="3331"/>
      <c r="E38" s="3331"/>
      <c r="F38" s="3334">
        <f>'数据-取费表'!B36</f>
        <v>1.4999999999999999E-2</v>
      </c>
      <c r="G38" s="223" t="s">
        <v>2154</v>
      </c>
    </row>
    <row r="39" spans="1:7" s="218" customFormat="1" ht="13.5" customHeight="1">
      <c r="A39" s="259" t="s">
        <v>2160</v>
      </c>
      <c r="B39" s="3311" t="s">
        <v>2161</v>
      </c>
      <c r="C39" s="3313">
        <f ca="1">ROUND((C33)*F20,0)</f>
        <v>387</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937</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919</v>
      </c>
      <c r="D42" s="242"/>
      <c r="E42" s="242"/>
      <c r="F42" s="263"/>
      <c r="G42" s="3727" t="s">
        <v>2170</v>
      </c>
    </row>
    <row r="43" spans="1:7" ht="13.5" customHeight="1">
      <c r="A43" s="885" t="s">
        <v>792</v>
      </c>
      <c r="B43" s="219" t="s">
        <v>2171</v>
      </c>
      <c r="C43" s="242">
        <f ca="1">ROUND(IF('数据-取费表'!B22&lt;=1,C39*F22*'数据-取费表'!B21/2,C39*(POWER((1+F22),'数据-取费表'!B21/2)-1)),0)</f>
        <v>18</v>
      </c>
      <c r="D43" s="242"/>
      <c r="E43" s="242"/>
      <c r="F43" s="263"/>
      <c r="G43" s="3728"/>
    </row>
    <row r="44" spans="1:7" ht="13.5" customHeight="1">
      <c r="A44" s="885" t="s">
        <v>793</v>
      </c>
      <c r="B44" s="219" t="s">
        <v>2172</v>
      </c>
      <c r="C44" s="242">
        <f>ROUND(IF('数据-取费表'!B22&lt;=1,C40*F22*'数据-取费表'!B21/2,C40*(POWER((1+F22),'数据-取费表'!B21/2)-1)),4)</f>
        <v>0</v>
      </c>
      <c r="D44" s="242"/>
      <c r="E44" s="242"/>
      <c r="F44" s="263"/>
      <c r="G44" s="3729"/>
    </row>
    <row r="45" spans="1:7" s="218" customFormat="1" ht="13.5" customHeight="1">
      <c r="A45" s="259" t="s">
        <v>2173</v>
      </c>
      <c r="B45" s="3337" t="s">
        <v>2139</v>
      </c>
      <c r="C45" s="3338">
        <f ca="1">C46</f>
        <v>592</v>
      </c>
      <c r="D45" s="3335">
        <f>C47</f>
        <v>0</v>
      </c>
      <c r="E45" s="3336" t="s">
        <v>2165</v>
      </c>
      <c r="F45" s="3349">
        <f>F27</f>
        <v>0.03</v>
      </c>
      <c r="G45" s="251" t="s">
        <v>2174</v>
      </c>
    </row>
    <row r="46" spans="1:7" s="218" customFormat="1" ht="13.5" customHeight="1">
      <c r="A46" s="885" t="s">
        <v>791</v>
      </c>
      <c r="B46" s="252" t="s">
        <v>2175</v>
      </c>
      <c r="C46" s="253">
        <f ca="1">ROUND((C33+C39)*F27,0)</f>
        <v>592</v>
      </c>
      <c r="D46" s="267"/>
      <c r="E46" s="240"/>
      <c r="F46" s="263"/>
      <c r="G46" s="251"/>
    </row>
    <row r="47" spans="1:7" s="218" customFormat="1" ht="13.5" customHeight="1">
      <c r="A47" s="885" t="s">
        <v>792</v>
      </c>
      <c r="B47" s="252" t="s">
        <v>2176</v>
      </c>
      <c r="C47" s="242">
        <f>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21255</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21255</v>
      </c>
      <c r="D51" s="3344">
        <f ca="1">ROUND(C51*10000/'数据-汇总表'!E19,0)</f>
        <v>4541</v>
      </c>
      <c r="E51" s="3341">
        <f ca="1">C51*10000/'数据-汇总表'!E3</f>
        <v>4213.1657713730701</v>
      </c>
      <c r="F51" s="3341"/>
      <c r="G51" s="238" t="s">
        <v>2186</v>
      </c>
    </row>
    <row r="52" spans="1:7" s="212" customFormat="1" ht="16.8" thickBot="1">
      <c r="A52" s="269" t="s">
        <v>2187</v>
      </c>
      <c r="B52" s="270"/>
      <c r="C52" s="271">
        <f ca="1">C31+C51</f>
        <v>165562</v>
      </c>
      <c r="D52" s="270"/>
      <c r="E52" s="270"/>
      <c r="F52" s="270"/>
      <c r="G52" s="272"/>
    </row>
    <row r="53" spans="1:7">
      <c r="D53" s="3352">
        <f ca="1">D51+D31</f>
        <v>35369</v>
      </c>
    </row>
    <row r="54" spans="1:7">
      <c r="C54" s="3389">
        <f ca="1">C5+C33</f>
        <v>144954</v>
      </c>
      <c r="D54" s="276">
        <f ca="1">C54*10000/'数据-汇总表'!E19</f>
        <v>30966.46015808588</v>
      </c>
    </row>
    <row r="55" spans="1:7" ht="15">
      <c r="B55" s="274" t="s">
        <v>2188</v>
      </c>
      <c r="C55" s="275"/>
      <c r="E55" s="276">
        <f ca="1">E6+E33</f>
        <v>30966</v>
      </c>
      <c r="G55" s="3389">
        <f ca="1">C5+C33</f>
        <v>144954</v>
      </c>
    </row>
    <row r="56" spans="1:7">
      <c r="B56" s="277" t="s">
        <v>1418</v>
      </c>
      <c r="C56" s="279">
        <f ca="1">1-C57</f>
        <v>0.872</v>
      </c>
      <c r="G56" s="255">
        <f ca="1">ROUND(G55*10000/面积表!D19,0)</f>
        <v>30541</v>
      </c>
    </row>
    <row r="57" spans="1:7">
      <c r="B57" s="277" t="s">
        <v>1419</v>
      </c>
      <c r="C57" s="278">
        <f ca="1">ROUND(C51/C52,3)</f>
        <v>0.128</v>
      </c>
    </row>
  </sheetData>
  <sheetProtection formatCells="0"/>
  <mergeCells count="1">
    <mergeCell ref="G42:G44"/>
  </mergeCells>
  <phoneticPr fontId="1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49" sqref="F49:F50"/>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8" width="10.77734375" style="255" customWidth="1"/>
    <col min="9" max="254" width="9" style="255" customWidth="1"/>
    <col min="255" max="16384" width="8.33203125" style="255"/>
  </cols>
  <sheetData>
    <row r="1" spans="1:8" s="204" customFormat="1" ht="21">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171370</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36610</v>
      </c>
      <c r="C3" s="203" t="s">
        <v>2091</v>
      </c>
      <c r="D3" s="203"/>
      <c r="E3" s="203"/>
      <c r="F3" s="203"/>
      <c r="G3" s="203"/>
    </row>
    <row r="4" spans="1:8" s="212" customFormat="1" ht="16.2">
      <c r="A4" s="209" t="s">
        <v>2092</v>
      </c>
      <c r="B4" s="210"/>
      <c r="C4" s="210"/>
      <c r="D4" s="210"/>
      <c r="E4" s="210"/>
      <c r="F4" s="210"/>
      <c r="G4" s="211"/>
    </row>
    <row r="5" spans="1:8" s="218" customFormat="1" ht="13.5" customHeight="1">
      <c r="A5" s="259" t="s">
        <v>2093</v>
      </c>
      <c r="B5" s="214" t="s">
        <v>2094</v>
      </c>
      <c r="C5" s="215">
        <f ca="1">C6+C7+C8</f>
        <v>1256874513</v>
      </c>
      <c r="D5" s="215" t="s">
        <v>2095</v>
      </c>
      <c r="E5" s="216" t="s">
        <v>2096</v>
      </c>
      <c r="F5" s="216" t="s">
        <v>2097</v>
      </c>
      <c r="G5" s="217"/>
    </row>
    <row r="6" spans="1:8" s="218" customFormat="1" ht="13.5" customHeight="1">
      <c r="A6" s="883" t="s">
        <v>2098</v>
      </c>
      <c r="B6" s="219" t="s">
        <v>2099</v>
      </c>
      <c r="C6" s="220">
        <f ca="1">ROUND(基准地价修正!C29*0.75*D9,0)</f>
        <v>1211700255</v>
      </c>
      <c r="D6" s="221"/>
      <c r="E6" s="222"/>
      <c r="F6" s="222"/>
      <c r="G6" s="223"/>
    </row>
    <row r="7" spans="1:8" s="218" customFormat="1" ht="13.5" customHeight="1">
      <c r="A7" s="883" t="s">
        <v>2100</v>
      </c>
      <c r="B7" s="219" t="s">
        <v>2101</v>
      </c>
      <c r="C7" s="224">
        <f ca="1">ROUND(C6*F7,0)</f>
        <v>36956858</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8217400</v>
      </c>
      <c r="D8" s="226"/>
      <c r="E8" s="224"/>
      <c r="F8" s="225"/>
      <c r="G8" s="2007" t="s">
        <v>3186</v>
      </c>
    </row>
    <row r="9" spans="1:8" s="218" customFormat="1" ht="13.5" customHeight="1">
      <c r="A9" s="884" t="s">
        <v>800</v>
      </c>
      <c r="B9" s="228" t="s">
        <v>2104</v>
      </c>
      <c r="C9" s="229">
        <f ca="1">ROUND(D9*E9,0)</f>
        <v>7489600</v>
      </c>
      <c r="D9" s="951">
        <f ca="1">IF(B1="",'数据-汇总表'!E5,IF(INDIRECT("'数据-取费表'!c"&amp;$G$1)="住宅",INDIRECT("'数据-取费表'!k"&amp;$G$1),0))</f>
        <v>46810</v>
      </c>
      <c r="E9" s="229">
        <f>'数据-取费表'!B27</f>
        <v>160</v>
      </c>
      <c r="F9" s="225"/>
      <c r="G9" s="230"/>
    </row>
    <row r="10" spans="1:8" s="218" customFormat="1" ht="13.5" customHeight="1">
      <c r="A10" s="884" t="s">
        <v>801</v>
      </c>
      <c r="B10" s="228" t="s">
        <v>2106</v>
      </c>
      <c r="C10" s="229">
        <f ca="1">ROUND(D10*E10,0)</f>
        <v>727800</v>
      </c>
      <c r="D10" s="951">
        <f ca="1">IF(B1="",'数据-汇总表'!E6,IF(INDIRECT("'数据-取费表'!c"&amp;$G$1)="住宅",INDIRECT("'数据-取费表'!s"&amp;$G$1),INDIRECT("'数据-取费表'!k"&amp;$G$1)+INDIRECT("'数据-取费表'!s"&amp;$G$1)))</f>
        <v>3639</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50449</v>
      </c>
      <c r="E19" s="215">
        <f>'数据-取费表'!B31</f>
        <v>200</v>
      </c>
      <c r="F19" s="235"/>
      <c r="G19" s="2007" t="s">
        <v>3187</v>
      </c>
    </row>
    <row r="20" spans="1:7" s="218" customFormat="1" ht="13.5" customHeight="1">
      <c r="A20" s="259" t="s">
        <v>2200</v>
      </c>
      <c r="B20" s="214" t="s">
        <v>2201</v>
      </c>
      <c r="C20" s="236">
        <f ca="1">ROUND((C5+C19)*F20,0)</f>
        <v>25137490</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189558938</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187746789</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1812149</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6.4">
      <c r="A27" s="259" t="s">
        <v>2138</v>
      </c>
      <c r="B27" s="248" t="s">
        <v>2139</v>
      </c>
      <c r="C27" s="249">
        <f ca="1">C28</f>
        <v>38460360</v>
      </c>
      <c r="D27" s="239">
        <f ca="1">C29</f>
        <v>0</v>
      </c>
      <c r="E27" s="240" t="s">
        <v>2140</v>
      </c>
      <c r="F27" s="250">
        <f ca="1">IF(B1="",'数据-取费表'!Q16,INDIRECT("'数据-取费表'!q"&amp;$G$1))</f>
        <v>0.03</v>
      </c>
      <c r="G27" s="251" t="s">
        <v>2141</v>
      </c>
    </row>
    <row r="28" spans="1:7" s="218" customFormat="1" ht="13.5" customHeight="1">
      <c r="A28" s="885" t="s">
        <v>791</v>
      </c>
      <c r="B28" s="252" t="s">
        <v>2142</v>
      </c>
      <c r="C28" s="253">
        <f ca="1">ROUND((C5+C19+C20)*F27,0)</f>
        <v>38460360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1510031301</v>
      </c>
      <c r="D31" s="234"/>
      <c r="E31" s="215"/>
      <c r="F31" s="254"/>
      <c r="G31" s="238" t="s">
        <v>2148</v>
      </c>
    </row>
    <row r="32" spans="1:7" s="212" customFormat="1" ht="16.2">
      <c r="A32" s="256" t="s">
        <v>2215</v>
      </c>
      <c r="B32" s="257"/>
      <c r="C32" s="257"/>
      <c r="D32" s="257"/>
      <c r="E32" s="257"/>
      <c r="F32" s="257"/>
      <c r="G32" s="258"/>
    </row>
    <row r="33" spans="1:7" s="218" customFormat="1" ht="13.5" customHeight="1">
      <c r="A33" s="259" t="s">
        <v>782</v>
      </c>
      <c r="B33" s="214" t="s">
        <v>2216</v>
      </c>
      <c r="C33" s="260">
        <f ca="1">SUM(C34:C38)</f>
        <v>185317355</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151347000</v>
      </c>
      <c r="D34" s="221"/>
      <c r="E34" s="224"/>
      <c r="F34" s="261"/>
      <c r="G34" s="223"/>
    </row>
    <row r="35" spans="1:7" ht="13.5" customHeight="1">
      <c r="A35" s="885" t="s">
        <v>796</v>
      </c>
      <c r="B35" s="219" t="s">
        <v>2153</v>
      </c>
      <c r="C35" s="224">
        <f ca="1">ROUND(C34*F35,0)</f>
        <v>7567350</v>
      </c>
      <c r="D35" s="224"/>
      <c r="E35" s="224"/>
      <c r="F35" s="263">
        <f>'数据-取费表'!B33</f>
        <v>0.05</v>
      </c>
      <c r="G35" s="223" t="s">
        <v>2154</v>
      </c>
    </row>
    <row r="36" spans="1:7" ht="24">
      <c r="A36" s="885" t="s">
        <v>797</v>
      </c>
      <c r="B36" s="219" t="s">
        <v>2155</v>
      </c>
      <c r="C36" s="224">
        <f ca="1">ROUND(IF(B1="",SUM('数据-取费表'!AP6:AP13)*F36,IF(INDIRECT("'数据-取费表'!c"&amp;$G$1)="住宅",INDIRECT("'数据-取费表'!k"&amp;$G$1)*INDIRECT("'数据-取费表'!l"&amp;$G$1)*F36,0)),0)</f>
        <v>14043000</v>
      </c>
      <c r="D36" s="224"/>
      <c r="E36" s="224"/>
      <c r="F36" s="263">
        <f>'数据-取费表'!B34</f>
        <v>0.1</v>
      </c>
      <c r="G36" s="264" t="s">
        <v>2156</v>
      </c>
    </row>
    <row r="37" spans="1:7" s="262" customFormat="1" ht="13.5" customHeight="1">
      <c r="A37" s="885" t="s">
        <v>798</v>
      </c>
      <c r="B37" s="219" t="s">
        <v>2157</v>
      </c>
      <c r="C37" s="253">
        <f ca="1">ROUND(E37*D37,0)</f>
        <v>10089800</v>
      </c>
      <c r="D37" s="221">
        <f ca="1">D19</f>
        <v>50449</v>
      </c>
      <c r="E37" s="253">
        <f>'数据-取费表'!B35</f>
        <v>200</v>
      </c>
      <c r="F37" s="263"/>
      <c r="G37" s="265"/>
    </row>
    <row r="38" spans="1:7" ht="13.5" customHeight="1">
      <c r="A38" s="885" t="s">
        <v>799</v>
      </c>
      <c r="B38" s="219" t="s">
        <v>2159</v>
      </c>
      <c r="C38" s="224">
        <f ca="1">ROUND(C34*F38,0)</f>
        <v>2270205</v>
      </c>
      <c r="D38" s="224"/>
      <c r="E38" s="224"/>
      <c r="F38" s="263">
        <f>'数据-取费表'!B36</f>
        <v>1.4999999999999999E-2</v>
      </c>
      <c r="G38" s="223" t="s">
        <v>2154</v>
      </c>
    </row>
    <row r="39" spans="1:7" s="218" customFormat="1" ht="13.5" customHeight="1">
      <c r="A39" s="259" t="s">
        <v>2160</v>
      </c>
      <c r="B39" s="214" t="s">
        <v>2161</v>
      </c>
      <c r="C39" s="236">
        <f ca="1">ROUND(C33*F20,0)</f>
        <v>3706347</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8978625</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8802574</v>
      </c>
      <c r="D42" s="242"/>
      <c r="E42" s="242"/>
      <c r="F42" s="243"/>
      <c r="G42" s="3727" t="s">
        <v>2217</v>
      </c>
    </row>
    <row r="43" spans="1:7" ht="13.5" customHeight="1">
      <c r="A43" s="885" t="s">
        <v>792</v>
      </c>
      <c r="B43" s="219" t="s">
        <v>2171</v>
      </c>
      <c r="C43" s="242">
        <f ca="1">ROUND(IF('数据-取费表'!B22&lt;=1,C39*F22*'数据-取费表'!B20/2,C39*(POWER((1+F22),'数据-取费表'!B20/2)-1)),0)</f>
        <v>176051</v>
      </c>
      <c r="D43" s="242"/>
      <c r="E43" s="242"/>
      <c r="F43" s="243"/>
      <c r="G43" s="3728"/>
    </row>
    <row r="44" spans="1:7" ht="13.5" customHeight="1">
      <c r="A44" s="885" t="s">
        <v>793</v>
      </c>
      <c r="B44" s="219" t="s">
        <v>2172</v>
      </c>
      <c r="C44" s="242">
        <f>ROUND(IF('数据-取费表'!B22&lt;=1,C40*F22*'数据-取费表'!B20/2,C40*(POWER((1+F22),'数据-取费表'!B20/2)-1)),4)</f>
        <v>0</v>
      </c>
      <c r="D44" s="242"/>
      <c r="E44" s="242"/>
      <c r="F44" s="243"/>
      <c r="G44" s="3729"/>
    </row>
    <row r="45" spans="1:7" s="218" customFormat="1" ht="13.5" customHeight="1">
      <c r="A45" s="259" t="s">
        <v>2173</v>
      </c>
      <c r="B45" s="248" t="s">
        <v>2139</v>
      </c>
      <c r="C45" s="249">
        <f ca="1">C46</f>
        <v>5670711</v>
      </c>
      <c r="D45" s="239">
        <f ca="1">C47</f>
        <v>0</v>
      </c>
      <c r="E45" s="240" t="s">
        <v>2165</v>
      </c>
      <c r="F45" s="2501">
        <f ca="1">F27</f>
        <v>0.03</v>
      </c>
      <c r="G45" s="251" t="s">
        <v>2174</v>
      </c>
    </row>
    <row r="46" spans="1:7" s="218" customFormat="1" ht="13.5" customHeight="1">
      <c r="A46" s="885" t="s">
        <v>791</v>
      </c>
      <c r="B46" s="252" t="s">
        <v>2175</v>
      </c>
      <c r="C46" s="253">
        <f ca="1">ROUND((C33+C39)*F27,0)</f>
        <v>5670711</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203673038</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203673038</v>
      </c>
      <c r="D51" s="236"/>
      <c r="E51" s="236"/>
      <c r="F51" s="268"/>
      <c r="G51" s="238" t="s">
        <v>2186</v>
      </c>
    </row>
    <row r="52" spans="1:7" s="212" customFormat="1" ht="16.8" thickBot="1">
      <c r="A52" s="269" t="s">
        <v>2187</v>
      </c>
      <c r="B52" s="270"/>
      <c r="C52" s="271">
        <f ca="1">C31+C51</f>
        <v>1713704339</v>
      </c>
      <c r="D52" s="270"/>
      <c r="E52" s="270"/>
      <c r="F52" s="270"/>
      <c r="G52" s="272"/>
    </row>
    <row r="55" spans="1:7" ht="15">
      <c r="B55" s="274" t="s">
        <v>2188</v>
      </c>
      <c r="C55" s="275"/>
    </row>
    <row r="56" spans="1:7">
      <c r="B56" s="277" t="s">
        <v>1418</v>
      </c>
      <c r="C56" s="279">
        <f ca="1">1-C57</f>
        <v>0.88100000000000001</v>
      </c>
    </row>
    <row r="57" spans="1:7">
      <c r="B57" s="277" t="s">
        <v>1419</v>
      </c>
      <c r="C57" s="278">
        <f ca="1">ROUND(C51/C52,3)</f>
        <v>0.11899999999999999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4" customWidth="1"/>
    <col min="2" max="2" width="25.77734375" style="886" customWidth="1"/>
    <col min="3" max="3" width="10.33203125" style="929" customWidth="1"/>
    <col min="4" max="4" width="9.88671875" style="886" customWidth="1"/>
    <col min="5" max="5" width="9.44140625" style="734" customWidth="1"/>
    <col min="6" max="6" width="10.109375" style="886" customWidth="1"/>
    <col min="7" max="7" width="10.77734375" style="886" customWidth="1"/>
    <col min="8" max="8" width="10" style="886" customWidth="1"/>
    <col min="9" max="11" width="9.44140625" style="886" customWidth="1"/>
    <col min="12" max="12" width="9" style="886" customWidth="1"/>
    <col min="13" max="13" width="10.44140625" style="886" bestFit="1" customWidth="1"/>
    <col min="14" max="254" width="9" style="886" customWidth="1"/>
    <col min="255" max="16384" width="6.6640625" style="886"/>
  </cols>
  <sheetData>
    <row r="1" spans="1:33" ht="21">
      <c r="A1" s="200" t="s">
        <v>2220</v>
      </c>
      <c r="B1" s="1320"/>
      <c r="C1" s="1321"/>
      <c r="D1" s="1319"/>
      <c r="E1" s="3000"/>
      <c r="F1" s="3000"/>
      <c r="G1" s="2863"/>
      <c r="H1" s="3000"/>
      <c r="I1" s="3000"/>
      <c r="J1" s="3000"/>
      <c r="K1" s="3001">
        <f>MATCH(C1,'数据-取费表'!A6:A16,0)+5</f>
        <v>7</v>
      </c>
    </row>
    <row r="2" spans="1:33" ht="18" customHeight="1">
      <c r="A2" s="205" t="s">
        <v>2088</v>
      </c>
      <c r="B2" s="208">
        <f ca="1">C32</f>
        <v>-674</v>
      </c>
      <c r="C2" s="280" t="s">
        <v>2221</v>
      </c>
      <c r="D2" s="280"/>
      <c r="E2" s="3000"/>
      <c r="F2" s="3000"/>
      <c r="G2" s="3000"/>
      <c r="H2" s="3000"/>
      <c r="I2" s="3000"/>
      <c r="J2" s="3000"/>
      <c r="K2" s="3000"/>
    </row>
    <row r="3" spans="1:33" ht="18" customHeight="1" thickBot="1">
      <c r="A3" s="207" t="s">
        <v>2090</v>
      </c>
      <c r="B3" s="208">
        <f ca="1">ROUND(B2*10000/IF(C1="",'数据-汇总表'!E3,INDIRECT("'数据-取费表'!K"&amp;$K$1)),0)</f>
        <v>-134</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5.2">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0.05</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0.1</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50449</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50449</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662</v>
      </c>
      <c r="D18" s="952"/>
      <c r="E18" s="24"/>
      <c r="F18" s="910"/>
      <c r="G18" s="2013"/>
      <c r="H18" s="1316"/>
      <c r="I18" s="2014" t="s">
        <v>2254</v>
      </c>
      <c r="J18" s="913"/>
      <c r="K18" s="914"/>
    </row>
    <row r="19" spans="1:33" s="909" customFormat="1" ht="13.5" customHeight="1">
      <c r="A19" s="905" t="s">
        <v>805</v>
      </c>
      <c r="B19" s="906" t="s">
        <v>2255</v>
      </c>
      <c r="C19" s="24">
        <f ca="1">ROUND(D19*E19/10000,0)</f>
        <v>749</v>
      </c>
      <c r="D19" s="952">
        <f ca="1">IF(C1="",'数据-汇总表'!E5,IF(INDIRECT("'数据-取费表'!c"&amp;$K$1)="住宅",INDIRECT("'数据-取费表'!k"&amp;$K$1),0))</f>
        <v>46810</v>
      </c>
      <c r="E19" s="24">
        <f>'数据-取费表'!B27</f>
        <v>160</v>
      </c>
      <c r="F19" s="910"/>
      <c r="G19" s="15"/>
      <c r="H19" s="1318"/>
      <c r="I19" s="915"/>
      <c r="J19" s="915"/>
      <c r="K19" s="916"/>
    </row>
    <row r="20" spans="1:33" s="909" customFormat="1" ht="13.5" customHeight="1">
      <c r="A20" s="905" t="s">
        <v>806</v>
      </c>
      <c r="B20" s="906" t="s">
        <v>2256</v>
      </c>
      <c r="C20" s="24">
        <f ca="1">ROUND(D20*E20/10000,0)</f>
        <v>73</v>
      </c>
      <c r="D20" s="952">
        <f ca="1">IF(C1="",'数据-汇总表'!E6,IF(INDIRECT("'数据-取费表'!c"&amp;$K$1)="住宅",INDIRECT("'数据-取费表'!s"&amp;$K$1),INDIRECT("'数据-取费表'!k"&amp;$K$1)+INDIRECT("'数据-取费表'!s"&amp;$K$1)))</f>
        <v>3639</v>
      </c>
      <c r="E20" s="24">
        <f>'数据-取费表'!B28</f>
        <v>200</v>
      </c>
      <c r="F20" s="910"/>
      <c r="G20" s="15"/>
      <c r="H20" s="915"/>
      <c r="I20" s="915"/>
      <c r="J20" s="915"/>
      <c r="K20" s="916"/>
    </row>
    <row r="21" spans="1:33" s="909" customFormat="1" ht="13.5" customHeight="1">
      <c r="A21" s="895" t="s">
        <v>802</v>
      </c>
      <c r="B21" s="919" t="s">
        <v>2257</v>
      </c>
      <c r="C21" s="920">
        <f ca="1">C16+C17+C18</f>
        <v>662</v>
      </c>
      <c r="D21" s="921"/>
      <c r="E21" s="285"/>
      <c r="F21" s="285"/>
      <c r="G21" s="134" t="s">
        <v>2258</v>
      </c>
      <c r="H21" s="913"/>
      <c r="I21" s="913"/>
      <c r="J21" s="913"/>
      <c r="K21" s="914"/>
    </row>
    <row r="22" spans="1:33" s="909" customFormat="1" ht="13.5" customHeight="1">
      <c r="A22" s="895" t="s">
        <v>2230</v>
      </c>
      <c r="B22" s="919" t="s">
        <v>2259</v>
      </c>
      <c r="C22" s="920">
        <f ca="1">ROUND(C21*F22,0)</f>
        <v>13</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f ca="1">C30</f>
        <v>20</v>
      </c>
      <c r="D28" s="284">
        <f ca="1">C29</f>
        <v>0</v>
      </c>
      <c r="E28" s="286" t="s">
        <v>15</v>
      </c>
      <c r="F28" s="292">
        <f ca="1">IF(C1="",'数据-取费表'!Q16,INDIRECT("'数据-取费表'!q"&amp;$K$1))</f>
        <v>0.03</v>
      </c>
      <c r="G28" s="923"/>
      <c r="H28" s="924"/>
      <c r="I28" s="924"/>
      <c r="J28" s="924"/>
      <c r="K28" s="925"/>
    </row>
    <row r="29" spans="1:33" s="295" customFormat="1" ht="13.5" customHeight="1">
      <c r="A29" s="905" t="s">
        <v>803</v>
      </c>
      <c r="B29" s="928" t="s">
        <v>2272</v>
      </c>
      <c r="C29" s="288">
        <f ca="1">ROUND((1+C24)*F28*'数据-取费表'!B24/'数据-取费表'!B20,4)</f>
        <v>0</v>
      </c>
      <c r="D29" s="288"/>
      <c r="E29" s="289"/>
      <c r="F29" s="294"/>
      <c r="G29" s="134" t="s">
        <v>2273</v>
      </c>
      <c r="H29" s="913"/>
      <c r="I29" s="913"/>
      <c r="J29" s="913"/>
      <c r="K29" s="914"/>
    </row>
    <row r="30" spans="1:33" s="295" customFormat="1" ht="13.5" customHeight="1">
      <c r="A30" s="905" t="s">
        <v>804</v>
      </c>
      <c r="B30" s="928" t="s">
        <v>2274</v>
      </c>
      <c r="C30" s="296">
        <f ca="1">ROUND((C21+C22+C23)*F28,0)</f>
        <v>20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f ca="1">ROUND((C4-C21-C22-C23-C25-C28-C31)/(1+C24+D25+D28),0)</f>
        <v>-674</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t="s">
        <v>3130</v>
      </c>
      <c r="D1" s="1511" t="s">
        <v>70</v>
      </c>
      <c r="E1" s="1512" t="s">
        <v>1292</v>
      </c>
      <c r="F1" s="1189">
        <f ca="1">J53</f>
        <v>70</v>
      </c>
      <c r="G1" s="1527">
        <f>MATCH(C1,'数据-取费表'!A6:A16,0)+5</f>
        <v>6</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f ca="1">C40+J29+L46</f>
        <v>78986</v>
      </c>
      <c r="C2" s="1536" t="s">
        <v>1421</v>
      </c>
      <c r="D2" s="1536"/>
      <c r="E2" s="1537"/>
      <c r="F2" s="1538"/>
      <c r="G2" s="2898"/>
      <c r="H2" s="2887"/>
      <c r="I2" s="2887"/>
      <c r="J2" s="2887"/>
      <c r="K2" s="2888"/>
      <c r="L2" s="2887"/>
      <c r="M2" s="2887"/>
    </row>
    <row r="3" spans="1:37" ht="18" customHeight="1" thickBot="1">
      <c r="A3" s="1539" t="s">
        <v>1422</v>
      </c>
      <c r="B3" s="1540">
        <f ca="1">IF(ISERROR(B2*10000/F43),0,ROUND(B2*10000/F43,0))</f>
        <v>16874</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4049</v>
      </c>
      <c r="D5" s="1513" t="s">
        <v>1307</v>
      </c>
      <c r="E5" s="1199"/>
      <c r="F5" s="1200"/>
      <c r="G5" s="1533"/>
      <c r="H5" s="303">
        <v>1</v>
      </c>
      <c r="I5" s="304" t="s">
        <v>1306</v>
      </c>
      <c r="J5" s="1198">
        <f ca="1">J6+J10+J12</f>
        <v>0</v>
      </c>
      <c r="K5" s="1513" t="s">
        <v>1307</v>
      </c>
      <c r="L5" s="1199"/>
      <c r="M5" s="1200"/>
    </row>
    <row r="6" spans="1:37" ht="18" customHeight="1">
      <c r="A6" s="1197" t="s">
        <v>1003</v>
      </c>
      <c r="B6" s="3732" t="s">
        <v>1308</v>
      </c>
      <c r="C6" s="1202">
        <f ca="1">ROUND(F6*F8*F7*(1-F9)/10000,0)</f>
        <v>4044</v>
      </c>
      <c r="D6" s="158" t="s">
        <v>2788</v>
      </c>
      <c r="E6" s="306" t="s">
        <v>1310</v>
      </c>
      <c r="F6" s="307">
        <f ca="1">INDIRECT("'数据-取费表'!u"&amp;$G$1)</f>
        <v>80</v>
      </c>
      <c r="G6" s="1533"/>
      <c r="H6" s="1197" t="s">
        <v>1003</v>
      </c>
      <c r="I6" s="3732" t="s">
        <v>1308</v>
      </c>
      <c r="J6" s="305">
        <f ca="1">ROUND(M6*M8*M7*(1-M9)/10000,0)</f>
        <v>0</v>
      </c>
      <c r="K6" s="158" t="s">
        <v>2787</v>
      </c>
      <c r="L6" s="306" t="s">
        <v>1310</v>
      </c>
      <c r="M6" s="307">
        <f ca="1">INDIRECT("'数据-取费表'!z"&amp;$G$1)</f>
        <v>0</v>
      </c>
    </row>
    <row r="7" spans="1:37" ht="18" customHeight="1">
      <c r="A7" s="1201"/>
      <c r="B7" s="3733"/>
      <c r="C7" s="1203"/>
      <c r="D7" s="311"/>
      <c r="E7" s="1204" t="s">
        <v>1311</v>
      </c>
      <c r="F7" s="307">
        <f ca="1">IF(INDIRECT("'数据-取费表'!ah"&amp;$G$1)="",INDIRECT("'数据-取费表'!k"&amp;$G$1),INDIRECT("'数据-取费表'!ah"&amp;$G$1))</f>
        <v>46810</v>
      </c>
      <c r="G7" s="1533"/>
      <c r="H7" s="308"/>
      <c r="I7" s="3733"/>
      <c r="J7" s="310"/>
      <c r="K7" s="311"/>
      <c r="L7" s="306" t="s">
        <v>1311</v>
      </c>
      <c r="M7" s="307">
        <f ca="1">F7</f>
        <v>46810</v>
      </c>
    </row>
    <row r="8" spans="1:37" ht="18" customHeight="1">
      <c r="A8" s="308"/>
      <c r="B8" s="3733"/>
      <c r="C8" s="310"/>
      <c r="D8" s="311"/>
      <c r="E8" s="306" t="s">
        <v>1312</v>
      </c>
      <c r="F8" s="307">
        <f ca="1">INDIRECT("'数据-取费表'!ai"&amp;$G$1)</f>
        <v>12</v>
      </c>
      <c r="G8" s="1533"/>
      <c r="H8" s="308"/>
      <c r="I8" s="3733"/>
      <c r="J8" s="310"/>
      <c r="K8" s="311"/>
      <c r="L8" s="306" t="s">
        <v>1312</v>
      </c>
      <c r="M8" s="307">
        <f ca="1">INDIRECT("'数据-取费表'!ai"&amp;$G$1)</f>
        <v>12</v>
      </c>
    </row>
    <row r="9" spans="1:37" ht="18" customHeight="1">
      <c r="A9" s="308"/>
      <c r="B9" s="3734"/>
      <c r="C9" s="310"/>
      <c r="D9" s="311"/>
      <c r="E9" s="306" t="s">
        <v>1313</v>
      </c>
      <c r="F9" s="316">
        <f ca="1">INDIRECT("'数据-取费表'!w"&amp;$G$1)</f>
        <v>0.1</v>
      </c>
      <c r="G9" s="1533"/>
      <c r="H9" s="308"/>
      <c r="I9" s="3734"/>
      <c r="J9" s="310"/>
      <c r="K9" s="311"/>
      <c r="L9" s="317" t="s">
        <v>1313</v>
      </c>
      <c r="M9" s="318">
        <f ca="1">INDIRECT("'数据-取费表'!ab"&amp;$G$1)</f>
        <v>0</v>
      </c>
    </row>
    <row r="10" spans="1:37" ht="18" customHeight="1">
      <c r="A10" s="1197" t="s">
        <v>1007</v>
      </c>
      <c r="B10" s="1514" t="s">
        <v>1314</v>
      </c>
      <c r="C10" s="320">
        <f ca="1">ROUND(IF(F10="押一",C6/12*F11,IF(F10="押二",C6/12*2*F11,IF(F10="押三",C6/12*3*F11,C11*F11))),0)</f>
        <v>5</v>
      </c>
      <c r="D10" s="1515" t="s">
        <v>2796</v>
      </c>
      <c r="E10" s="317" t="s">
        <v>1315</v>
      </c>
      <c r="F10" s="1243" t="s">
        <v>3843</v>
      </c>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20368</v>
      </c>
      <c r="D13" s="1208" t="s">
        <v>1320</v>
      </c>
      <c r="E13" s="1208" t="s">
        <v>1321</v>
      </c>
      <c r="F13" s="1209">
        <f ca="1">INDIRECT("'数据-取费表'!y"&amp;$G$1)</f>
        <v>1</v>
      </c>
      <c r="G13" s="1533"/>
      <c r="H13" s="1206">
        <v>2</v>
      </c>
      <c r="I13" s="1207" t="s">
        <v>1319</v>
      </c>
      <c r="J13" s="1196">
        <f ca="1">ROUND(J14*J15,0)</f>
        <v>20368</v>
      </c>
      <c r="K13" s="1214" t="s">
        <v>1320</v>
      </c>
      <c r="L13" s="1541"/>
      <c r="M13" s="1542"/>
    </row>
    <row r="14" spans="1:37" ht="18" customHeight="1">
      <c r="A14" s="1110" t="s">
        <v>1002</v>
      </c>
      <c r="B14" s="306" t="s">
        <v>1322</v>
      </c>
      <c r="C14" s="322">
        <f ca="1">INDIRECT("'数据-取费表'!m"&amp;$G$1)+INDIRECT("'数据-取费表'!t"&amp;$G$1)</f>
        <v>15135</v>
      </c>
      <c r="D14" s="1494" t="s">
        <v>1323</v>
      </c>
      <c r="E14" s="1491"/>
      <c r="F14" s="323"/>
      <c r="G14" s="1533"/>
      <c r="H14" s="1110" t="s">
        <v>1003</v>
      </c>
      <c r="I14" s="306" t="s">
        <v>1324</v>
      </c>
      <c r="J14" s="24">
        <f ca="1">C29</f>
        <v>20368</v>
      </c>
      <c r="K14" s="15"/>
      <c r="L14" s="913"/>
      <c r="M14" s="914"/>
    </row>
    <row r="15" spans="1:37" s="1546" customFormat="1" ht="18" customHeight="1" thickBot="1">
      <c r="A15" s="1110" t="s">
        <v>1004</v>
      </c>
      <c r="B15" s="306" t="s">
        <v>1325</v>
      </c>
      <c r="C15" s="24">
        <f ca="1">ROUND(C14*F15,0)</f>
        <v>757</v>
      </c>
      <c r="D15" s="324" t="s">
        <v>1326</v>
      </c>
      <c r="E15" s="324" t="s">
        <v>1327</v>
      </c>
      <c r="F15" s="325">
        <f>'数据-取费表'!B33</f>
        <v>0.05</v>
      </c>
      <c r="G15" s="1545"/>
      <c r="H15" s="1216" t="s">
        <v>1007</v>
      </c>
      <c r="I15" s="1217" t="s">
        <v>1321</v>
      </c>
      <c r="J15" s="1226">
        <f ca="1">INDIRECT("'数据-取费表'!ad"&amp;$G$1)</f>
        <v>1</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1404</v>
      </c>
      <c r="D16" s="306" t="s">
        <v>1326</v>
      </c>
      <c r="E16" s="306" t="s">
        <v>1327</v>
      </c>
      <c r="F16" s="326">
        <f ca="1">IF(INDIRECT("'数据-取费表'!c"&amp;$G$1)="住宅",'数据-取费表'!B34,0)</f>
        <v>0.1</v>
      </c>
      <c r="G16" s="1533"/>
      <c r="H16" s="1206" t="s">
        <v>998</v>
      </c>
      <c r="I16" s="1207" t="s">
        <v>1329</v>
      </c>
      <c r="J16" s="314">
        <f ca="1">ROUND(J17+J22+J23+J24,0)</f>
        <v>882</v>
      </c>
      <c r="K16" s="1214" t="s">
        <v>1330</v>
      </c>
      <c r="L16" s="1215"/>
      <c r="M16" s="1200"/>
    </row>
    <row r="17" spans="1:37" s="1546" customFormat="1" ht="18" customHeight="1">
      <c r="A17" s="1110" t="s">
        <v>1295</v>
      </c>
      <c r="B17" s="306" t="s">
        <v>1331</v>
      </c>
      <c r="C17" s="24">
        <f ca="1">ROUND(F17*(F43+INDIRECT("'数据-取费表'!S"&amp;$G$1))/10000,0)</f>
        <v>1009</v>
      </c>
      <c r="D17" s="306" t="s">
        <v>1332</v>
      </c>
      <c r="E17" s="306" t="s">
        <v>1333</v>
      </c>
      <c r="F17" s="26">
        <f>'数据-取费表'!B35</f>
        <v>200</v>
      </c>
      <c r="G17" s="1545"/>
      <c r="H17" s="1110" t="s">
        <v>1003</v>
      </c>
      <c r="I17" s="306" t="s">
        <v>1334</v>
      </c>
      <c r="J17" s="2498">
        <f ca="1">ROUND(IF(AND(项目基本情况!B11="自然人",项目基本情况!B10="北京市"),J6*M17/(1+'数据-取费表'!C42),J18+J19+J20),0)</f>
        <v>210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227</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18532</v>
      </c>
      <c r="D19" s="134" t="s">
        <v>1341</v>
      </c>
      <c r="E19" s="1509"/>
      <c r="F19" s="26"/>
      <c r="G19" s="1533"/>
      <c r="H19" s="1110" t="s">
        <v>1004</v>
      </c>
      <c r="I19" s="306" t="s">
        <v>1342</v>
      </c>
      <c r="J19" s="24">
        <f ca="1">IF(K19="按租金收入计税",ROUND(J6*M19/(1+'数据-取费表'!C42),2),ROUND(C29*M19*0.7,2))</f>
        <v>171.09</v>
      </c>
      <c r="K19" s="1519" t="s">
        <v>1343</v>
      </c>
      <c r="L19" s="306" t="s">
        <v>1327</v>
      </c>
      <c r="M19" s="326">
        <f>IF(K19="按租金收入计税",'数据-取费表'!B51,'数据-取费表'!B50)</f>
        <v>1.2E-2</v>
      </c>
    </row>
    <row r="20" spans="1:37" s="1546" customFormat="1" ht="18" customHeight="1">
      <c r="A20" s="1110" t="s">
        <v>1007</v>
      </c>
      <c r="B20" s="306" t="s">
        <v>1344</v>
      </c>
      <c r="C20" s="24">
        <f ca="1">ROUND(C19*F20,0)</f>
        <v>371</v>
      </c>
      <c r="D20" s="327" t="s">
        <v>1345</v>
      </c>
      <c r="E20" s="306" t="s">
        <v>1327</v>
      </c>
      <c r="F20" s="326">
        <f>'数据-取费表'!B37</f>
        <v>0.02</v>
      </c>
      <c r="G20" s="1545"/>
      <c r="H20" s="1110" t="s">
        <v>1294</v>
      </c>
      <c r="I20" s="158" t="s">
        <v>1346</v>
      </c>
      <c r="J20" s="25">
        <f ca="1">ROUND(M20*M21/10000,2)</f>
        <v>38.700000000000003</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21500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611</v>
      </c>
      <c r="K22" s="1493" t="s">
        <v>1355</v>
      </c>
      <c r="L22" s="306" t="s">
        <v>1327</v>
      </c>
      <c r="M22" s="332">
        <f ca="1">INDIRECT("'数据-取费表'!Ak"&amp;$G$1)</f>
        <v>0.03</v>
      </c>
    </row>
    <row r="23" spans="1:37" s="1546" customFormat="1" ht="18" customHeight="1">
      <c r="A23" s="1110" t="s">
        <v>1002</v>
      </c>
      <c r="B23" s="306" t="s">
        <v>1356</v>
      </c>
      <c r="C23" s="24">
        <f ca="1">IF('数据-取费表'!B22&lt;=1,ROUND(C19*F24*F23/2,0)+ROUND(C20*F24*F23/2,0),ROUND(C19*(POWER((1+F24),F23/2)-1),0)+ROUND(C20*(POWER((1+F24),F23/2)-1),0))</f>
        <v>898</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61.1</v>
      </c>
      <c r="K23" s="1493" t="s">
        <v>1359</v>
      </c>
      <c r="L23" s="306" t="s">
        <v>1360</v>
      </c>
      <c r="M23" s="334">
        <f ca="1">INDIRECT("'数据-取费表'!Al"&amp;$G$1)</f>
        <v>3.0000000000000001E-3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0.03</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-882</v>
      </c>
      <c r="K25" s="1222" t="s">
        <v>1369</v>
      </c>
      <c r="L25" s="1223"/>
      <c r="M25" s="1224"/>
    </row>
    <row r="26" spans="1:37">
      <c r="A26" s="1110" t="s">
        <v>1002</v>
      </c>
      <c r="B26" s="306" t="s">
        <v>1370</v>
      </c>
      <c r="C26" s="24">
        <f ca="1">ROUND((C19+C20)*F26,0)</f>
        <v>567</v>
      </c>
      <c r="D26" s="327" t="s">
        <v>1371</v>
      </c>
      <c r="E26" s="317" t="s">
        <v>1372</v>
      </c>
      <c r="F26" s="316">
        <f ca="1">INDIRECT("'数据-取费表'!q"&amp;$G$1)</f>
        <v>0.03</v>
      </c>
      <c r="G26" s="1533"/>
      <c r="H26" s="303" t="s">
        <v>1000</v>
      </c>
      <c r="I26" s="304" t="s">
        <v>1373</v>
      </c>
      <c r="J26" s="305">
        <f ca="1">IF(J5&lt;&gt;0,ROUND(J25*(1-((1+M28)/(1+M26))^M27)/(M26-M28),0),0)</f>
        <v>0</v>
      </c>
      <c r="K26" s="328" t="s">
        <v>1374</v>
      </c>
      <c r="L26" s="306" t="s">
        <v>1375</v>
      </c>
      <c r="M26" s="316">
        <f ca="1">INDIRECT("'数据-取费表'!I"&amp;$G$1)</f>
        <v>4.4999999999999998E-2</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20368</v>
      </c>
      <c r="D29" s="1219"/>
      <c r="E29" s="1217"/>
      <c r="F29" s="1220"/>
      <c r="G29" s="1545"/>
      <c r="H29" s="338" t="s">
        <v>1001</v>
      </c>
      <c r="I29" s="339" t="s">
        <v>1384</v>
      </c>
      <c r="J29" s="340">
        <f ca="1">ROUND(J26/(1+F40)^F41,0)</f>
        <v>0</v>
      </c>
      <c r="K29" s="341" t="s">
        <v>1385</v>
      </c>
      <c r="L29" s="342"/>
      <c r="M29" s="343">
        <f ca="1">INDIRECT("'数据-取费表'!k"&amp;$G$1)</f>
        <v>46810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1004</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210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171.09</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38.700000000000003</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21500</v>
      </c>
      <c r="G35" s="1533"/>
      <c r="H35" s="2889"/>
      <c r="I35" s="1547"/>
      <c r="J35" s="1548"/>
      <c r="K35" s="2893"/>
      <c r="L35" s="2892"/>
      <c r="M35" s="2892"/>
    </row>
    <row r="36" spans="1:18" ht="18" customHeight="1">
      <c r="A36" s="1229" t="s">
        <v>1007</v>
      </c>
      <c r="B36" s="306" t="s">
        <v>1354</v>
      </c>
      <c r="C36" s="24">
        <f ca="1">ROUND(C29*F36,1)</f>
        <v>611</v>
      </c>
      <c r="D36" s="1493" t="s">
        <v>1387</v>
      </c>
      <c r="E36" s="306" t="s">
        <v>1327</v>
      </c>
      <c r="F36" s="332">
        <f ca="1">INDIRECT("'数据-取费表'!Ak"&amp;$G$1)</f>
        <v>0.03</v>
      </c>
      <c r="G36" s="1533"/>
      <c r="H36" s="2892"/>
      <c r="I36" s="1547"/>
      <c r="J36" s="1548"/>
      <c r="K36" s="2733"/>
      <c r="L36" s="2892"/>
      <c r="M36" s="2892"/>
    </row>
    <row r="37" spans="1:18" ht="18" customHeight="1">
      <c r="A37" s="1110" t="s">
        <v>1043</v>
      </c>
      <c r="B37" s="306" t="s">
        <v>1358</v>
      </c>
      <c r="C37" s="24">
        <f ca="1">ROUND(C13*F37,1)</f>
        <v>61.1</v>
      </c>
      <c r="D37" s="1493" t="s">
        <v>1359</v>
      </c>
      <c r="E37" s="306" t="s">
        <v>1360</v>
      </c>
      <c r="F37" s="334">
        <f ca="1">INDIRECT("'数据-取费表'!Al"&amp;$G$1)</f>
        <v>3.0000000000000001E-3</v>
      </c>
      <c r="G37" s="1533"/>
      <c r="H37" s="2892"/>
      <c r="I37" s="1547"/>
      <c r="J37" s="1548"/>
      <c r="K37" s="2733"/>
      <c r="L37" s="2892"/>
      <c r="M37" s="2892"/>
    </row>
    <row r="38" spans="1:18" ht="18" customHeight="1" thickBot="1">
      <c r="A38" s="1216" t="s">
        <v>1298</v>
      </c>
      <c r="B38" s="1217" t="s">
        <v>1344</v>
      </c>
      <c r="C38" s="1218">
        <f ca="1">ROUND(C5*F38,1)</f>
        <v>121.5</v>
      </c>
      <c r="D38" s="1219" t="s">
        <v>1364</v>
      </c>
      <c r="E38" s="1217" t="s">
        <v>1360</v>
      </c>
      <c r="F38" s="1213">
        <f ca="1">INDIRECT("'数据-取费表'!Am"&amp;$G$1)</f>
        <v>0.03</v>
      </c>
      <c r="G38" s="1533"/>
      <c r="H38" s="2892"/>
      <c r="I38" s="1547"/>
      <c r="J38" s="1548"/>
      <c r="K38" s="2896"/>
      <c r="L38" s="2892"/>
      <c r="M38" s="2892"/>
    </row>
    <row r="39" spans="1:18" ht="24.6" customHeight="1" thickTop="1">
      <c r="A39" s="1206" t="s">
        <v>999</v>
      </c>
      <c r="B39" s="1221" t="s">
        <v>1388</v>
      </c>
      <c r="C39" s="314">
        <f ca="1">C5-C30</f>
        <v>3045</v>
      </c>
      <c r="D39" s="1222" t="s">
        <v>1389</v>
      </c>
      <c r="E39" s="1223"/>
      <c r="F39" s="1224"/>
      <c r="G39" s="1533"/>
      <c r="H39" s="2892"/>
      <c r="I39" s="1547"/>
      <c r="J39" s="1548"/>
      <c r="K39" s="2896"/>
      <c r="L39" s="2892"/>
      <c r="M39" s="2892"/>
    </row>
    <row r="40" spans="1:18" ht="18" customHeight="1">
      <c r="A40" s="303" t="s">
        <v>1000</v>
      </c>
      <c r="B40" s="304" t="s">
        <v>1390</v>
      </c>
      <c r="C40" s="305">
        <f ca="1">ROUND(C39*(1-((1+F42)/(1+F40))^F41)/(F40-F42),0)</f>
        <v>78986</v>
      </c>
      <c r="D40" s="328" t="s">
        <v>1374</v>
      </c>
      <c r="E40" s="306" t="s">
        <v>1375</v>
      </c>
      <c r="F40" s="316">
        <f ca="1">INDIRECT("'数据-取费表'!I"&amp;$G$1)</f>
        <v>4.4999999999999998E-2</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70</v>
      </c>
      <c r="G41" s="1533"/>
      <c r="H41" s="1320"/>
      <c r="I41" s="1547"/>
      <c r="J41" s="1548"/>
      <c r="K41" s="2733"/>
      <c r="L41" s="1320"/>
      <c r="M41" s="1320"/>
    </row>
    <row r="42" spans="1:18" ht="18" customHeight="1">
      <c r="A42" s="312"/>
      <c r="B42" s="313"/>
      <c r="C42" s="314"/>
      <c r="D42" s="331"/>
      <c r="E42" s="306" t="s">
        <v>1382</v>
      </c>
      <c r="F42" s="316">
        <f ca="1">INDIRECT("'数据-取费表'!v"&amp;$G$1)</f>
        <v>0.01</v>
      </c>
      <c r="G42" s="1533"/>
      <c r="H42" s="1320"/>
      <c r="I42" s="1547"/>
      <c r="J42" s="1548"/>
      <c r="K42" s="2733"/>
      <c r="L42" s="1320"/>
      <c r="M42" s="1320"/>
    </row>
    <row r="43" spans="1:18" ht="18" customHeight="1" thickBot="1">
      <c r="A43" s="338" t="s">
        <v>1001</v>
      </c>
      <c r="B43" s="339" t="s">
        <v>1392</v>
      </c>
      <c r="C43" s="340">
        <f ca="1">ROUND(C40*10000/F43,0)</f>
        <v>16874</v>
      </c>
      <c r="D43" s="341" t="s">
        <v>1393</v>
      </c>
      <c r="E43" s="342" t="s">
        <v>1394</v>
      </c>
      <c r="F43" s="343">
        <f ca="1">INDIRECT("'数据-取费表'!k"&amp;$G$1)</f>
        <v>46810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8" thickBot="1">
      <c r="A46" s="1553" t="s">
        <v>1425</v>
      </c>
      <c r="C46" s="1554">
        <f ca="1">C68-C40</f>
        <v>-97686</v>
      </c>
      <c r="D46" s="1555" t="str">
        <f>C2</f>
        <v>万元</v>
      </c>
      <c r="E46" s="1549"/>
      <c r="F46" s="1549"/>
      <c r="I46" s="1556" t="s">
        <v>1426</v>
      </c>
      <c r="J46" s="1557"/>
      <c r="K46" s="1558"/>
      <c r="L46" s="1559">
        <f>IF(M47="住宅",0,IF(L48&gt;J51,L60,J60))</f>
        <v>0</v>
      </c>
      <c r="O46" s="1560" t="s">
        <v>1427</v>
      </c>
      <c r="P46" s="1561" t="s">
        <v>1428</v>
      </c>
      <c r="Q46" s="1562" t="s">
        <v>1429</v>
      </c>
      <c r="R46" s="1562" t="s">
        <v>1430</v>
      </c>
    </row>
    <row r="47" spans="1:18" s="1533" customFormat="1" ht="13.8" thickBot="1">
      <c r="A47" s="1074" t="s">
        <v>1301</v>
      </c>
      <c r="B47" s="1106" t="s">
        <v>1302</v>
      </c>
      <c r="C47" s="1244" t="s">
        <v>1303</v>
      </c>
      <c r="D47" s="1106" t="s">
        <v>1304</v>
      </c>
      <c r="E47" s="1185" t="s">
        <v>1305</v>
      </c>
      <c r="F47" s="1186"/>
      <c r="G47" s="728"/>
      <c r="I47" s="1563" t="s">
        <v>1431</v>
      </c>
      <c r="J47" s="1564" t="s">
        <v>3844</v>
      </c>
      <c r="K47" s="1565" t="s">
        <v>1432</v>
      </c>
      <c r="L47" s="1566">
        <f ca="1">INDIRECT("'数据-取费表'!d"&amp;$G$1)</f>
        <v>70</v>
      </c>
      <c r="M47" s="1529" t="str">
        <f>IF(ISNUMBER(FIND("住宅",C1)),"住宅","非住宅")</f>
        <v>住宅</v>
      </c>
      <c r="O47" s="1567" t="s">
        <v>1008</v>
      </c>
      <c r="P47" s="1568" t="s">
        <v>1433</v>
      </c>
      <c r="Q47" s="1569">
        <f ca="1">C40+J29</f>
        <v>78986</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t="s">
        <v>3845</v>
      </c>
      <c r="K48" s="1572" t="s">
        <v>1436</v>
      </c>
      <c r="L48" s="1573">
        <f ca="1">INDIRECT("'数据-取费表'!f"&amp;$G$1)</f>
        <v>70</v>
      </c>
      <c r="O48" s="1567" t="s">
        <v>1009</v>
      </c>
      <c r="P48" s="1568" t="s">
        <v>1437</v>
      </c>
      <c r="Q48" s="1569" t="str">
        <f ca="1">J60</f>
        <v>0</v>
      </c>
      <c r="R48" s="1569" t="s">
        <v>1438</v>
      </c>
    </row>
    <row r="49" spans="1:18" s="1533" customFormat="1" ht="13.8" thickBot="1">
      <c r="A49" s="1103" t="s">
        <v>1045</v>
      </c>
      <c r="B49" s="1520" t="s">
        <v>1395</v>
      </c>
      <c r="C49" s="1241">
        <f ca="1">ROUND(F49*F51*F50*(1-F52)/10000,0)</f>
        <v>0</v>
      </c>
      <c r="D49" s="1182" t="s">
        <v>2789</v>
      </c>
      <c r="E49" s="1521" t="s">
        <v>1396</v>
      </c>
      <c r="F49" s="1187"/>
      <c r="G49" s="1574"/>
      <c r="H49" s="729"/>
      <c r="I49" s="1570" t="s">
        <v>1439</v>
      </c>
      <c r="J49" s="1575">
        <v>2018</v>
      </c>
      <c r="K49" s="1572" t="s">
        <v>1440</v>
      </c>
      <c r="L49" s="1576"/>
      <c r="O49" s="1577" t="s">
        <v>1010</v>
      </c>
      <c r="P49" s="1568" t="s">
        <v>1441</v>
      </c>
      <c r="Q49" s="1569">
        <f ca="1">C29</f>
        <v>20368</v>
      </c>
      <c r="R49" s="1569" t="s">
        <v>1434</v>
      </c>
    </row>
    <row r="50" spans="1:18" s="1533" customFormat="1" ht="13.8" thickBot="1">
      <c r="A50" s="1104"/>
      <c r="B50" s="1107"/>
      <c r="C50" s="1245"/>
      <c r="D50" s="1081"/>
      <c r="E50" s="1183" t="s">
        <v>1311</v>
      </c>
      <c r="F50" s="1184">
        <f ca="1">F7</f>
        <v>46810</v>
      </c>
      <c r="H50" s="729"/>
      <c r="I50" s="1570" t="s">
        <v>1442</v>
      </c>
      <c r="J50" s="1578">
        <f>SUMPRODUCT((I63:I65=J47)*(J62:L62=J48)*(J63:L65))</f>
        <v>60</v>
      </c>
      <c r="K50" s="1572" t="s">
        <v>1443</v>
      </c>
      <c r="L50" s="1576"/>
      <c r="M50" s="1579"/>
      <c r="O50" s="1577" t="s">
        <v>1011</v>
      </c>
      <c r="P50" s="1568" t="s">
        <v>1444</v>
      </c>
      <c r="Q50" s="1580" t="e">
        <f ca="1">J58</f>
        <v>#VALUE!</v>
      </c>
      <c r="R50" s="1569"/>
    </row>
    <row r="51" spans="1:18" s="1533" customFormat="1" ht="13.8" thickBot="1">
      <c r="A51" s="1105"/>
      <c r="B51" s="1107"/>
      <c r="C51" s="1108"/>
      <c r="D51" s="1081"/>
      <c r="E51" s="1109" t="s">
        <v>1312</v>
      </c>
      <c r="F51" s="307">
        <f ca="1">F8</f>
        <v>12</v>
      </c>
      <c r="I51" s="1581" t="s">
        <v>1445</v>
      </c>
      <c r="J51" s="1582">
        <f>IF(J49="",J50,J49+J50-YEAR('数据-取费表'!B2))</f>
        <v>60</v>
      </c>
      <c r="K51" s="1583" t="s">
        <v>1446</v>
      </c>
      <c r="L51" s="1584">
        <f ca="1">ROUND(-PV(INDIRECT("'数据-取费表'!h"&amp;$G$1),J51,(C39-C13*C76),0),0)</f>
        <v>68889</v>
      </c>
      <c r="M51" s="1585"/>
      <c r="O51" s="1577" t="s">
        <v>1012</v>
      </c>
      <c r="P51" s="1568" t="s">
        <v>1447</v>
      </c>
      <c r="Q51" s="1580">
        <f>J52</f>
        <v>6.5000000000000002E-2</v>
      </c>
      <c r="R51" s="1569"/>
    </row>
    <row r="52" spans="1:18" s="1533" customFormat="1" ht="13.8" thickBot="1">
      <c r="A52" s="1105"/>
      <c r="B52" s="1107"/>
      <c r="C52" s="1108"/>
      <c r="D52" s="1081"/>
      <c r="E52" s="1109" t="s">
        <v>1313</v>
      </c>
      <c r="F52" s="1181"/>
      <c r="I52" s="1586" t="s">
        <v>1448</v>
      </c>
      <c r="J52" s="1587">
        <v>6.5000000000000002E-2</v>
      </c>
      <c r="K52" s="1586" t="s">
        <v>1449</v>
      </c>
      <c r="L52" s="1587"/>
      <c r="O52" s="1577" t="s">
        <v>1013</v>
      </c>
      <c r="P52" s="1568" t="s">
        <v>1450</v>
      </c>
      <c r="Q52" s="1569">
        <f ca="1">J53</f>
        <v>70</v>
      </c>
      <c r="R52" s="1569" t="s">
        <v>1451</v>
      </c>
    </row>
    <row r="53" spans="1:18" s="1533" customFormat="1" ht="36.6"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70</v>
      </c>
      <c r="K53" s="3730" t="s">
        <v>1453</v>
      </c>
      <c r="L53" s="3731"/>
      <c r="O53" s="1567" t="s">
        <v>1014</v>
      </c>
      <c r="P53" s="1568" t="s">
        <v>1454</v>
      </c>
      <c r="Q53" s="1569">
        <f ca="1">Q47+Q48</f>
        <v>78986</v>
      </c>
      <c r="R53" s="1569" t="s">
        <v>1015</v>
      </c>
    </row>
    <row r="54" spans="1:18" s="1533" customFormat="1" ht="24.6" thickBot="1">
      <c r="A54" s="1282"/>
      <c r="B54" s="1516" t="s">
        <v>1293</v>
      </c>
      <c r="C54" s="1087"/>
      <c r="D54" s="1515"/>
      <c r="E54" s="1523"/>
      <c r="F54" s="1589"/>
      <c r="I54" s="159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37.200000000000003" thickTop="1" thickBot="1">
      <c r="A56" s="1085">
        <v>2</v>
      </c>
      <c r="B56" s="1086" t="s">
        <v>1319</v>
      </c>
      <c r="C56" s="236">
        <f ca="1">C13</f>
        <v>20368</v>
      </c>
      <c r="D56" s="1596"/>
      <c r="E56" s="1597"/>
      <c r="F56" s="1589"/>
      <c r="I56" s="1598" t="s">
        <v>1459</v>
      </c>
      <c r="J56" s="1599" t="s">
        <v>3629</v>
      </c>
      <c r="K56" s="1570" t="s">
        <v>1460</v>
      </c>
      <c r="L56" s="1573">
        <f ca="1">IF(L48&lt;J51,"——",L48-J53)</f>
        <v>0</v>
      </c>
      <c r="O56" s="1567" t="s">
        <v>1008</v>
      </c>
      <c r="P56" s="1568" t="s">
        <v>1433</v>
      </c>
      <c r="Q56" s="1569">
        <f ca="1">C40+J29</f>
        <v>78986</v>
      </c>
      <c r="R56" s="1569" t="s">
        <v>1434</v>
      </c>
    </row>
    <row r="57" spans="1:18" s="1533" customFormat="1" ht="24.6" thickBot="1">
      <c r="A57" s="1600"/>
      <c r="B57" s="1078" t="s">
        <v>1383</v>
      </c>
      <c r="C57" s="242">
        <f ca="1">C29</f>
        <v>20368</v>
      </c>
      <c r="D57" s="1601"/>
      <c r="E57" s="1602"/>
      <c r="F57" s="1603"/>
      <c r="I57" s="1604" t="s">
        <v>1461</v>
      </c>
      <c r="J57" s="1605" t="str">
        <f ca="1">IF(OR(M47="住宅",J51&lt;L48,J56="是"),"——",J51-L48)</f>
        <v>——</v>
      </c>
      <c r="K57" s="1570" t="s">
        <v>1462</v>
      </c>
      <c r="L57" s="1573">
        <f ca="1">IF(L48&lt;J51,"——",IF(L55="比较法",L49,IF(L55="基准地价",L50,L51)))</f>
        <v>68889</v>
      </c>
      <c r="O57" s="1567" t="s">
        <v>1009</v>
      </c>
      <c r="P57" s="1568" t="s">
        <v>1463</v>
      </c>
      <c r="Q57" s="1569">
        <f ca="1">L60</f>
        <v>0</v>
      </c>
      <c r="R57" s="1569" t="s">
        <v>1464</v>
      </c>
    </row>
    <row r="58" spans="1:18" s="1533" customFormat="1" ht="24.6" thickBot="1">
      <c r="A58" s="319" t="s">
        <v>998</v>
      </c>
      <c r="B58" s="1086" t="s">
        <v>1329</v>
      </c>
      <c r="C58" s="320">
        <f ca="1">ROUND(C59+C64+C65+C66,0)</f>
        <v>882</v>
      </c>
      <c r="D58" s="1088" t="s">
        <v>1330</v>
      </c>
      <c r="E58" s="1089"/>
      <c r="F58" s="1090"/>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210</v>
      </c>
      <c r="D59" s="1091" t="s">
        <v>1335</v>
      </c>
      <c r="E59" s="1092" t="s">
        <v>1336</v>
      </c>
      <c r="F59" s="2497"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IF(项目基本情况!B11="自然人","——",IF(D61="按租金收入计税",ROUND(C49*F61/(1+'数据-取费表'!C42),2),IF(D61="按房产原值计税",ROUND(C57*F61*0.7,2),INDIRECT("'数据-取费表'!Aj"&amp;$G$1))))</f>
        <v>171.09</v>
      </c>
      <c r="D61" s="1519" t="s">
        <v>1343</v>
      </c>
      <c r="E61" s="1078" t="s">
        <v>1399</v>
      </c>
      <c r="F61" s="326">
        <f t="shared" si="0"/>
        <v>1.2E-2</v>
      </c>
      <c r="I61" s="1610"/>
      <c r="J61" s="1610"/>
      <c r="K61" s="1610"/>
      <c r="L61" s="1610"/>
      <c r="O61" s="1577" t="s">
        <v>1013</v>
      </c>
      <c r="P61" s="1568" t="str">
        <f>K59</f>
        <v>建筑物剩余耐用年限下的土地年期修正系数Kn</v>
      </c>
      <c r="Q61" s="1569" t="e">
        <f ca="1">L59</f>
        <v>#DIV/0!</v>
      </c>
      <c r="R61" s="1569" t="s">
        <v>1474</v>
      </c>
    </row>
    <row r="62" spans="1:18" s="1533" customFormat="1" ht="13.8" thickBot="1">
      <c r="A62" s="1110" t="s">
        <v>1400</v>
      </c>
      <c r="B62" s="1077" t="s">
        <v>1401</v>
      </c>
      <c r="C62" s="25">
        <f ca="1">IF(项目基本情况!B11="自然人","——",ROUND(F62*F63/10000,2))</f>
        <v>38.700000000000003</v>
      </c>
      <c r="D62" s="1093" t="s">
        <v>1402</v>
      </c>
      <c r="E62" s="1078" t="s">
        <v>1403</v>
      </c>
      <c r="F62" s="329">
        <f t="shared" si="0"/>
        <v>18</v>
      </c>
      <c r="I62" s="1611" t="s">
        <v>1475</v>
      </c>
      <c r="J62" s="1612" t="s">
        <v>1476</v>
      </c>
      <c r="K62" s="1612" t="s">
        <v>1477</v>
      </c>
      <c r="L62" s="1612" t="s">
        <v>1478</v>
      </c>
      <c r="M62" s="1613" t="s">
        <v>1479</v>
      </c>
      <c r="O62" s="1567" t="s">
        <v>1014</v>
      </c>
      <c r="P62" s="1568" t="s">
        <v>1480</v>
      </c>
      <c r="Q62" s="1569">
        <f ca="1">Q56+Q57</f>
        <v>78986</v>
      </c>
      <c r="R62" s="1569" t="s">
        <v>1015</v>
      </c>
    </row>
    <row r="63" spans="1:18" s="1533" customFormat="1" ht="13.8" thickBot="1">
      <c r="A63" s="330"/>
      <c r="B63" s="1084"/>
      <c r="C63" s="29"/>
      <c r="D63" s="1094"/>
      <c r="E63" s="1078" t="s">
        <v>1404</v>
      </c>
      <c r="F63" s="307">
        <f t="shared" ca="1" si="0"/>
        <v>21500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ROUND(C57*F64,1)</f>
        <v>611</v>
      </c>
      <c r="D64" s="1092" t="s">
        <v>1407</v>
      </c>
      <c r="E64" s="1078" t="s">
        <v>1399</v>
      </c>
      <c r="F64" s="332">
        <f t="shared" ca="1" si="0"/>
        <v>0.03</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ROUND(C56*F65,1)</f>
        <v>61.1</v>
      </c>
      <c r="D65" s="1092" t="s">
        <v>1359</v>
      </c>
      <c r="E65" s="1078" t="s">
        <v>1360</v>
      </c>
      <c r="F65" s="334">
        <f t="shared" ca="1" si="0"/>
        <v>3.0000000000000001E-3</v>
      </c>
      <c r="I65" s="1611" t="s">
        <v>1484</v>
      </c>
      <c r="J65" s="1612">
        <v>40</v>
      </c>
      <c r="K65" s="1612">
        <v>30</v>
      </c>
      <c r="L65" s="1612">
        <v>50</v>
      </c>
      <c r="M65" s="1614">
        <v>0.02</v>
      </c>
      <c r="O65" s="1567" t="s">
        <v>1008</v>
      </c>
      <c r="P65" s="1568" t="s">
        <v>1485</v>
      </c>
      <c r="Q65" s="1569">
        <f ca="1">C40+J29</f>
        <v>78986</v>
      </c>
      <c r="R65" s="1569" t="s">
        <v>1434</v>
      </c>
    </row>
    <row r="66" spans="1:18" s="1533" customFormat="1" ht="16.2" thickBot="1">
      <c r="A66" s="1110" t="s">
        <v>1409</v>
      </c>
      <c r="B66" s="1078" t="s">
        <v>1344</v>
      </c>
      <c r="C66" s="24">
        <f ca="1">ROUND(C48*F66,1)</f>
        <v>0</v>
      </c>
      <c r="D66" s="1092" t="s">
        <v>1410</v>
      </c>
      <c r="E66" s="1078" t="s">
        <v>1327</v>
      </c>
      <c r="F66" s="316">
        <f t="shared" ca="1" si="0"/>
        <v>0.03</v>
      </c>
      <c r="O66" s="1567" t="s">
        <v>1009</v>
      </c>
      <c r="P66" s="1568" t="s">
        <v>1463</v>
      </c>
      <c r="Q66" s="1569">
        <f ca="1">L60</f>
        <v>0</v>
      </c>
      <c r="R66" s="1569" t="s">
        <v>1486</v>
      </c>
    </row>
    <row r="67" spans="1:18" s="1533" customFormat="1" ht="24.6" thickBot="1">
      <c r="A67" s="1085" t="s">
        <v>999</v>
      </c>
      <c r="B67" s="1095" t="s">
        <v>1368</v>
      </c>
      <c r="C67" s="320">
        <f ca="1">C48-C58</f>
        <v>-882</v>
      </c>
      <c r="D67" s="1091" t="s">
        <v>1369</v>
      </c>
      <c r="E67" s="1096"/>
      <c r="F67" s="1097"/>
      <c r="O67" s="1577" t="s">
        <v>1010</v>
      </c>
      <c r="P67" s="1568" t="s">
        <v>1467</v>
      </c>
      <c r="Q67" s="1615">
        <f ca="1">L51</f>
        <v>68889</v>
      </c>
      <c r="R67" s="1569" t="s">
        <v>1487</v>
      </c>
    </row>
    <row r="68" spans="1:18" s="1533" customFormat="1" ht="16.2" thickBot="1">
      <c r="A68" s="1075" t="s">
        <v>1000</v>
      </c>
      <c r="B68" s="1076" t="s">
        <v>1390</v>
      </c>
      <c r="C68" s="305">
        <f ca="1">ROUND(C67*(1-((1+F70)/(1+F68))^F69)/(F68-F70),0)</f>
        <v>-18700</v>
      </c>
      <c r="D68" s="1093" t="s">
        <v>1374</v>
      </c>
      <c r="E68" s="1078" t="s">
        <v>1375</v>
      </c>
      <c r="F68" s="316">
        <f ca="1">F40</f>
        <v>4.4999999999999998E-2</v>
      </c>
      <c r="O68" s="1577" t="s">
        <v>1011</v>
      </c>
      <c r="P68" s="1616" t="s">
        <v>1488</v>
      </c>
      <c r="Q68" s="1569">
        <f ca="1">ROUND(Q69-Q70*Q71,0)</f>
        <v>3045</v>
      </c>
      <c r="R68" s="1569" t="s">
        <v>1019</v>
      </c>
    </row>
    <row r="69" spans="1:18" s="1533" customFormat="1" ht="13.8" thickBot="1">
      <c r="A69" s="1079"/>
      <c r="B69" s="1080"/>
      <c r="C69" s="310"/>
      <c r="D69" s="1098" t="s">
        <v>1378</v>
      </c>
      <c r="E69" s="1078" t="s">
        <v>1379</v>
      </c>
      <c r="F69" s="337">
        <f ca="1">F41</f>
        <v>70</v>
      </c>
      <c r="O69" s="1577" t="s">
        <v>1016</v>
      </c>
      <c r="P69" s="1616" t="s">
        <v>1489</v>
      </c>
      <c r="Q69" s="1569">
        <f ca="1">C39</f>
        <v>3045</v>
      </c>
      <c r="R69" s="1569" t="s">
        <v>1434</v>
      </c>
    </row>
    <row r="70" spans="1:18" s="1533" customFormat="1" ht="13.8" thickBot="1">
      <c r="A70" s="1082"/>
      <c r="B70" s="1083"/>
      <c r="C70" s="314"/>
      <c r="D70" s="1094"/>
      <c r="E70" s="1078" t="s">
        <v>1382</v>
      </c>
      <c r="F70" s="1181"/>
      <c r="O70" s="1577" t="s">
        <v>1017</v>
      </c>
      <c r="P70" s="1616" t="s">
        <v>1490</v>
      </c>
      <c r="Q70" s="1569">
        <f ca="1">C13</f>
        <v>20368</v>
      </c>
      <c r="R70" s="1569" t="s">
        <v>1434</v>
      </c>
    </row>
    <row r="71" spans="1:18" s="1533" customFormat="1" ht="13.8" thickBot="1">
      <c r="A71" s="1099" t="s">
        <v>1001</v>
      </c>
      <c r="B71" s="1100" t="s">
        <v>1392</v>
      </c>
      <c r="C71" s="340">
        <f ca="1">ROUND(C68*10000/F71,0)</f>
        <v>-3995</v>
      </c>
      <c r="D71" s="1101" t="s">
        <v>1393</v>
      </c>
      <c r="E71" s="1102" t="s">
        <v>1394</v>
      </c>
      <c r="F71" s="343">
        <f ca="1">F43</f>
        <v>46810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建筑物剩余耐用年限下的土地年期修正系数Kn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f ca="1">Q65+Q66</f>
        <v>78986</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f ca="1">1-C83</f>
        <v>0.74199999999999999</v>
      </c>
    </row>
    <row r="83" spans="2:3">
      <c r="B83" s="277" t="s">
        <v>1419</v>
      </c>
      <c r="C83" s="278">
        <f ca="1">ROUND(C13/C40,3)</f>
        <v>0.25800000000000001</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0.109375" style="1617" customWidth="1"/>
    <col min="12" max="12" width="16.33203125" style="262" customWidth="1"/>
    <col min="13" max="13" width="13" style="262" customWidth="1"/>
    <col min="14" max="14" width="13.77734375" style="1533" customWidth="1"/>
    <col min="15" max="15" width="5.109375" style="1533" customWidth="1"/>
    <col min="16" max="16" width="25.77734375" style="1533" customWidth="1"/>
    <col min="17" max="17" width="13.77734375" style="1533" customWidth="1"/>
    <col min="18" max="18" width="20.44140625" style="1533" customWidth="1"/>
    <col min="19" max="19" width="13.21875" style="1533" customWidth="1"/>
    <col min="20" max="37" width="9" style="1533"/>
    <col min="38" max="16384" width="9" style="262"/>
  </cols>
  <sheetData>
    <row r="1" spans="1:37" s="297" customFormat="1" ht="21.6">
      <c r="A1" s="1524" t="s">
        <v>1494</v>
      </c>
      <c r="B1" s="719"/>
      <c r="C1" s="1528"/>
      <c r="D1" s="1511"/>
      <c r="E1" s="1512" t="s">
        <v>1292</v>
      </c>
      <c r="F1" s="1189">
        <f ca="1">J53</f>
        <v>0</v>
      </c>
      <c r="G1" s="1527">
        <f>MATCH(C1,'数据-取费表'!A6:A16,0)+5</f>
        <v>7</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732" t="s">
        <v>1308</v>
      </c>
      <c r="C6" s="1202">
        <f ca="1">ROUND(F6*F8*F7*(1-F9),0)</f>
        <v>0</v>
      </c>
      <c r="D6" s="158" t="s">
        <v>2785</v>
      </c>
      <c r="E6" s="306" t="s">
        <v>1310</v>
      </c>
      <c r="F6" s="307">
        <f ca="1">INDIRECT("'数据-取费表'!u"&amp;$G$1)</f>
        <v>0</v>
      </c>
      <c r="G6" s="1533"/>
      <c r="H6" s="1197" t="s">
        <v>1003</v>
      </c>
      <c r="I6" s="3732" t="s">
        <v>1308</v>
      </c>
      <c r="J6" s="305">
        <f ca="1">ROUND(M6*M8*M7*(1-M9),0)</f>
        <v>0</v>
      </c>
      <c r="K6" s="1525" t="s">
        <v>2786</v>
      </c>
      <c r="L6" s="306" t="s">
        <v>1310</v>
      </c>
      <c r="M6" s="307">
        <f ca="1">INDIRECT("'数据-取费表'!z"&amp;$G$1)</f>
        <v>0</v>
      </c>
    </row>
    <row r="7" spans="1:37" ht="18" customHeight="1">
      <c r="A7" s="1201"/>
      <c r="B7" s="3733"/>
      <c r="C7" s="1203"/>
      <c r="D7" s="311"/>
      <c r="E7" s="1204" t="s">
        <v>1311</v>
      </c>
      <c r="F7" s="307">
        <f ca="1">IF(INDIRECT("'数据-取费表'!ah"&amp;$G$1)="",INDIRECT("'数据-取费表'!k"&amp;$G$1),INDIRECT("'数据-取费表'!ah"&amp;$G$1))</f>
        <v>0</v>
      </c>
      <c r="G7" s="1533"/>
      <c r="H7" s="308"/>
      <c r="I7" s="3733"/>
      <c r="J7" s="310"/>
      <c r="K7" s="311"/>
      <c r="L7" s="306" t="s">
        <v>1311</v>
      </c>
      <c r="M7" s="307">
        <f ca="1">F7</f>
        <v>0</v>
      </c>
    </row>
    <row r="8" spans="1:37" ht="18" customHeight="1">
      <c r="A8" s="308"/>
      <c r="B8" s="3733"/>
      <c r="C8" s="310"/>
      <c r="D8" s="311"/>
      <c r="E8" s="306" t="s">
        <v>1312</v>
      </c>
      <c r="F8" s="307">
        <f ca="1">INDIRECT("'数据-取费表'!ai"&amp;$G$1)</f>
        <v>0</v>
      </c>
      <c r="G8" s="1533"/>
      <c r="H8" s="308"/>
      <c r="I8" s="3733"/>
      <c r="J8" s="310"/>
      <c r="K8" s="311"/>
      <c r="L8" s="306" t="s">
        <v>1312</v>
      </c>
      <c r="M8" s="307">
        <f ca="1">INDIRECT("'数据-取费表'!ai"&amp;$G$1)</f>
        <v>0</v>
      </c>
    </row>
    <row r="9" spans="1:37" ht="18" customHeight="1">
      <c r="A9" s="308"/>
      <c r="B9" s="3734"/>
      <c r="C9" s="310"/>
      <c r="D9" s="311"/>
      <c r="E9" s="306" t="s">
        <v>1313</v>
      </c>
      <c r="F9" s="316">
        <f ca="1">INDIRECT("'数据-取费表'!w"&amp;$G$1)</f>
        <v>0</v>
      </c>
      <c r="G9" s="1533"/>
      <c r="H9" s="308"/>
      <c r="I9" s="3734"/>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0.05</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18</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18</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8"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8"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40.200000000000003"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8"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8"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8"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8"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730" t="s">
        <v>1453</v>
      </c>
      <c r="L53" s="3731"/>
      <c r="O53" s="1567" t="s">
        <v>1014</v>
      </c>
      <c r="P53" s="1568" t="s">
        <v>1454</v>
      </c>
      <c r="Q53" s="1569" t="e">
        <f ca="1">Q47+Q48</f>
        <v>#DIV/0!</v>
      </c>
      <c r="R53" s="1569" t="s">
        <v>1015</v>
      </c>
    </row>
    <row r="54" spans="1:18" s="1533" customFormat="1" ht="13.8"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8"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6"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6"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6"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2"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8"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8" thickBot="1">
      <c r="A62" s="1110" t="s">
        <v>1400</v>
      </c>
      <c r="B62" s="1077" t="s">
        <v>1401</v>
      </c>
      <c r="C62" s="25">
        <f ca="1">IF(项目基本情况!B11="自然人","——",ROUND(F62*F63,0))</f>
        <v>0</v>
      </c>
      <c r="D62" s="1093" t="s">
        <v>1402</v>
      </c>
      <c r="E62" s="1078" t="s">
        <v>1403</v>
      </c>
      <c r="F62" s="329">
        <f t="shared" si="0"/>
        <v>18</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8"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8"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8"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2"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24.6"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2"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8" thickBot="1">
      <c r="A69" s="1079"/>
      <c r="B69" s="1080"/>
      <c r="C69" s="310"/>
      <c r="D69" s="1098" t="s">
        <v>1378</v>
      </c>
      <c r="E69" s="1078" t="s">
        <v>1379</v>
      </c>
      <c r="F69" s="337">
        <f ca="1">F41</f>
        <v>0</v>
      </c>
      <c r="O69" s="1577" t="s">
        <v>1016</v>
      </c>
      <c r="P69" s="1616" t="s">
        <v>1489</v>
      </c>
      <c r="Q69" s="1569">
        <f ca="1">C39</f>
        <v>0</v>
      </c>
      <c r="R69" s="1569" t="s">
        <v>1434</v>
      </c>
    </row>
    <row r="70" spans="1:18" s="1533" customFormat="1" ht="13.8" thickBot="1">
      <c r="A70" s="1082"/>
      <c r="B70" s="1083"/>
      <c r="C70" s="314"/>
      <c r="D70" s="1094"/>
      <c r="E70" s="1078" t="s">
        <v>1382</v>
      </c>
      <c r="F70" s="1181">
        <f ca="1">F42</f>
        <v>0</v>
      </c>
      <c r="O70" s="1577" t="s">
        <v>1017</v>
      </c>
      <c r="P70" s="1616" t="s">
        <v>1490</v>
      </c>
      <c r="Q70" s="1569">
        <f ca="1">C13</f>
        <v>0</v>
      </c>
      <c r="R70" s="1569" t="s">
        <v>1434</v>
      </c>
    </row>
    <row r="71" spans="1:18" s="1533" customFormat="1" ht="13.8"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8" thickBot="1">
      <c r="B72" s="732"/>
      <c r="C72" s="732"/>
      <c r="O72" s="1577" t="s">
        <v>1012</v>
      </c>
      <c r="P72" s="1568" t="s">
        <v>1469</v>
      </c>
      <c r="Q72" s="1580">
        <f>L52</f>
        <v>0</v>
      </c>
      <c r="R72" s="1569"/>
    </row>
    <row r="73" spans="1:18" ht="16.2" thickBot="1">
      <c r="A73" s="1533"/>
      <c r="B73" s="732"/>
      <c r="C73" s="732"/>
      <c r="D73" s="1533"/>
      <c r="E73" s="1533"/>
      <c r="F73" s="1533"/>
      <c r="O73" s="1577" t="s">
        <v>1013</v>
      </c>
      <c r="P73" s="1568" t="s">
        <v>1472</v>
      </c>
      <c r="Q73" s="1569" t="e">
        <f ca="1">L58</f>
        <v>#DIV/0!</v>
      </c>
      <c r="R73" s="1569" t="s">
        <v>1473</v>
      </c>
    </row>
    <row r="74" spans="1:18" ht="13.8"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8"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6" customWidth="1"/>
    <col min="2" max="2" width="8.88671875" style="3036"/>
    <col min="3" max="5" width="12.88671875" style="3036" customWidth="1"/>
    <col min="6" max="6" width="47.44140625" style="3036" customWidth="1"/>
    <col min="7" max="7" width="13" style="3195" customWidth="1"/>
    <col min="8" max="8" width="8.88671875" style="3030"/>
    <col min="9" max="9" width="8.88671875" style="3031"/>
    <col min="10" max="10" width="5.77734375" style="3196" customWidth="1"/>
    <col min="11" max="11" width="11.77734375" style="3196" customWidth="1"/>
    <col min="12" max="13" width="10.77734375" style="3196" customWidth="1"/>
    <col min="14" max="14" width="10" style="3196" customWidth="1"/>
    <col min="15" max="16" width="10.44140625" style="3196" bestFit="1" customWidth="1"/>
    <col min="17" max="17" width="10" style="3196" customWidth="1"/>
    <col min="18" max="18" width="10.109375" style="3196" customWidth="1"/>
    <col min="19" max="19" width="10" style="3196" customWidth="1"/>
    <col min="20" max="20" width="26.109375" style="3196" customWidth="1"/>
    <col min="21" max="21" width="8.88671875" style="3196"/>
    <col min="22" max="22" width="8.88671875" style="3031"/>
    <col min="23" max="256" width="8.88671875" style="3036"/>
    <col min="257" max="257" width="9.44140625" style="3036" customWidth="1"/>
    <col min="258" max="258" width="8.88671875" style="3036"/>
    <col min="259" max="261" width="12.88671875" style="3036" customWidth="1"/>
    <col min="262" max="262" width="47.44140625" style="3036" customWidth="1"/>
    <col min="263" max="263" width="13" style="3036" customWidth="1"/>
    <col min="264" max="265" width="8.88671875" style="3036"/>
    <col min="266" max="266" width="5.77734375" style="3036" customWidth="1"/>
    <col min="267" max="267" width="11.77734375" style="3036" customWidth="1"/>
    <col min="268" max="269" width="10.77734375" style="3036" customWidth="1"/>
    <col min="270" max="270" width="10" style="3036" customWidth="1"/>
    <col min="271" max="272" width="10.44140625" style="3036" bestFit="1" customWidth="1"/>
    <col min="273" max="273" width="10" style="3036" customWidth="1"/>
    <col min="274" max="274" width="10.109375" style="3036" customWidth="1"/>
    <col min="275" max="275" width="10" style="3036" customWidth="1"/>
    <col min="276" max="276" width="26.109375" style="3036" customWidth="1"/>
    <col min="277" max="512" width="8.88671875" style="3036"/>
    <col min="513" max="513" width="9.44140625" style="3036" customWidth="1"/>
    <col min="514" max="514" width="8.88671875" style="3036"/>
    <col min="515" max="517" width="12.88671875" style="3036" customWidth="1"/>
    <col min="518" max="518" width="47.44140625" style="3036" customWidth="1"/>
    <col min="519" max="519" width="13" style="3036" customWidth="1"/>
    <col min="520" max="521" width="8.88671875" style="3036"/>
    <col min="522" max="522" width="5.77734375" style="3036" customWidth="1"/>
    <col min="523" max="523" width="11.77734375" style="3036" customWidth="1"/>
    <col min="524" max="525" width="10.77734375" style="3036" customWidth="1"/>
    <col min="526" max="526" width="10" style="3036" customWidth="1"/>
    <col min="527" max="528" width="10.44140625" style="3036" bestFit="1" customWidth="1"/>
    <col min="529" max="529" width="10" style="3036" customWidth="1"/>
    <col min="530" max="530" width="10.109375" style="3036" customWidth="1"/>
    <col min="531" max="531" width="10" style="3036" customWidth="1"/>
    <col min="532" max="532" width="26.109375" style="3036" customWidth="1"/>
    <col min="533" max="768" width="8.88671875" style="3036"/>
    <col min="769" max="769" width="9.44140625" style="3036" customWidth="1"/>
    <col min="770" max="770" width="8.88671875" style="3036"/>
    <col min="771" max="773" width="12.88671875" style="3036" customWidth="1"/>
    <col min="774" max="774" width="47.44140625" style="3036" customWidth="1"/>
    <col min="775" max="775" width="13" style="3036" customWidth="1"/>
    <col min="776" max="777" width="8.88671875" style="3036"/>
    <col min="778" max="778" width="5.77734375" style="3036" customWidth="1"/>
    <col min="779" max="779" width="11.77734375" style="3036" customWidth="1"/>
    <col min="780" max="781" width="10.77734375" style="3036" customWidth="1"/>
    <col min="782" max="782" width="10" style="3036" customWidth="1"/>
    <col min="783" max="784" width="10.44140625" style="3036" bestFit="1" customWidth="1"/>
    <col min="785" max="785" width="10" style="3036" customWidth="1"/>
    <col min="786" max="786" width="10.109375" style="3036" customWidth="1"/>
    <col min="787" max="787" width="10" style="3036" customWidth="1"/>
    <col min="788" max="788" width="26.109375" style="3036" customWidth="1"/>
    <col min="789" max="1024" width="8.88671875" style="3036"/>
    <col min="1025" max="1025" width="9.44140625" style="3036" customWidth="1"/>
    <col min="1026" max="1026" width="8.88671875" style="3036"/>
    <col min="1027" max="1029" width="12.88671875" style="3036" customWidth="1"/>
    <col min="1030" max="1030" width="47.44140625" style="3036" customWidth="1"/>
    <col min="1031" max="1031" width="13" style="3036" customWidth="1"/>
    <col min="1032" max="1033" width="8.88671875" style="3036"/>
    <col min="1034" max="1034" width="5.77734375" style="3036" customWidth="1"/>
    <col min="1035" max="1035" width="11.77734375" style="3036" customWidth="1"/>
    <col min="1036" max="1037" width="10.77734375" style="3036" customWidth="1"/>
    <col min="1038" max="1038" width="10" style="3036" customWidth="1"/>
    <col min="1039" max="1040" width="10.44140625" style="3036" bestFit="1" customWidth="1"/>
    <col min="1041" max="1041" width="10" style="3036" customWidth="1"/>
    <col min="1042" max="1042" width="10.109375" style="3036" customWidth="1"/>
    <col min="1043" max="1043" width="10" style="3036" customWidth="1"/>
    <col min="1044" max="1044" width="26.109375" style="3036" customWidth="1"/>
    <col min="1045" max="1280" width="8.88671875" style="3036"/>
    <col min="1281" max="1281" width="9.44140625" style="3036" customWidth="1"/>
    <col min="1282" max="1282" width="8.88671875" style="3036"/>
    <col min="1283" max="1285" width="12.88671875" style="3036" customWidth="1"/>
    <col min="1286" max="1286" width="47.44140625" style="3036" customWidth="1"/>
    <col min="1287" max="1287" width="13" style="3036" customWidth="1"/>
    <col min="1288" max="1289" width="8.88671875" style="3036"/>
    <col min="1290" max="1290" width="5.77734375" style="3036" customWidth="1"/>
    <col min="1291" max="1291" width="11.77734375" style="3036" customWidth="1"/>
    <col min="1292" max="1293" width="10.77734375" style="3036" customWidth="1"/>
    <col min="1294" max="1294" width="10" style="3036" customWidth="1"/>
    <col min="1295" max="1296" width="10.44140625" style="3036" bestFit="1" customWidth="1"/>
    <col min="1297" max="1297" width="10" style="3036" customWidth="1"/>
    <col min="1298" max="1298" width="10.109375" style="3036" customWidth="1"/>
    <col min="1299" max="1299" width="10" style="3036" customWidth="1"/>
    <col min="1300" max="1300" width="26.109375" style="3036" customWidth="1"/>
    <col min="1301" max="1536" width="8.88671875" style="3036"/>
    <col min="1537" max="1537" width="9.44140625" style="3036" customWidth="1"/>
    <col min="1538" max="1538" width="8.88671875" style="3036"/>
    <col min="1539" max="1541" width="12.88671875" style="3036" customWidth="1"/>
    <col min="1542" max="1542" width="47.44140625" style="3036" customWidth="1"/>
    <col min="1543" max="1543" width="13" style="3036" customWidth="1"/>
    <col min="1544" max="1545" width="8.88671875" style="3036"/>
    <col min="1546" max="1546" width="5.77734375" style="3036" customWidth="1"/>
    <col min="1547" max="1547" width="11.77734375" style="3036" customWidth="1"/>
    <col min="1548" max="1549" width="10.77734375" style="3036" customWidth="1"/>
    <col min="1550" max="1550" width="10" style="3036" customWidth="1"/>
    <col min="1551" max="1552" width="10.44140625" style="3036" bestFit="1" customWidth="1"/>
    <col min="1553" max="1553" width="10" style="3036" customWidth="1"/>
    <col min="1554" max="1554" width="10.109375" style="3036" customWidth="1"/>
    <col min="1555" max="1555" width="10" style="3036" customWidth="1"/>
    <col min="1556" max="1556" width="26.109375" style="3036" customWidth="1"/>
    <col min="1557" max="1792" width="8.88671875" style="3036"/>
    <col min="1793" max="1793" width="9.44140625" style="3036" customWidth="1"/>
    <col min="1794" max="1794" width="8.88671875" style="3036"/>
    <col min="1795" max="1797" width="12.88671875" style="3036" customWidth="1"/>
    <col min="1798" max="1798" width="47.44140625" style="3036" customWidth="1"/>
    <col min="1799" max="1799" width="13" style="3036" customWidth="1"/>
    <col min="1800" max="1801" width="8.88671875" style="3036"/>
    <col min="1802" max="1802" width="5.77734375" style="3036" customWidth="1"/>
    <col min="1803" max="1803" width="11.77734375" style="3036" customWidth="1"/>
    <col min="1804" max="1805" width="10.77734375" style="3036" customWidth="1"/>
    <col min="1806" max="1806" width="10" style="3036" customWidth="1"/>
    <col min="1807" max="1808" width="10.44140625" style="3036" bestFit="1" customWidth="1"/>
    <col min="1809" max="1809" width="10" style="3036" customWidth="1"/>
    <col min="1810" max="1810" width="10.109375" style="3036" customWidth="1"/>
    <col min="1811" max="1811" width="10" style="3036" customWidth="1"/>
    <col min="1812" max="1812" width="26.109375" style="3036" customWidth="1"/>
    <col min="1813" max="2048" width="8.88671875" style="3036"/>
    <col min="2049" max="2049" width="9.44140625" style="3036" customWidth="1"/>
    <col min="2050" max="2050" width="8.88671875" style="3036"/>
    <col min="2051" max="2053" width="12.88671875" style="3036" customWidth="1"/>
    <col min="2054" max="2054" width="47.44140625" style="3036" customWidth="1"/>
    <col min="2055" max="2055" width="13" style="3036" customWidth="1"/>
    <col min="2056" max="2057" width="8.88671875" style="3036"/>
    <col min="2058" max="2058" width="5.77734375" style="3036" customWidth="1"/>
    <col min="2059" max="2059" width="11.77734375" style="3036" customWidth="1"/>
    <col min="2060" max="2061" width="10.77734375" style="3036" customWidth="1"/>
    <col min="2062" max="2062" width="10" style="3036" customWidth="1"/>
    <col min="2063" max="2064" width="10.44140625" style="3036" bestFit="1" customWidth="1"/>
    <col min="2065" max="2065" width="10" style="3036" customWidth="1"/>
    <col min="2066" max="2066" width="10.109375" style="3036" customWidth="1"/>
    <col min="2067" max="2067" width="10" style="3036" customWidth="1"/>
    <col min="2068" max="2068" width="26.109375" style="3036" customWidth="1"/>
    <col min="2069" max="2304" width="8.88671875" style="3036"/>
    <col min="2305" max="2305" width="9.44140625" style="3036" customWidth="1"/>
    <col min="2306" max="2306" width="8.88671875" style="3036"/>
    <col min="2307" max="2309" width="12.88671875" style="3036" customWidth="1"/>
    <col min="2310" max="2310" width="47.44140625" style="3036" customWidth="1"/>
    <col min="2311" max="2311" width="13" style="3036" customWidth="1"/>
    <col min="2312" max="2313" width="8.88671875" style="3036"/>
    <col min="2314" max="2314" width="5.77734375" style="3036" customWidth="1"/>
    <col min="2315" max="2315" width="11.77734375" style="3036" customWidth="1"/>
    <col min="2316" max="2317" width="10.77734375" style="3036" customWidth="1"/>
    <col min="2318" max="2318" width="10" style="3036" customWidth="1"/>
    <col min="2319" max="2320" width="10.44140625" style="3036" bestFit="1" customWidth="1"/>
    <col min="2321" max="2321" width="10" style="3036" customWidth="1"/>
    <col min="2322" max="2322" width="10.109375" style="3036" customWidth="1"/>
    <col min="2323" max="2323" width="10" style="3036" customWidth="1"/>
    <col min="2324" max="2324" width="26.109375" style="3036" customWidth="1"/>
    <col min="2325" max="2560" width="8.88671875" style="3036"/>
    <col min="2561" max="2561" width="9.44140625" style="3036" customWidth="1"/>
    <col min="2562" max="2562" width="8.88671875" style="3036"/>
    <col min="2563" max="2565" width="12.88671875" style="3036" customWidth="1"/>
    <col min="2566" max="2566" width="47.44140625" style="3036" customWidth="1"/>
    <col min="2567" max="2567" width="13" style="3036" customWidth="1"/>
    <col min="2568" max="2569" width="8.88671875" style="3036"/>
    <col min="2570" max="2570" width="5.77734375" style="3036" customWidth="1"/>
    <col min="2571" max="2571" width="11.77734375" style="3036" customWidth="1"/>
    <col min="2572" max="2573" width="10.77734375" style="3036" customWidth="1"/>
    <col min="2574" max="2574" width="10" style="3036" customWidth="1"/>
    <col min="2575" max="2576" width="10.44140625" style="3036" bestFit="1" customWidth="1"/>
    <col min="2577" max="2577" width="10" style="3036" customWidth="1"/>
    <col min="2578" max="2578" width="10.109375" style="3036" customWidth="1"/>
    <col min="2579" max="2579" width="10" style="3036" customWidth="1"/>
    <col min="2580" max="2580" width="26.109375" style="3036" customWidth="1"/>
    <col min="2581" max="2816" width="8.88671875" style="3036"/>
    <col min="2817" max="2817" width="9.44140625" style="3036" customWidth="1"/>
    <col min="2818" max="2818" width="8.88671875" style="3036"/>
    <col min="2819" max="2821" width="12.88671875" style="3036" customWidth="1"/>
    <col min="2822" max="2822" width="47.44140625" style="3036" customWidth="1"/>
    <col min="2823" max="2823" width="13" style="3036" customWidth="1"/>
    <col min="2824" max="2825" width="8.88671875" style="3036"/>
    <col min="2826" max="2826" width="5.77734375" style="3036" customWidth="1"/>
    <col min="2827" max="2827" width="11.77734375" style="3036" customWidth="1"/>
    <col min="2828" max="2829" width="10.77734375" style="3036" customWidth="1"/>
    <col min="2830" max="2830" width="10" style="3036" customWidth="1"/>
    <col min="2831" max="2832" width="10.44140625" style="3036" bestFit="1" customWidth="1"/>
    <col min="2833" max="2833" width="10" style="3036" customWidth="1"/>
    <col min="2834" max="2834" width="10.109375" style="3036" customWidth="1"/>
    <col min="2835" max="2835" width="10" style="3036" customWidth="1"/>
    <col min="2836" max="2836" width="26.109375" style="3036" customWidth="1"/>
    <col min="2837" max="3072" width="8.88671875" style="3036"/>
    <col min="3073" max="3073" width="9.44140625" style="3036" customWidth="1"/>
    <col min="3074" max="3074" width="8.88671875" style="3036"/>
    <col min="3075" max="3077" width="12.88671875" style="3036" customWidth="1"/>
    <col min="3078" max="3078" width="47.44140625" style="3036" customWidth="1"/>
    <col min="3079" max="3079" width="13" style="3036" customWidth="1"/>
    <col min="3080" max="3081" width="8.88671875" style="3036"/>
    <col min="3082" max="3082" width="5.77734375" style="3036" customWidth="1"/>
    <col min="3083" max="3083" width="11.77734375" style="3036" customWidth="1"/>
    <col min="3084" max="3085" width="10.77734375" style="3036" customWidth="1"/>
    <col min="3086" max="3086" width="10" style="3036" customWidth="1"/>
    <col min="3087" max="3088" width="10.44140625" style="3036" bestFit="1" customWidth="1"/>
    <col min="3089" max="3089" width="10" style="3036" customWidth="1"/>
    <col min="3090" max="3090" width="10.109375" style="3036" customWidth="1"/>
    <col min="3091" max="3091" width="10" style="3036" customWidth="1"/>
    <col min="3092" max="3092" width="26.109375" style="3036" customWidth="1"/>
    <col min="3093" max="3328" width="8.88671875" style="3036"/>
    <col min="3329" max="3329" width="9.44140625" style="3036" customWidth="1"/>
    <col min="3330" max="3330" width="8.88671875" style="3036"/>
    <col min="3331" max="3333" width="12.88671875" style="3036" customWidth="1"/>
    <col min="3334" max="3334" width="47.44140625" style="3036" customWidth="1"/>
    <col min="3335" max="3335" width="13" style="3036" customWidth="1"/>
    <col min="3336" max="3337" width="8.88671875" style="3036"/>
    <col min="3338" max="3338" width="5.77734375" style="3036" customWidth="1"/>
    <col min="3339" max="3339" width="11.77734375" style="3036" customWidth="1"/>
    <col min="3340" max="3341" width="10.77734375" style="3036" customWidth="1"/>
    <col min="3342" max="3342" width="10" style="3036" customWidth="1"/>
    <col min="3343" max="3344" width="10.44140625" style="3036" bestFit="1" customWidth="1"/>
    <col min="3345" max="3345" width="10" style="3036" customWidth="1"/>
    <col min="3346" max="3346" width="10.109375" style="3036" customWidth="1"/>
    <col min="3347" max="3347" width="10" style="3036" customWidth="1"/>
    <col min="3348" max="3348" width="26.109375" style="3036" customWidth="1"/>
    <col min="3349" max="3584" width="8.88671875" style="3036"/>
    <col min="3585" max="3585" width="9.44140625" style="3036" customWidth="1"/>
    <col min="3586" max="3586" width="8.88671875" style="3036"/>
    <col min="3587" max="3589" width="12.88671875" style="3036" customWidth="1"/>
    <col min="3590" max="3590" width="47.44140625" style="3036" customWidth="1"/>
    <col min="3591" max="3591" width="13" style="3036" customWidth="1"/>
    <col min="3592" max="3593" width="8.88671875" style="3036"/>
    <col min="3594" max="3594" width="5.77734375" style="3036" customWidth="1"/>
    <col min="3595" max="3595" width="11.77734375" style="3036" customWidth="1"/>
    <col min="3596" max="3597" width="10.77734375" style="3036" customWidth="1"/>
    <col min="3598" max="3598" width="10" style="3036" customWidth="1"/>
    <col min="3599" max="3600" width="10.44140625" style="3036" bestFit="1" customWidth="1"/>
    <col min="3601" max="3601" width="10" style="3036" customWidth="1"/>
    <col min="3602" max="3602" width="10.109375" style="3036" customWidth="1"/>
    <col min="3603" max="3603" width="10" style="3036" customWidth="1"/>
    <col min="3604" max="3604" width="26.109375" style="3036" customWidth="1"/>
    <col min="3605" max="3840" width="8.88671875" style="3036"/>
    <col min="3841" max="3841" width="9.44140625" style="3036" customWidth="1"/>
    <col min="3842" max="3842" width="8.88671875" style="3036"/>
    <col min="3843" max="3845" width="12.88671875" style="3036" customWidth="1"/>
    <col min="3846" max="3846" width="47.44140625" style="3036" customWidth="1"/>
    <col min="3847" max="3847" width="13" style="3036" customWidth="1"/>
    <col min="3848" max="3849" width="8.88671875" style="3036"/>
    <col min="3850" max="3850" width="5.77734375" style="3036" customWidth="1"/>
    <col min="3851" max="3851" width="11.77734375" style="3036" customWidth="1"/>
    <col min="3852" max="3853" width="10.77734375" style="3036" customWidth="1"/>
    <col min="3854" max="3854" width="10" style="3036" customWidth="1"/>
    <col min="3855" max="3856" width="10.44140625" style="3036" bestFit="1" customWidth="1"/>
    <col min="3857" max="3857" width="10" style="3036" customWidth="1"/>
    <col min="3858" max="3858" width="10.109375" style="3036" customWidth="1"/>
    <col min="3859" max="3859" width="10" style="3036" customWidth="1"/>
    <col min="3860" max="3860" width="26.109375" style="3036" customWidth="1"/>
    <col min="3861" max="4096" width="8.88671875" style="3036"/>
    <col min="4097" max="4097" width="9.44140625" style="3036" customWidth="1"/>
    <col min="4098" max="4098" width="8.88671875" style="3036"/>
    <col min="4099" max="4101" width="12.88671875" style="3036" customWidth="1"/>
    <col min="4102" max="4102" width="47.44140625" style="3036" customWidth="1"/>
    <col min="4103" max="4103" width="13" style="3036" customWidth="1"/>
    <col min="4104" max="4105" width="8.88671875" style="3036"/>
    <col min="4106" max="4106" width="5.77734375" style="3036" customWidth="1"/>
    <col min="4107" max="4107" width="11.77734375" style="3036" customWidth="1"/>
    <col min="4108" max="4109" width="10.77734375" style="3036" customWidth="1"/>
    <col min="4110" max="4110" width="10" style="3036" customWidth="1"/>
    <col min="4111" max="4112" width="10.44140625" style="3036" bestFit="1" customWidth="1"/>
    <col min="4113" max="4113" width="10" style="3036" customWidth="1"/>
    <col min="4114" max="4114" width="10.109375" style="3036" customWidth="1"/>
    <col min="4115" max="4115" width="10" style="3036" customWidth="1"/>
    <col min="4116" max="4116" width="26.109375" style="3036" customWidth="1"/>
    <col min="4117" max="4352" width="8.88671875" style="3036"/>
    <col min="4353" max="4353" width="9.44140625" style="3036" customWidth="1"/>
    <col min="4354" max="4354" width="8.88671875" style="3036"/>
    <col min="4355" max="4357" width="12.88671875" style="3036" customWidth="1"/>
    <col min="4358" max="4358" width="47.44140625" style="3036" customWidth="1"/>
    <col min="4359" max="4359" width="13" style="3036" customWidth="1"/>
    <col min="4360" max="4361" width="8.88671875" style="3036"/>
    <col min="4362" max="4362" width="5.77734375" style="3036" customWidth="1"/>
    <col min="4363" max="4363" width="11.77734375" style="3036" customWidth="1"/>
    <col min="4364" max="4365" width="10.77734375" style="3036" customWidth="1"/>
    <col min="4366" max="4366" width="10" style="3036" customWidth="1"/>
    <col min="4367" max="4368" width="10.44140625" style="3036" bestFit="1" customWidth="1"/>
    <col min="4369" max="4369" width="10" style="3036" customWidth="1"/>
    <col min="4370" max="4370" width="10.109375" style="3036" customWidth="1"/>
    <col min="4371" max="4371" width="10" style="3036" customWidth="1"/>
    <col min="4372" max="4372" width="26.109375" style="3036" customWidth="1"/>
    <col min="4373" max="4608" width="8.88671875" style="3036"/>
    <col min="4609" max="4609" width="9.44140625" style="3036" customWidth="1"/>
    <col min="4610" max="4610" width="8.88671875" style="3036"/>
    <col min="4611" max="4613" width="12.88671875" style="3036" customWidth="1"/>
    <col min="4614" max="4614" width="47.44140625" style="3036" customWidth="1"/>
    <col min="4615" max="4615" width="13" style="3036" customWidth="1"/>
    <col min="4616" max="4617" width="8.88671875" style="3036"/>
    <col min="4618" max="4618" width="5.77734375" style="3036" customWidth="1"/>
    <col min="4619" max="4619" width="11.77734375" style="3036" customWidth="1"/>
    <col min="4620" max="4621" width="10.77734375" style="3036" customWidth="1"/>
    <col min="4622" max="4622" width="10" style="3036" customWidth="1"/>
    <col min="4623" max="4624" width="10.44140625" style="3036" bestFit="1" customWidth="1"/>
    <col min="4625" max="4625" width="10" style="3036" customWidth="1"/>
    <col min="4626" max="4626" width="10.109375" style="3036" customWidth="1"/>
    <col min="4627" max="4627" width="10" style="3036" customWidth="1"/>
    <col min="4628" max="4628" width="26.109375" style="3036" customWidth="1"/>
    <col min="4629" max="4864" width="8.88671875" style="3036"/>
    <col min="4865" max="4865" width="9.44140625" style="3036" customWidth="1"/>
    <col min="4866" max="4866" width="8.88671875" style="3036"/>
    <col min="4867" max="4869" width="12.88671875" style="3036" customWidth="1"/>
    <col min="4870" max="4870" width="47.44140625" style="3036" customWidth="1"/>
    <col min="4871" max="4871" width="13" style="3036" customWidth="1"/>
    <col min="4872" max="4873" width="8.88671875" style="3036"/>
    <col min="4874" max="4874" width="5.77734375" style="3036" customWidth="1"/>
    <col min="4875" max="4875" width="11.77734375" style="3036" customWidth="1"/>
    <col min="4876" max="4877" width="10.77734375" style="3036" customWidth="1"/>
    <col min="4878" max="4878" width="10" style="3036" customWidth="1"/>
    <col min="4879" max="4880" width="10.44140625" style="3036" bestFit="1" customWidth="1"/>
    <col min="4881" max="4881" width="10" style="3036" customWidth="1"/>
    <col min="4882" max="4882" width="10.109375" style="3036" customWidth="1"/>
    <col min="4883" max="4883" width="10" style="3036" customWidth="1"/>
    <col min="4884" max="4884" width="26.109375" style="3036" customWidth="1"/>
    <col min="4885" max="5120" width="8.88671875" style="3036"/>
    <col min="5121" max="5121" width="9.44140625" style="3036" customWidth="1"/>
    <col min="5122" max="5122" width="8.88671875" style="3036"/>
    <col min="5123" max="5125" width="12.88671875" style="3036" customWidth="1"/>
    <col min="5126" max="5126" width="47.44140625" style="3036" customWidth="1"/>
    <col min="5127" max="5127" width="13" style="3036" customWidth="1"/>
    <col min="5128" max="5129" width="8.88671875" style="3036"/>
    <col min="5130" max="5130" width="5.77734375" style="3036" customWidth="1"/>
    <col min="5131" max="5131" width="11.77734375" style="3036" customWidth="1"/>
    <col min="5132" max="5133" width="10.77734375" style="3036" customWidth="1"/>
    <col min="5134" max="5134" width="10" style="3036" customWidth="1"/>
    <col min="5135" max="5136" width="10.44140625" style="3036" bestFit="1" customWidth="1"/>
    <col min="5137" max="5137" width="10" style="3036" customWidth="1"/>
    <col min="5138" max="5138" width="10.109375" style="3036" customWidth="1"/>
    <col min="5139" max="5139" width="10" style="3036" customWidth="1"/>
    <col min="5140" max="5140" width="26.109375" style="3036" customWidth="1"/>
    <col min="5141" max="5376" width="8.88671875" style="3036"/>
    <col min="5377" max="5377" width="9.44140625" style="3036" customWidth="1"/>
    <col min="5378" max="5378" width="8.88671875" style="3036"/>
    <col min="5379" max="5381" width="12.88671875" style="3036" customWidth="1"/>
    <col min="5382" max="5382" width="47.44140625" style="3036" customWidth="1"/>
    <col min="5383" max="5383" width="13" style="3036" customWidth="1"/>
    <col min="5384" max="5385" width="8.88671875" style="3036"/>
    <col min="5386" max="5386" width="5.77734375" style="3036" customWidth="1"/>
    <col min="5387" max="5387" width="11.77734375" style="3036" customWidth="1"/>
    <col min="5388" max="5389" width="10.77734375" style="3036" customWidth="1"/>
    <col min="5390" max="5390" width="10" style="3036" customWidth="1"/>
    <col min="5391" max="5392" width="10.44140625" style="3036" bestFit="1" customWidth="1"/>
    <col min="5393" max="5393" width="10" style="3036" customWidth="1"/>
    <col min="5394" max="5394" width="10.109375" style="3036" customWidth="1"/>
    <col min="5395" max="5395" width="10" style="3036" customWidth="1"/>
    <col min="5396" max="5396" width="26.109375" style="3036" customWidth="1"/>
    <col min="5397" max="5632" width="8.88671875" style="3036"/>
    <col min="5633" max="5633" width="9.44140625" style="3036" customWidth="1"/>
    <col min="5634" max="5634" width="8.88671875" style="3036"/>
    <col min="5635" max="5637" width="12.88671875" style="3036" customWidth="1"/>
    <col min="5638" max="5638" width="47.44140625" style="3036" customWidth="1"/>
    <col min="5639" max="5639" width="13" style="3036" customWidth="1"/>
    <col min="5640" max="5641" width="8.88671875" style="3036"/>
    <col min="5642" max="5642" width="5.77734375" style="3036" customWidth="1"/>
    <col min="5643" max="5643" width="11.77734375" style="3036" customWidth="1"/>
    <col min="5644" max="5645" width="10.77734375" style="3036" customWidth="1"/>
    <col min="5646" max="5646" width="10" style="3036" customWidth="1"/>
    <col min="5647" max="5648" width="10.44140625" style="3036" bestFit="1" customWidth="1"/>
    <col min="5649" max="5649" width="10" style="3036" customWidth="1"/>
    <col min="5650" max="5650" width="10.109375" style="3036" customWidth="1"/>
    <col min="5651" max="5651" width="10" style="3036" customWidth="1"/>
    <col min="5652" max="5652" width="26.109375" style="3036" customWidth="1"/>
    <col min="5653" max="5888" width="8.88671875" style="3036"/>
    <col min="5889" max="5889" width="9.44140625" style="3036" customWidth="1"/>
    <col min="5890" max="5890" width="8.88671875" style="3036"/>
    <col min="5891" max="5893" width="12.88671875" style="3036" customWidth="1"/>
    <col min="5894" max="5894" width="47.44140625" style="3036" customWidth="1"/>
    <col min="5895" max="5895" width="13" style="3036" customWidth="1"/>
    <col min="5896" max="5897" width="8.88671875" style="3036"/>
    <col min="5898" max="5898" width="5.77734375" style="3036" customWidth="1"/>
    <col min="5899" max="5899" width="11.77734375" style="3036" customWidth="1"/>
    <col min="5900" max="5901" width="10.77734375" style="3036" customWidth="1"/>
    <col min="5902" max="5902" width="10" style="3036" customWidth="1"/>
    <col min="5903" max="5904" width="10.44140625" style="3036" bestFit="1" customWidth="1"/>
    <col min="5905" max="5905" width="10" style="3036" customWidth="1"/>
    <col min="5906" max="5906" width="10.109375" style="3036" customWidth="1"/>
    <col min="5907" max="5907" width="10" style="3036" customWidth="1"/>
    <col min="5908" max="5908" width="26.109375" style="3036" customWidth="1"/>
    <col min="5909" max="6144" width="8.88671875" style="3036"/>
    <col min="6145" max="6145" width="9.44140625" style="3036" customWidth="1"/>
    <col min="6146" max="6146" width="8.88671875" style="3036"/>
    <col min="6147" max="6149" width="12.88671875" style="3036" customWidth="1"/>
    <col min="6150" max="6150" width="47.44140625" style="3036" customWidth="1"/>
    <col min="6151" max="6151" width="13" style="3036" customWidth="1"/>
    <col min="6152" max="6153" width="8.88671875" style="3036"/>
    <col min="6154" max="6154" width="5.77734375" style="3036" customWidth="1"/>
    <col min="6155" max="6155" width="11.77734375" style="3036" customWidth="1"/>
    <col min="6156" max="6157" width="10.77734375" style="3036" customWidth="1"/>
    <col min="6158" max="6158" width="10" style="3036" customWidth="1"/>
    <col min="6159" max="6160" width="10.44140625" style="3036" bestFit="1" customWidth="1"/>
    <col min="6161" max="6161" width="10" style="3036" customWidth="1"/>
    <col min="6162" max="6162" width="10.109375" style="3036" customWidth="1"/>
    <col min="6163" max="6163" width="10" style="3036" customWidth="1"/>
    <col min="6164" max="6164" width="26.109375" style="3036" customWidth="1"/>
    <col min="6165" max="6400" width="8.88671875" style="3036"/>
    <col min="6401" max="6401" width="9.44140625" style="3036" customWidth="1"/>
    <col min="6402" max="6402" width="8.88671875" style="3036"/>
    <col min="6403" max="6405" width="12.88671875" style="3036" customWidth="1"/>
    <col min="6406" max="6406" width="47.44140625" style="3036" customWidth="1"/>
    <col min="6407" max="6407" width="13" style="3036" customWidth="1"/>
    <col min="6408" max="6409" width="8.88671875" style="3036"/>
    <col min="6410" max="6410" width="5.77734375" style="3036" customWidth="1"/>
    <col min="6411" max="6411" width="11.77734375" style="3036" customWidth="1"/>
    <col min="6412" max="6413" width="10.77734375" style="3036" customWidth="1"/>
    <col min="6414" max="6414" width="10" style="3036" customWidth="1"/>
    <col min="6415" max="6416" width="10.44140625" style="3036" bestFit="1" customWidth="1"/>
    <col min="6417" max="6417" width="10" style="3036" customWidth="1"/>
    <col min="6418" max="6418" width="10.109375" style="3036" customWidth="1"/>
    <col min="6419" max="6419" width="10" style="3036" customWidth="1"/>
    <col min="6420" max="6420" width="26.109375" style="3036" customWidth="1"/>
    <col min="6421" max="6656" width="8.88671875" style="3036"/>
    <col min="6657" max="6657" width="9.44140625" style="3036" customWidth="1"/>
    <col min="6658" max="6658" width="8.88671875" style="3036"/>
    <col min="6659" max="6661" width="12.88671875" style="3036" customWidth="1"/>
    <col min="6662" max="6662" width="47.44140625" style="3036" customWidth="1"/>
    <col min="6663" max="6663" width="13" style="3036" customWidth="1"/>
    <col min="6664" max="6665" width="8.88671875" style="3036"/>
    <col min="6666" max="6666" width="5.77734375" style="3036" customWidth="1"/>
    <col min="6667" max="6667" width="11.77734375" style="3036" customWidth="1"/>
    <col min="6668" max="6669" width="10.77734375" style="3036" customWidth="1"/>
    <col min="6670" max="6670" width="10" style="3036" customWidth="1"/>
    <col min="6671" max="6672" width="10.44140625" style="3036" bestFit="1" customWidth="1"/>
    <col min="6673" max="6673" width="10" style="3036" customWidth="1"/>
    <col min="6674" max="6674" width="10.109375" style="3036" customWidth="1"/>
    <col min="6675" max="6675" width="10" style="3036" customWidth="1"/>
    <col min="6676" max="6676" width="26.109375" style="3036" customWidth="1"/>
    <col min="6677" max="6912" width="8.88671875" style="3036"/>
    <col min="6913" max="6913" width="9.44140625" style="3036" customWidth="1"/>
    <col min="6914" max="6914" width="8.88671875" style="3036"/>
    <col min="6915" max="6917" width="12.88671875" style="3036" customWidth="1"/>
    <col min="6918" max="6918" width="47.44140625" style="3036" customWidth="1"/>
    <col min="6919" max="6919" width="13" style="3036" customWidth="1"/>
    <col min="6920" max="6921" width="8.88671875" style="3036"/>
    <col min="6922" max="6922" width="5.77734375" style="3036" customWidth="1"/>
    <col min="6923" max="6923" width="11.77734375" style="3036" customWidth="1"/>
    <col min="6924" max="6925" width="10.77734375" style="3036" customWidth="1"/>
    <col min="6926" max="6926" width="10" style="3036" customWidth="1"/>
    <col min="6927" max="6928" width="10.44140625" style="3036" bestFit="1" customWidth="1"/>
    <col min="6929" max="6929" width="10" style="3036" customWidth="1"/>
    <col min="6930" max="6930" width="10.109375" style="3036" customWidth="1"/>
    <col min="6931" max="6931" width="10" style="3036" customWidth="1"/>
    <col min="6932" max="6932" width="26.109375" style="3036" customWidth="1"/>
    <col min="6933" max="7168" width="8.88671875" style="3036"/>
    <col min="7169" max="7169" width="9.44140625" style="3036" customWidth="1"/>
    <col min="7170" max="7170" width="8.88671875" style="3036"/>
    <col min="7171" max="7173" width="12.88671875" style="3036" customWidth="1"/>
    <col min="7174" max="7174" width="47.44140625" style="3036" customWidth="1"/>
    <col min="7175" max="7175" width="13" style="3036" customWidth="1"/>
    <col min="7176" max="7177" width="8.88671875" style="3036"/>
    <col min="7178" max="7178" width="5.77734375" style="3036" customWidth="1"/>
    <col min="7179" max="7179" width="11.77734375" style="3036" customWidth="1"/>
    <col min="7180" max="7181" width="10.77734375" style="3036" customWidth="1"/>
    <col min="7182" max="7182" width="10" style="3036" customWidth="1"/>
    <col min="7183" max="7184" width="10.44140625" style="3036" bestFit="1" customWidth="1"/>
    <col min="7185" max="7185" width="10" style="3036" customWidth="1"/>
    <col min="7186" max="7186" width="10.109375" style="3036" customWidth="1"/>
    <col min="7187" max="7187" width="10" style="3036" customWidth="1"/>
    <col min="7188" max="7188" width="26.109375" style="3036" customWidth="1"/>
    <col min="7189" max="7424" width="8.88671875" style="3036"/>
    <col min="7425" max="7425" width="9.44140625" style="3036" customWidth="1"/>
    <col min="7426" max="7426" width="8.88671875" style="3036"/>
    <col min="7427" max="7429" width="12.88671875" style="3036" customWidth="1"/>
    <col min="7430" max="7430" width="47.44140625" style="3036" customWidth="1"/>
    <col min="7431" max="7431" width="13" style="3036" customWidth="1"/>
    <col min="7432" max="7433" width="8.88671875" style="3036"/>
    <col min="7434" max="7434" width="5.77734375" style="3036" customWidth="1"/>
    <col min="7435" max="7435" width="11.77734375" style="3036" customWidth="1"/>
    <col min="7436" max="7437" width="10.77734375" style="3036" customWidth="1"/>
    <col min="7438" max="7438" width="10" style="3036" customWidth="1"/>
    <col min="7439" max="7440" width="10.44140625" style="3036" bestFit="1" customWidth="1"/>
    <col min="7441" max="7441" width="10" style="3036" customWidth="1"/>
    <col min="7442" max="7442" width="10.109375" style="3036" customWidth="1"/>
    <col min="7443" max="7443" width="10" style="3036" customWidth="1"/>
    <col min="7444" max="7444" width="26.109375" style="3036" customWidth="1"/>
    <col min="7445" max="7680" width="8.88671875" style="3036"/>
    <col min="7681" max="7681" width="9.44140625" style="3036" customWidth="1"/>
    <col min="7682" max="7682" width="8.88671875" style="3036"/>
    <col min="7683" max="7685" width="12.88671875" style="3036" customWidth="1"/>
    <col min="7686" max="7686" width="47.44140625" style="3036" customWidth="1"/>
    <col min="7687" max="7687" width="13" style="3036" customWidth="1"/>
    <col min="7688" max="7689" width="8.88671875" style="3036"/>
    <col min="7690" max="7690" width="5.77734375" style="3036" customWidth="1"/>
    <col min="7691" max="7691" width="11.77734375" style="3036" customWidth="1"/>
    <col min="7692" max="7693" width="10.77734375" style="3036" customWidth="1"/>
    <col min="7694" max="7694" width="10" style="3036" customWidth="1"/>
    <col min="7695" max="7696" width="10.44140625" style="3036" bestFit="1" customWidth="1"/>
    <col min="7697" max="7697" width="10" style="3036" customWidth="1"/>
    <col min="7698" max="7698" width="10.109375" style="3036" customWidth="1"/>
    <col min="7699" max="7699" width="10" style="3036" customWidth="1"/>
    <col min="7700" max="7700" width="26.109375" style="3036" customWidth="1"/>
    <col min="7701" max="7936" width="8.88671875" style="3036"/>
    <col min="7937" max="7937" width="9.44140625" style="3036" customWidth="1"/>
    <col min="7938" max="7938" width="8.88671875" style="3036"/>
    <col min="7939" max="7941" width="12.88671875" style="3036" customWidth="1"/>
    <col min="7942" max="7942" width="47.44140625" style="3036" customWidth="1"/>
    <col min="7943" max="7943" width="13" style="3036" customWidth="1"/>
    <col min="7944" max="7945" width="8.88671875" style="3036"/>
    <col min="7946" max="7946" width="5.77734375" style="3036" customWidth="1"/>
    <col min="7947" max="7947" width="11.77734375" style="3036" customWidth="1"/>
    <col min="7948" max="7949" width="10.77734375" style="3036" customWidth="1"/>
    <col min="7950" max="7950" width="10" style="3036" customWidth="1"/>
    <col min="7951" max="7952" width="10.44140625" style="3036" bestFit="1" customWidth="1"/>
    <col min="7953" max="7953" width="10" style="3036" customWidth="1"/>
    <col min="7954" max="7954" width="10.109375" style="3036" customWidth="1"/>
    <col min="7955" max="7955" width="10" style="3036" customWidth="1"/>
    <col min="7956" max="7956" width="26.109375" style="3036" customWidth="1"/>
    <col min="7957" max="8192" width="8.88671875" style="3036"/>
    <col min="8193" max="8193" width="9.44140625" style="3036" customWidth="1"/>
    <col min="8194" max="8194" width="8.88671875" style="3036"/>
    <col min="8195" max="8197" width="12.88671875" style="3036" customWidth="1"/>
    <col min="8198" max="8198" width="47.44140625" style="3036" customWidth="1"/>
    <col min="8199" max="8199" width="13" style="3036" customWidth="1"/>
    <col min="8200" max="8201" width="8.88671875" style="3036"/>
    <col min="8202" max="8202" width="5.77734375" style="3036" customWidth="1"/>
    <col min="8203" max="8203" width="11.77734375" style="3036" customWidth="1"/>
    <col min="8204" max="8205" width="10.77734375" style="3036" customWidth="1"/>
    <col min="8206" max="8206" width="10" style="3036" customWidth="1"/>
    <col min="8207" max="8208" width="10.44140625" style="3036" bestFit="1" customWidth="1"/>
    <col min="8209" max="8209" width="10" style="3036" customWidth="1"/>
    <col min="8210" max="8210" width="10.109375" style="3036" customWidth="1"/>
    <col min="8211" max="8211" width="10" style="3036" customWidth="1"/>
    <col min="8212" max="8212" width="26.109375" style="3036" customWidth="1"/>
    <col min="8213" max="8448" width="8.88671875" style="3036"/>
    <col min="8449" max="8449" width="9.44140625" style="3036" customWidth="1"/>
    <col min="8450" max="8450" width="8.88671875" style="3036"/>
    <col min="8451" max="8453" width="12.88671875" style="3036" customWidth="1"/>
    <col min="8454" max="8454" width="47.44140625" style="3036" customWidth="1"/>
    <col min="8455" max="8455" width="13" style="3036" customWidth="1"/>
    <col min="8456" max="8457" width="8.88671875" style="3036"/>
    <col min="8458" max="8458" width="5.77734375" style="3036" customWidth="1"/>
    <col min="8459" max="8459" width="11.77734375" style="3036" customWidth="1"/>
    <col min="8460" max="8461" width="10.77734375" style="3036" customWidth="1"/>
    <col min="8462" max="8462" width="10" style="3036" customWidth="1"/>
    <col min="8463" max="8464" width="10.44140625" style="3036" bestFit="1" customWidth="1"/>
    <col min="8465" max="8465" width="10" style="3036" customWidth="1"/>
    <col min="8466" max="8466" width="10.109375" style="3036" customWidth="1"/>
    <col min="8467" max="8467" width="10" style="3036" customWidth="1"/>
    <col min="8468" max="8468" width="26.109375" style="3036" customWidth="1"/>
    <col min="8469" max="8704" width="8.88671875" style="3036"/>
    <col min="8705" max="8705" width="9.44140625" style="3036" customWidth="1"/>
    <col min="8706" max="8706" width="8.88671875" style="3036"/>
    <col min="8707" max="8709" width="12.88671875" style="3036" customWidth="1"/>
    <col min="8710" max="8710" width="47.44140625" style="3036" customWidth="1"/>
    <col min="8711" max="8711" width="13" style="3036" customWidth="1"/>
    <col min="8712" max="8713" width="8.88671875" style="3036"/>
    <col min="8714" max="8714" width="5.77734375" style="3036" customWidth="1"/>
    <col min="8715" max="8715" width="11.77734375" style="3036" customWidth="1"/>
    <col min="8716" max="8717" width="10.77734375" style="3036" customWidth="1"/>
    <col min="8718" max="8718" width="10" style="3036" customWidth="1"/>
    <col min="8719" max="8720" width="10.44140625" style="3036" bestFit="1" customWidth="1"/>
    <col min="8721" max="8721" width="10" style="3036" customWidth="1"/>
    <col min="8722" max="8722" width="10.109375" style="3036" customWidth="1"/>
    <col min="8723" max="8723" width="10" style="3036" customWidth="1"/>
    <col min="8724" max="8724" width="26.109375" style="3036" customWidth="1"/>
    <col min="8725" max="8960" width="8.88671875" style="3036"/>
    <col min="8961" max="8961" width="9.44140625" style="3036" customWidth="1"/>
    <col min="8962" max="8962" width="8.88671875" style="3036"/>
    <col min="8963" max="8965" width="12.88671875" style="3036" customWidth="1"/>
    <col min="8966" max="8966" width="47.44140625" style="3036" customWidth="1"/>
    <col min="8967" max="8967" width="13" style="3036" customWidth="1"/>
    <col min="8968" max="8969" width="8.88671875" style="3036"/>
    <col min="8970" max="8970" width="5.77734375" style="3036" customWidth="1"/>
    <col min="8971" max="8971" width="11.77734375" style="3036" customWidth="1"/>
    <col min="8972" max="8973" width="10.77734375" style="3036" customWidth="1"/>
    <col min="8974" max="8974" width="10" style="3036" customWidth="1"/>
    <col min="8975" max="8976" width="10.44140625" style="3036" bestFit="1" customWidth="1"/>
    <col min="8977" max="8977" width="10" style="3036" customWidth="1"/>
    <col min="8978" max="8978" width="10.109375" style="3036" customWidth="1"/>
    <col min="8979" max="8979" width="10" style="3036" customWidth="1"/>
    <col min="8980" max="8980" width="26.109375" style="3036" customWidth="1"/>
    <col min="8981" max="9216" width="8.88671875" style="3036"/>
    <col min="9217" max="9217" width="9.44140625" style="3036" customWidth="1"/>
    <col min="9218" max="9218" width="8.88671875" style="3036"/>
    <col min="9219" max="9221" width="12.88671875" style="3036" customWidth="1"/>
    <col min="9222" max="9222" width="47.44140625" style="3036" customWidth="1"/>
    <col min="9223" max="9223" width="13" style="3036" customWidth="1"/>
    <col min="9224" max="9225" width="8.88671875" style="3036"/>
    <col min="9226" max="9226" width="5.77734375" style="3036" customWidth="1"/>
    <col min="9227" max="9227" width="11.77734375" style="3036" customWidth="1"/>
    <col min="9228" max="9229" width="10.77734375" style="3036" customWidth="1"/>
    <col min="9230" max="9230" width="10" style="3036" customWidth="1"/>
    <col min="9231" max="9232" width="10.44140625" style="3036" bestFit="1" customWidth="1"/>
    <col min="9233" max="9233" width="10" style="3036" customWidth="1"/>
    <col min="9234" max="9234" width="10.109375" style="3036" customWidth="1"/>
    <col min="9235" max="9235" width="10" style="3036" customWidth="1"/>
    <col min="9236" max="9236" width="26.109375" style="3036" customWidth="1"/>
    <col min="9237" max="9472" width="8.88671875" style="3036"/>
    <col min="9473" max="9473" width="9.44140625" style="3036" customWidth="1"/>
    <col min="9474" max="9474" width="8.88671875" style="3036"/>
    <col min="9475" max="9477" width="12.88671875" style="3036" customWidth="1"/>
    <col min="9478" max="9478" width="47.44140625" style="3036" customWidth="1"/>
    <col min="9479" max="9479" width="13" style="3036" customWidth="1"/>
    <col min="9480" max="9481" width="8.88671875" style="3036"/>
    <col min="9482" max="9482" width="5.77734375" style="3036" customWidth="1"/>
    <col min="9483" max="9483" width="11.77734375" style="3036" customWidth="1"/>
    <col min="9484" max="9485" width="10.77734375" style="3036" customWidth="1"/>
    <col min="9486" max="9486" width="10" style="3036" customWidth="1"/>
    <col min="9487" max="9488" width="10.44140625" style="3036" bestFit="1" customWidth="1"/>
    <col min="9489" max="9489" width="10" style="3036" customWidth="1"/>
    <col min="9490" max="9490" width="10.109375" style="3036" customWidth="1"/>
    <col min="9491" max="9491" width="10" style="3036" customWidth="1"/>
    <col min="9492" max="9492" width="26.109375" style="3036" customWidth="1"/>
    <col min="9493" max="9728" width="8.88671875" style="3036"/>
    <col min="9729" max="9729" width="9.44140625" style="3036" customWidth="1"/>
    <col min="9730" max="9730" width="8.88671875" style="3036"/>
    <col min="9731" max="9733" width="12.88671875" style="3036" customWidth="1"/>
    <col min="9734" max="9734" width="47.44140625" style="3036" customWidth="1"/>
    <col min="9735" max="9735" width="13" style="3036" customWidth="1"/>
    <col min="9736" max="9737" width="8.88671875" style="3036"/>
    <col min="9738" max="9738" width="5.77734375" style="3036" customWidth="1"/>
    <col min="9739" max="9739" width="11.77734375" style="3036" customWidth="1"/>
    <col min="9740" max="9741" width="10.77734375" style="3036" customWidth="1"/>
    <col min="9742" max="9742" width="10" style="3036" customWidth="1"/>
    <col min="9743" max="9744" width="10.44140625" style="3036" bestFit="1" customWidth="1"/>
    <col min="9745" max="9745" width="10" style="3036" customWidth="1"/>
    <col min="9746" max="9746" width="10.109375" style="3036" customWidth="1"/>
    <col min="9747" max="9747" width="10" style="3036" customWidth="1"/>
    <col min="9748" max="9748" width="26.109375" style="3036" customWidth="1"/>
    <col min="9749" max="9984" width="8.88671875" style="3036"/>
    <col min="9985" max="9985" width="9.44140625" style="3036" customWidth="1"/>
    <col min="9986" max="9986" width="8.88671875" style="3036"/>
    <col min="9987" max="9989" width="12.88671875" style="3036" customWidth="1"/>
    <col min="9990" max="9990" width="47.44140625" style="3036" customWidth="1"/>
    <col min="9991" max="9991" width="13" style="3036" customWidth="1"/>
    <col min="9992" max="9993" width="8.88671875" style="3036"/>
    <col min="9994" max="9994" width="5.77734375" style="3036" customWidth="1"/>
    <col min="9995" max="9995" width="11.77734375" style="3036" customWidth="1"/>
    <col min="9996" max="9997" width="10.77734375" style="3036" customWidth="1"/>
    <col min="9998" max="9998" width="10" style="3036" customWidth="1"/>
    <col min="9999" max="10000" width="10.44140625" style="3036" bestFit="1" customWidth="1"/>
    <col min="10001" max="10001" width="10" style="3036" customWidth="1"/>
    <col min="10002" max="10002" width="10.109375" style="3036" customWidth="1"/>
    <col min="10003" max="10003" width="10" style="3036" customWidth="1"/>
    <col min="10004" max="10004" width="26.109375" style="3036" customWidth="1"/>
    <col min="10005" max="10240" width="8.88671875" style="3036"/>
    <col min="10241" max="10241" width="9.44140625" style="3036" customWidth="1"/>
    <col min="10242" max="10242" width="8.88671875" style="3036"/>
    <col min="10243" max="10245" width="12.88671875" style="3036" customWidth="1"/>
    <col min="10246" max="10246" width="47.44140625" style="3036" customWidth="1"/>
    <col min="10247" max="10247" width="13" style="3036" customWidth="1"/>
    <col min="10248" max="10249" width="8.88671875" style="3036"/>
    <col min="10250" max="10250" width="5.77734375" style="3036" customWidth="1"/>
    <col min="10251" max="10251" width="11.77734375" style="3036" customWidth="1"/>
    <col min="10252" max="10253" width="10.77734375" style="3036" customWidth="1"/>
    <col min="10254" max="10254" width="10" style="3036" customWidth="1"/>
    <col min="10255" max="10256" width="10.44140625" style="3036" bestFit="1" customWidth="1"/>
    <col min="10257" max="10257" width="10" style="3036" customWidth="1"/>
    <col min="10258" max="10258" width="10.109375" style="3036" customWidth="1"/>
    <col min="10259" max="10259" width="10" style="3036" customWidth="1"/>
    <col min="10260" max="10260" width="26.109375" style="3036" customWidth="1"/>
    <col min="10261" max="10496" width="8.88671875" style="3036"/>
    <col min="10497" max="10497" width="9.44140625" style="3036" customWidth="1"/>
    <col min="10498" max="10498" width="8.88671875" style="3036"/>
    <col min="10499" max="10501" width="12.88671875" style="3036" customWidth="1"/>
    <col min="10502" max="10502" width="47.44140625" style="3036" customWidth="1"/>
    <col min="10503" max="10503" width="13" style="3036" customWidth="1"/>
    <col min="10504" max="10505" width="8.88671875" style="3036"/>
    <col min="10506" max="10506" width="5.77734375" style="3036" customWidth="1"/>
    <col min="10507" max="10507" width="11.77734375" style="3036" customWidth="1"/>
    <col min="10508" max="10509" width="10.77734375" style="3036" customWidth="1"/>
    <col min="10510" max="10510" width="10" style="3036" customWidth="1"/>
    <col min="10511" max="10512" width="10.44140625" style="3036" bestFit="1" customWidth="1"/>
    <col min="10513" max="10513" width="10" style="3036" customWidth="1"/>
    <col min="10514" max="10514" width="10.109375" style="3036" customWidth="1"/>
    <col min="10515" max="10515" width="10" style="3036" customWidth="1"/>
    <col min="10516" max="10516" width="26.109375" style="3036" customWidth="1"/>
    <col min="10517" max="10752" width="8.88671875" style="3036"/>
    <col min="10753" max="10753" width="9.44140625" style="3036" customWidth="1"/>
    <col min="10754" max="10754" width="8.88671875" style="3036"/>
    <col min="10755" max="10757" width="12.88671875" style="3036" customWidth="1"/>
    <col min="10758" max="10758" width="47.44140625" style="3036" customWidth="1"/>
    <col min="10759" max="10759" width="13" style="3036" customWidth="1"/>
    <col min="10760" max="10761" width="8.88671875" style="3036"/>
    <col min="10762" max="10762" width="5.77734375" style="3036" customWidth="1"/>
    <col min="10763" max="10763" width="11.77734375" style="3036" customWidth="1"/>
    <col min="10764" max="10765" width="10.77734375" style="3036" customWidth="1"/>
    <col min="10766" max="10766" width="10" style="3036" customWidth="1"/>
    <col min="10767" max="10768" width="10.44140625" style="3036" bestFit="1" customWidth="1"/>
    <col min="10769" max="10769" width="10" style="3036" customWidth="1"/>
    <col min="10770" max="10770" width="10.109375" style="3036" customWidth="1"/>
    <col min="10771" max="10771" width="10" style="3036" customWidth="1"/>
    <col min="10772" max="10772" width="26.109375" style="3036" customWidth="1"/>
    <col min="10773" max="11008" width="8.88671875" style="3036"/>
    <col min="11009" max="11009" width="9.44140625" style="3036" customWidth="1"/>
    <col min="11010" max="11010" width="8.88671875" style="3036"/>
    <col min="11011" max="11013" width="12.88671875" style="3036" customWidth="1"/>
    <col min="11014" max="11014" width="47.44140625" style="3036" customWidth="1"/>
    <col min="11015" max="11015" width="13" style="3036" customWidth="1"/>
    <col min="11016" max="11017" width="8.88671875" style="3036"/>
    <col min="11018" max="11018" width="5.77734375" style="3036" customWidth="1"/>
    <col min="11019" max="11019" width="11.77734375" style="3036" customWidth="1"/>
    <col min="11020" max="11021" width="10.77734375" style="3036" customWidth="1"/>
    <col min="11022" max="11022" width="10" style="3036" customWidth="1"/>
    <col min="11023" max="11024" width="10.44140625" style="3036" bestFit="1" customWidth="1"/>
    <col min="11025" max="11025" width="10" style="3036" customWidth="1"/>
    <col min="11026" max="11026" width="10.109375" style="3036" customWidth="1"/>
    <col min="11027" max="11027" width="10" style="3036" customWidth="1"/>
    <col min="11028" max="11028" width="26.109375" style="3036" customWidth="1"/>
    <col min="11029" max="11264" width="8.88671875" style="3036"/>
    <col min="11265" max="11265" width="9.44140625" style="3036" customWidth="1"/>
    <col min="11266" max="11266" width="8.88671875" style="3036"/>
    <col min="11267" max="11269" width="12.88671875" style="3036" customWidth="1"/>
    <col min="11270" max="11270" width="47.44140625" style="3036" customWidth="1"/>
    <col min="11271" max="11271" width="13" style="3036" customWidth="1"/>
    <col min="11272" max="11273" width="8.88671875" style="3036"/>
    <col min="11274" max="11274" width="5.77734375" style="3036" customWidth="1"/>
    <col min="11275" max="11275" width="11.77734375" style="3036" customWidth="1"/>
    <col min="11276" max="11277" width="10.77734375" style="3036" customWidth="1"/>
    <col min="11278" max="11278" width="10" style="3036" customWidth="1"/>
    <col min="11279" max="11280" width="10.44140625" style="3036" bestFit="1" customWidth="1"/>
    <col min="11281" max="11281" width="10" style="3036" customWidth="1"/>
    <col min="11282" max="11282" width="10.109375" style="3036" customWidth="1"/>
    <col min="11283" max="11283" width="10" style="3036" customWidth="1"/>
    <col min="11284" max="11284" width="26.109375" style="3036" customWidth="1"/>
    <col min="11285" max="11520" width="8.88671875" style="3036"/>
    <col min="11521" max="11521" width="9.44140625" style="3036" customWidth="1"/>
    <col min="11522" max="11522" width="8.88671875" style="3036"/>
    <col min="11523" max="11525" width="12.88671875" style="3036" customWidth="1"/>
    <col min="11526" max="11526" width="47.44140625" style="3036" customWidth="1"/>
    <col min="11527" max="11527" width="13" style="3036" customWidth="1"/>
    <col min="11528" max="11529" width="8.88671875" style="3036"/>
    <col min="11530" max="11530" width="5.77734375" style="3036" customWidth="1"/>
    <col min="11531" max="11531" width="11.77734375" style="3036" customWidth="1"/>
    <col min="11532" max="11533" width="10.77734375" style="3036" customWidth="1"/>
    <col min="11534" max="11534" width="10" style="3036" customWidth="1"/>
    <col min="11535" max="11536" width="10.44140625" style="3036" bestFit="1" customWidth="1"/>
    <col min="11537" max="11537" width="10" style="3036" customWidth="1"/>
    <col min="11538" max="11538" width="10.109375" style="3036" customWidth="1"/>
    <col min="11539" max="11539" width="10" style="3036" customWidth="1"/>
    <col min="11540" max="11540" width="26.109375" style="3036" customWidth="1"/>
    <col min="11541" max="11776" width="8.88671875" style="3036"/>
    <col min="11777" max="11777" width="9.44140625" style="3036" customWidth="1"/>
    <col min="11778" max="11778" width="8.88671875" style="3036"/>
    <col min="11779" max="11781" width="12.88671875" style="3036" customWidth="1"/>
    <col min="11782" max="11782" width="47.44140625" style="3036" customWidth="1"/>
    <col min="11783" max="11783" width="13" style="3036" customWidth="1"/>
    <col min="11784" max="11785" width="8.88671875" style="3036"/>
    <col min="11786" max="11786" width="5.77734375" style="3036" customWidth="1"/>
    <col min="11787" max="11787" width="11.77734375" style="3036" customWidth="1"/>
    <col min="11788" max="11789" width="10.77734375" style="3036" customWidth="1"/>
    <col min="11790" max="11790" width="10" style="3036" customWidth="1"/>
    <col min="11791" max="11792" width="10.44140625" style="3036" bestFit="1" customWidth="1"/>
    <col min="11793" max="11793" width="10" style="3036" customWidth="1"/>
    <col min="11794" max="11794" width="10.109375" style="3036" customWidth="1"/>
    <col min="11795" max="11795" width="10" style="3036" customWidth="1"/>
    <col min="11796" max="11796" width="26.109375" style="3036" customWidth="1"/>
    <col min="11797" max="12032" width="8.88671875" style="3036"/>
    <col min="12033" max="12033" width="9.44140625" style="3036" customWidth="1"/>
    <col min="12034" max="12034" width="8.88671875" style="3036"/>
    <col min="12035" max="12037" width="12.88671875" style="3036" customWidth="1"/>
    <col min="12038" max="12038" width="47.44140625" style="3036" customWidth="1"/>
    <col min="12039" max="12039" width="13" style="3036" customWidth="1"/>
    <col min="12040" max="12041" width="8.88671875" style="3036"/>
    <col min="12042" max="12042" width="5.77734375" style="3036" customWidth="1"/>
    <col min="12043" max="12043" width="11.77734375" style="3036" customWidth="1"/>
    <col min="12044" max="12045" width="10.77734375" style="3036" customWidth="1"/>
    <col min="12046" max="12046" width="10" style="3036" customWidth="1"/>
    <col min="12047" max="12048" width="10.44140625" style="3036" bestFit="1" customWidth="1"/>
    <col min="12049" max="12049" width="10" style="3036" customWidth="1"/>
    <col min="12050" max="12050" width="10.109375" style="3036" customWidth="1"/>
    <col min="12051" max="12051" width="10" style="3036" customWidth="1"/>
    <col min="12052" max="12052" width="26.109375" style="3036" customWidth="1"/>
    <col min="12053" max="12288" width="8.88671875" style="3036"/>
    <col min="12289" max="12289" width="9.44140625" style="3036" customWidth="1"/>
    <col min="12290" max="12290" width="8.88671875" style="3036"/>
    <col min="12291" max="12293" width="12.88671875" style="3036" customWidth="1"/>
    <col min="12294" max="12294" width="47.44140625" style="3036" customWidth="1"/>
    <col min="12295" max="12295" width="13" style="3036" customWidth="1"/>
    <col min="12296" max="12297" width="8.88671875" style="3036"/>
    <col min="12298" max="12298" width="5.77734375" style="3036" customWidth="1"/>
    <col min="12299" max="12299" width="11.77734375" style="3036" customWidth="1"/>
    <col min="12300" max="12301" width="10.77734375" style="3036" customWidth="1"/>
    <col min="12302" max="12302" width="10" style="3036" customWidth="1"/>
    <col min="12303" max="12304" width="10.44140625" style="3036" bestFit="1" customWidth="1"/>
    <col min="12305" max="12305" width="10" style="3036" customWidth="1"/>
    <col min="12306" max="12306" width="10.109375" style="3036" customWidth="1"/>
    <col min="12307" max="12307" width="10" style="3036" customWidth="1"/>
    <col min="12308" max="12308" width="26.109375" style="3036" customWidth="1"/>
    <col min="12309" max="12544" width="8.88671875" style="3036"/>
    <col min="12545" max="12545" width="9.44140625" style="3036" customWidth="1"/>
    <col min="12546" max="12546" width="8.88671875" style="3036"/>
    <col min="12547" max="12549" width="12.88671875" style="3036" customWidth="1"/>
    <col min="12550" max="12550" width="47.44140625" style="3036" customWidth="1"/>
    <col min="12551" max="12551" width="13" style="3036" customWidth="1"/>
    <col min="12552" max="12553" width="8.88671875" style="3036"/>
    <col min="12554" max="12554" width="5.77734375" style="3036" customWidth="1"/>
    <col min="12555" max="12555" width="11.77734375" style="3036" customWidth="1"/>
    <col min="12556" max="12557" width="10.77734375" style="3036" customWidth="1"/>
    <col min="12558" max="12558" width="10" style="3036" customWidth="1"/>
    <col min="12559" max="12560" width="10.44140625" style="3036" bestFit="1" customWidth="1"/>
    <col min="12561" max="12561" width="10" style="3036" customWidth="1"/>
    <col min="12562" max="12562" width="10.109375" style="3036" customWidth="1"/>
    <col min="12563" max="12563" width="10" style="3036" customWidth="1"/>
    <col min="12564" max="12564" width="26.109375" style="3036" customWidth="1"/>
    <col min="12565" max="12800" width="8.88671875" style="3036"/>
    <col min="12801" max="12801" width="9.44140625" style="3036" customWidth="1"/>
    <col min="12802" max="12802" width="8.88671875" style="3036"/>
    <col min="12803" max="12805" width="12.88671875" style="3036" customWidth="1"/>
    <col min="12806" max="12806" width="47.44140625" style="3036" customWidth="1"/>
    <col min="12807" max="12807" width="13" style="3036" customWidth="1"/>
    <col min="12808" max="12809" width="8.88671875" style="3036"/>
    <col min="12810" max="12810" width="5.77734375" style="3036" customWidth="1"/>
    <col min="12811" max="12811" width="11.77734375" style="3036" customWidth="1"/>
    <col min="12812" max="12813" width="10.77734375" style="3036" customWidth="1"/>
    <col min="12814" max="12814" width="10" style="3036" customWidth="1"/>
    <col min="12815" max="12816" width="10.44140625" style="3036" bestFit="1" customWidth="1"/>
    <col min="12817" max="12817" width="10" style="3036" customWidth="1"/>
    <col min="12818" max="12818" width="10.109375" style="3036" customWidth="1"/>
    <col min="12819" max="12819" width="10" style="3036" customWidth="1"/>
    <col min="12820" max="12820" width="26.109375" style="3036" customWidth="1"/>
    <col min="12821" max="13056" width="8.88671875" style="3036"/>
    <col min="13057" max="13057" width="9.44140625" style="3036" customWidth="1"/>
    <col min="13058" max="13058" width="8.88671875" style="3036"/>
    <col min="13059" max="13061" width="12.88671875" style="3036" customWidth="1"/>
    <col min="13062" max="13062" width="47.44140625" style="3036" customWidth="1"/>
    <col min="13063" max="13063" width="13" style="3036" customWidth="1"/>
    <col min="13064" max="13065" width="8.88671875" style="3036"/>
    <col min="13066" max="13066" width="5.77734375" style="3036" customWidth="1"/>
    <col min="13067" max="13067" width="11.77734375" style="3036" customWidth="1"/>
    <col min="13068" max="13069" width="10.77734375" style="3036" customWidth="1"/>
    <col min="13070" max="13070" width="10" style="3036" customWidth="1"/>
    <col min="13071" max="13072" width="10.44140625" style="3036" bestFit="1" customWidth="1"/>
    <col min="13073" max="13073" width="10" style="3036" customWidth="1"/>
    <col min="13074" max="13074" width="10.109375" style="3036" customWidth="1"/>
    <col min="13075" max="13075" width="10" style="3036" customWidth="1"/>
    <col min="13076" max="13076" width="26.109375" style="3036" customWidth="1"/>
    <col min="13077" max="13312" width="8.88671875" style="3036"/>
    <col min="13313" max="13313" width="9.44140625" style="3036" customWidth="1"/>
    <col min="13314" max="13314" width="8.88671875" style="3036"/>
    <col min="13315" max="13317" width="12.88671875" style="3036" customWidth="1"/>
    <col min="13318" max="13318" width="47.44140625" style="3036" customWidth="1"/>
    <col min="13319" max="13319" width="13" style="3036" customWidth="1"/>
    <col min="13320" max="13321" width="8.88671875" style="3036"/>
    <col min="13322" max="13322" width="5.77734375" style="3036" customWidth="1"/>
    <col min="13323" max="13323" width="11.77734375" style="3036" customWidth="1"/>
    <col min="13324" max="13325" width="10.77734375" style="3036" customWidth="1"/>
    <col min="13326" max="13326" width="10" style="3036" customWidth="1"/>
    <col min="13327" max="13328" width="10.44140625" style="3036" bestFit="1" customWidth="1"/>
    <col min="13329" max="13329" width="10" style="3036" customWidth="1"/>
    <col min="13330" max="13330" width="10.109375" style="3036" customWidth="1"/>
    <col min="13331" max="13331" width="10" style="3036" customWidth="1"/>
    <col min="13332" max="13332" width="26.109375" style="3036" customWidth="1"/>
    <col min="13333" max="13568" width="8.88671875" style="3036"/>
    <col min="13569" max="13569" width="9.44140625" style="3036" customWidth="1"/>
    <col min="13570" max="13570" width="8.88671875" style="3036"/>
    <col min="13571" max="13573" width="12.88671875" style="3036" customWidth="1"/>
    <col min="13574" max="13574" width="47.44140625" style="3036" customWidth="1"/>
    <col min="13575" max="13575" width="13" style="3036" customWidth="1"/>
    <col min="13576" max="13577" width="8.88671875" style="3036"/>
    <col min="13578" max="13578" width="5.77734375" style="3036" customWidth="1"/>
    <col min="13579" max="13579" width="11.77734375" style="3036" customWidth="1"/>
    <col min="13580" max="13581" width="10.77734375" style="3036" customWidth="1"/>
    <col min="13582" max="13582" width="10" style="3036" customWidth="1"/>
    <col min="13583" max="13584" width="10.44140625" style="3036" bestFit="1" customWidth="1"/>
    <col min="13585" max="13585" width="10" style="3036" customWidth="1"/>
    <col min="13586" max="13586" width="10.109375" style="3036" customWidth="1"/>
    <col min="13587" max="13587" width="10" style="3036" customWidth="1"/>
    <col min="13588" max="13588" width="26.109375" style="3036" customWidth="1"/>
    <col min="13589" max="13824" width="8.88671875" style="3036"/>
    <col min="13825" max="13825" width="9.44140625" style="3036" customWidth="1"/>
    <col min="13826" max="13826" width="8.88671875" style="3036"/>
    <col min="13827" max="13829" width="12.88671875" style="3036" customWidth="1"/>
    <col min="13830" max="13830" width="47.44140625" style="3036" customWidth="1"/>
    <col min="13831" max="13831" width="13" style="3036" customWidth="1"/>
    <col min="13832" max="13833" width="8.88671875" style="3036"/>
    <col min="13834" max="13834" width="5.77734375" style="3036" customWidth="1"/>
    <col min="13835" max="13835" width="11.77734375" style="3036" customWidth="1"/>
    <col min="13836" max="13837" width="10.77734375" style="3036" customWidth="1"/>
    <col min="13838" max="13838" width="10" style="3036" customWidth="1"/>
    <col min="13839" max="13840" width="10.44140625" style="3036" bestFit="1" customWidth="1"/>
    <col min="13841" max="13841" width="10" style="3036" customWidth="1"/>
    <col min="13842" max="13842" width="10.109375" style="3036" customWidth="1"/>
    <col min="13843" max="13843" width="10" style="3036" customWidth="1"/>
    <col min="13844" max="13844" width="26.109375" style="3036" customWidth="1"/>
    <col min="13845" max="14080" width="8.88671875" style="3036"/>
    <col min="14081" max="14081" width="9.44140625" style="3036" customWidth="1"/>
    <col min="14082" max="14082" width="8.88671875" style="3036"/>
    <col min="14083" max="14085" width="12.88671875" style="3036" customWidth="1"/>
    <col min="14086" max="14086" width="47.44140625" style="3036" customWidth="1"/>
    <col min="14087" max="14087" width="13" style="3036" customWidth="1"/>
    <col min="14088" max="14089" width="8.88671875" style="3036"/>
    <col min="14090" max="14090" width="5.77734375" style="3036" customWidth="1"/>
    <col min="14091" max="14091" width="11.77734375" style="3036" customWidth="1"/>
    <col min="14092" max="14093" width="10.77734375" style="3036" customWidth="1"/>
    <col min="14094" max="14094" width="10" style="3036" customWidth="1"/>
    <col min="14095" max="14096" width="10.44140625" style="3036" bestFit="1" customWidth="1"/>
    <col min="14097" max="14097" width="10" style="3036" customWidth="1"/>
    <col min="14098" max="14098" width="10.109375" style="3036" customWidth="1"/>
    <col min="14099" max="14099" width="10" style="3036" customWidth="1"/>
    <col min="14100" max="14100" width="26.109375" style="3036" customWidth="1"/>
    <col min="14101" max="14336" width="8.88671875" style="3036"/>
    <col min="14337" max="14337" width="9.44140625" style="3036" customWidth="1"/>
    <col min="14338" max="14338" width="8.88671875" style="3036"/>
    <col min="14339" max="14341" width="12.88671875" style="3036" customWidth="1"/>
    <col min="14342" max="14342" width="47.44140625" style="3036" customWidth="1"/>
    <col min="14343" max="14343" width="13" style="3036" customWidth="1"/>
    <col min="14344" max="14345" width="8.88671875" style="3036"/>
    <col min="14346" max="14346" width="5.77734375" style="3036" customWidth="1"/>
    <col min="14347" max="14347" width="11.77734375" style="3036" customWidth="1"/>
    <col min="14348" max="14349" width="10.77734375" style="3036" customWidth="1"/>
    <col min="14350" max="14350" width="10" style="3036" customWidth="1"/>
    <col min="14351" max="14352" width="10.44140625" style="3036" bestFit="1" customWidth="1"/>
    <col min="14353" max="14353" width="10" style="3036" customWidth="1"/>
    <col min="14354" max="14354" width="10.109375" style="3036" customWidth="1"/>
    <col min="14355" max="14355" width="10" style="3036" customWidth="1"/>
    <col min="14356" max="14356" width="26.109375" style="3036" customWidth="1"/>
    <col min="14357" max="14592" width="8.88671875" style="3036"/>
    <col min="14593" max="14593" width="9.44140625" style="3036" customWidth="1"/>
    <col min="14594" max="14594" width="8.88671875" style="3036"/>
    <col min="14595" max="14597" width="12.88671875" style="3036" customWidth="1"/>
    <col min="14598" max="14598" width="47.44140625" style="3036" customWidth="1"/>
    <col min="14599" max="14599" width="13" style="3036" customWidth="1"/>
    <col min="14600" max="14601" width="8.88671875" style="3036"/>
    <col min="14602" max="14602" width="5.77734375" style="3036" customWidth="1"/>
    <col min="14603" max="14603" width="11.77734375" style="3036" customWidth="1"/>
    <col min="14604" max="14605" width="10.77734375" style="3036" customWidth="1"/>
    <col min="14606" max="14606" width="10" style="3036" customWidth="1"/>
    <col min="14607" max="14608" width="10.44140625" style="3036" bestFit="1" customWidth="1"/>
    <col min="14609" max="14609" width="10" style="3036" customWidth="1"/>
    <col min="14610" max="14610" width="10.109375" style="3036" customWidth="1"/>
    <col min="14611" max="14611" width="10" style="3036" customWidth="1"/>
    <col min="14612" max="14612" width="26.109375" style="3036" customWidth="1"/>
    <col min="14613" max="14848" width="8.88671875" style="3036"/>
    <col min="14849" max="14849" width="9.44140625" style="3036" customWidth="1"/>
    <col min="14850" max="14850" width="8.88671875" style="3036"/>
    <col min="14851" max="14853" width="12.88671875" style="3036" customWidth="1"/>
    <col min="14854" max="14854" width="47.44140625" style="3036" customWidth="1"/>
    <col min="14855" max="14855" width="13" style="3036" customWidth="1"/>
    <col min="14856" max="14857" width="8.88671875" style="3036"/>
    <col min="14858" max="14858" width="5.77734375" style="3036" customWidth="1"/>
    <col min="14859" max="14859" width="11.77734375" style="3036" customWidth="1"/>
    <col min="14860" max="14861" width="10.77734375" style="3036" customWidth="1"/>
    <col min="14862" max="14862" width="10" style="3036" customWidth="1"/>
    <col min="14863" max="14864" width="10.44140625" style="3036" bestFit="1" customWidth="1"/>
    <col min="14865" max="14865" width="10" style="3036" customWidth="1"/>
    <col min="14866" max="14866" width="10.109375" style="3036" customWidth="1"/>
    <col min="14867" max="14867" width="10" style="3036" customWidth="1"/>
    <col min="14868" max="14868" width="26.109375" style="3036" customWidth="1"/>
    <col min="14869" max="15104" width="8.88671875" style="3036"/>
    <col min="15105" max="15105" width="9.44140625" style="3036" customWidth="1"/>
    <col min="15106" max="15106" width="8.88671875" style="3036"/>
    <col min="15107" max="15109" width="12.88671875" style="3036" customWidth="1"/>
    <col min="15110" max="15110" width="47.44140625" style="3036" customWidth="1"/>
    <col min="15111" max="15111" width="13" style="3036" customWidth="1"/>
    <col min="15112" max="15113" width="8.88671875" style="3036"/>
    <col min="15114" max="15114" width="5.77734375" style="3036" customWidth="1"/>
    <col min="15115" max="15115" width="11.77734375" style="3036" customWidth="1"/>
    <col min="15116" max="15117" width="10.77734375" style="3036" customWidth="1"/>
    <col min="15118" max="15118" width="10" style="3036" customWidth="1"/>
    <col min="15119" max="15120" width="10.44140625" style="3036" bestFit="1" customWidth="1"/>
    <col min="15121" max="15121" width="10" style="3036" customWidth="1"/>
    <col min="15122" max="15122" width="10.109375" style="3036" customWidth="1"/>
    <col min="15123" max="15123" width="10" style="3036" customWidth="1"/>
    <col min="15124" max="15124" width="26.109375" style="3036" customWidth="1"/>
    <col min="15125" max="15360" width="8.88671875" style="3036"/>
    <col min="15361" max="15361" width="9.44140625" style="3036" customWidth="1"/>
    <col min="15362" max="15362" width="8.88671875" style="3036"/>
    <col min="15363" max="15365" width="12.88671875" style="3036" customWidth="1"/>
    <col min="15366" max="15366" width="47.44140625" style="3036" customWidth="1"/>
    <col min="15367" max="15367" width="13" style="3036" customWidth="1"/>
    <col min="15368" max="15369" width="8.88671875" style="3036"/>
    <col min="15370" max="15370" width="5.77734375" style="3036" customWidth="1"/>
    <col min="15371" max="15371" width="11.77734375" style="3036" customWidth="1"/>
    <col min="15372" max="15373" width="10.77734375" style="3036" customWidth="1"/>
    <col min="15374" max="15374" width="10" style="3036" customWidth="1"/>
    <col min="15375" max="15376" width="10.44140625" style="3036" bestFit="1" customWidth="1"/>
    <col min="15377" max="15377" width="10" style="3036" customWidth="1"/>
    <col min="15378" max="15378" width="10.109375" style="3036" customWidth="1"/>
    <col min="15379" max="15379" width="10" style="3036" customWidth="1"/>
    <col min="15380" max="15380" width="26.109375" style="3036" customWidth="1"/>
    <col min="15381" max="15616" width="8.88671875" style="3036"/>
    <col min="15617" max="15617" width="9.44140625" style="3036" customWidth="1"/>
    <col min="15618" max="15618" width="8.88671875" style="3036"/>
    <col min="15619" max="15621" width="12.88671875" style="3036" customWidth="1"/>
    <col min="15622" max="15622" width="47.44140625" style="3036" customWidth="1"/>
    <col min="15623" max="15623" width="13" style="3036" customWidth="1"/>
    <col min="15624" max="15625" width="8.88671875" style="3036"/>
    <col min="15626" max="15626" width="5.77734375" style="3036" customWidth="1"/>
    <col min="15627" max="15627" width="11.77734375" style="3036" customWidth="1"/>
    <col min="15628" max="15629" width="10.77734375" style="3036" customWidth="1"/>
    <col min="15630" max="15630" width="10" style="3036" customWidth="1"/>
    <col min="15631" max="15632" width="10.44140625" style="3036" bestFit="1" customWidth="1"/>
    <col min="15633" max="15633" width="10" style="3036" customWidth="1"/>
    <col min="15634" max="15634" width="10.109375" style="3036" customWidth="1"/>
    <col min="15635" max="15635" width="10" style="3036" customWidth="1"/>
    <col min="15636" max="15636" width="26.109375" style="3036" customWidth="1"/>
    <col min="15637" max="15872" width="8.88671875" style="3036"/>
    <col min="15873" max="15873" width="9.44140625" style="3036" customWidth="1"/>
    <col min="15874" max="15874" width="8.88671875" style="3036"/>
    <col min="15875" max="15877" width="12.88671875" style="3036" customWidth="1"/>
    <col min="15878" max="15878" width="47.44140625" style="3036" customWidth="1"/>
    <col min="15879" max="15879" width="13" style="3036" customWidth="1"/>
    <col min="15880" max="15881" width="8.88671875" style="3036"/>
    <col min="15882" max="15882" width="5.77734375" style="3036" customWidth="1"/>
    <col min="15883" max="15883" width="11.77734375" style="3036" customWidth="1"/>
    <col min="15884" max="15885" width="10.77734375" style="3036" customWidth="1"/>
    <col min="15886" max="15886" width="10" style="3036" customWidth="1"/>
    <col min="15887" max="15888" width="10.44140625" style="3036" bestFit="1" customWidth="1"/>
    <col min="15889" max="15889" width="10" style="3036" customWidth="1"/>
    <col min="15890" max="15890" width="10.109375" style="3036" customWidth="1"/>
    <col min="15891" max="15891" width="10" style="3036" customWidth="1"/>
    <col min="15892" max="15892" width="26.109375" style="3036" customWidth="1"/>
    <col min="15893" max="16128" width="8.88671875" style="3036"/>
    <col min="16129" max="16129" width="9.44140625" style="3036" customWidth="1"/>
    <col min="16130" max="16130" width="8.88671875" style="3036"/>
    <col min="16131" max="16133" width="12.88671875" style="3036" customWidth="1"/>
    <col min="16134" max="16134" width="47.44140625" style="3036" customWidth="1"/>
    <col min="16135" max="16135" width="13" style="3036" customWidth="1"/>
    <col min="16136" max="16137" width="8.88671875" style="3036"/>
    <col min="16138" max="16138" width="5.77734375" style="3036" customWidth="1"/>
    <col min="16139" max="16139" width="11.77734375" style="3036" customWidth="1"/>
    <col min="16140" max="16141" width="10.77734375" style="3036" customWidth="1"/>
    <col min="16142" max="16142" width="10" style="3036" customWidth="1"/>
    <col min="16143" max="16144" width="10.44140625" style="3036" bestFit="1" customWidth="1"/>
    <col min="16145" max="16145" width="10" style="3036" customWidth="1"/>
    <col min="16146" max="16146" width="10.109375" style="3036" customWidth="1"/>
    <col min="16147" max="16147" width="10" style="3036" customWidth="1"/>
    <col min="16148" max="16148" width="26.109375" style="3036" customWidth="1"/>
    <col min="16149" max="16384" width="8.88671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2" customHeight="1">
      <c r="A2" s="1534" t="s">
        <v>3004</v>
      </c>
      <c r="B2" s="3037" t="e">
        <f>C40</f>
        <v>#DIV/0!</v>
      </c>
      <c r="C2" s="3038" t="s">
        <v>3005</v>
      </c>
      <c r="D2" s="3038"/>
      <c r="E2" s="3039"/>
      <c r="F2" s="3040"/>
      <c r="G2" s="3041"/>
      <c r="H2" s="3042"/>
      <c r="I2" s="3043"/>
      <c r="J2" s="3741" t="s">
        <v>3006</v>
      </c>
      <c r="K2" s="3742"/>
      <c r="L2" s="3044" t="s">
        <v>3007</v>
      </c>
      <c r="M2" s="3044" t="s">
        <v>3008</v>
      </c>
      <c r="N2" s="3044" t="s">
        <v>3009</v>
      </c>
      <c r="O2" s="3044" t="s">
        <v>3010</v>
      </c>
      <c r="P2" s="3044" t="s">
        <v>3011</v>
      </c>
      <c r="Q2" s="3045" t="s">
        <v>3012</v>
      </c>
      <c r="R2" s="3046" t="s">
        <v>3013</v>
      </c>
      <c r="S2" s="3035"/>
      <c r="T2" s="3035"/>
      <c r="U2" s="3035"/>
      <c r="V2" s="3043"/>
    </row>
    <row r="3" spans="1:22" s="3047" customFormat="1" ht="13.2" customHeight="1">
      <c r="A3" s="3048" t="s">
        <v>3014</v>
      </c>
      <c r="B3" s="3049" t="e">
        <f>ROUND(B2*10000/B4,0)</f>
        <v>#DIV/0!</v>
      </c>
      <c r="C3" s="3038" t="s">
        <v>3015</v>
      </c>
      <c r="D3" s="3038"/>
      <c r="E3" s="3039"/>
      <c r="F3" s="3040"/>
      <c r="G3" s="3041"/>
      <c r="H3" s="3042"/>
      <c r="I3" s="3043"/>
      <c r="J3" s="3743" t="s">
        <v>3016</v>
      </c>
      <c r="K3" s="3744"/>
      <c r="L3" s="3050"/>
      <c r="M3" s="3050"/>
      <c r="N3" s="3050"/>
      <c r="O3" s="3050"/>
      <c r="P3" s="3050"/>
      <c r="Q3" s="3051"/>
      <c r="R3" s="3052">
        <f>SUM(L3:Q3)</f>
        <v>0</v>
      </c>
      <c r="S3" s="3035"/>
      <c r="T3" s="3035"/>
      <c r="U3" s="3035"/>
      <c r="V3" s="3043"/>
    </row>
    <row r="4" spans="1:22" s="3047" customFormat="1" ht="13.2" customHeight="1">
      <c r="A4" s="3053" t="s">
        <v>3017</v>
      </c>
      <c r="B4" s="3054"/>
      <c r="C4" s="3038"/>
      <c r="D4" s="3038"/>
      <c r="E4" s="3039"/>
      <c r="F4" s="3040"/>
      <c r="G4" s="3041"/>
      <c r="H4" s="3042"/>
      <c r="I4" s="3043"/>
      <c r="J4" s="3743" t="s">
        <v>3018</v>
      </c>
      <c r="K4" s="3744"/>
      <c r="L4" s="3055"/>
      <c r="M4" s="3055"/>
      <c r="N4" s="3055"/>
      <c r="O4" s="3055"/>
      <c r="P4" s="3055"/>
      <c r="Q4" s="3056"/>
      <c r="R4" s="3057">
        <f>SUM(L4:Q4)</f>
        <v>0</v>
      </c>
      <c r="S4" s="3035"/>
      <c r="T4" s="3035"/>
      <c r="U4" s="3035"/>
      <c r="V4" s="3043"/>
    </row>
    <row r="5" spans="1:22" s="3047" customFormat="1" ht="13.2"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2" customHeight="1" thickBot="1">
      <c r="A6" s="3749" t="s">
        <v>3022</v>
      </c>
      <c r="B6" s="3750"/>
      <c r="C6" s="3751"/>
      <c r="D6" s="3064"/>
      <c r="E6" s="3065"/>
      <c r="F6" s="3066"/>
      <c r="G6" s="3067"/>
      <c r="H6" s="3042"/>
      <c r="I6" s="3043"/>
      <c r="J6" s="3735">
        <v>1</v>
      </c>
      <c r="K6" s="3736"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2" customHeight="1">
      <c r="A7" s="3070" t="s">
        <v>3032</v>
      </c>
      <c r="B7" s="3071"/>
      <c r="C7" s="3072"/>
      <c r="D7" s="3073">
        <f>SUM(D9,D10,D11,D17,0)</f>
        <v>0</v>
      </c>
      <c r="E7" s="3074" t="e">
        <f>E9+E10+E11+E17</f>
        <v>#DIV/0!</v>
      </c>
      <c r="F7" s="3075"/>
      <c r="G7" s="3076"/>
      <c r="H7" s="3042"/>
      <c r="I7" s="3043"/>
      <c r="J7" s="3735"/>
      <c r="K7" s="3737"/>
      <c r="L7" s="3077" t="s">
        <v>3033</v>
      </c>
      <c r="M7" s="3078"/>
      <c r="N7" s="3054"/>
      <c r="O7" s="3079"/>
      <c r="P7" s="3079"/>
      <c r="Q7" s="3080">
        <v>365</v>
      </c>
      <c r="R7" s="3081">
        <f>ROUND(M7*N7*O7*P7*Q7/10000,0)</f>
        <v>0</v>
      </c>
      <c r="S7" s="3035"/>
      <c r="T7" s="3035" t="s">
        <v>3034</v>
      </c>
      <c r="U7" s="3035"/>
      <c r="V7" s="3043"/>
    </row>
    <row r="8" spans="1:22" s="3047" customFormat="1" ht="13.2" customHeight="1">
      <c r="A8" s="3082" t="s">
        <v>3035</v>
      </c>
      <c r="B8" s="3752" t="s">
        <v>3036</v>
      </c>
      <c r="C8" s="3753"/>
      <c r="D8" s="3083" t="s">
        <v>3037</v>
      </c>
      <c r="E8" s="3084" t="s">
        <v>3038</v>
      </c>
      <c r="F8" s="3085" t="s">
        <v>3039</v>
      </c>
      <c r="G8" s="3086"/>
      <c r="H8" s="3042"/>
      <c r="I8" s="3043"/>
      <c r="J8" s="3735"/>
      <c r="K8" s="3737"/>
      <c r="L8" s="3077" t="s">
        <v>3040</v>
      </c>
      <c r="M8" s="3078"/>
      <c r="N8" s="3054"/>
      <c r="O8" s="3079"/>
      <c r="P8" s="3079"/>
      <c r="Q8" s="3080">
        <v>365</v>
      </c>
      <c r="R8" s="3081">
        <f t="shared" ref="R8:R13" si="0">ROUND(M8*N8*O8*P8*Q8/10000,0)</f>
        <v>0</v>
      </c>
      <c r="S8" s="3035"/>
      <c r="T8" s="3035" t="s">
        <v>3041</v>
      </c>
      <c r="U8" s="3035"/>
      <c r="V8" s="3043"/>
    </row>
    <row r="9" spans="1:22" s="3047" customFormat="1" ht="13.2" customHeight="1">
      <c r="A9" s="3082">
        <v>1</v>
      </c>
      <c r="B9" s="3752" t="s">
        <v>3042</v>
      </c>
      <c r="C9" s="3753"/>
      <c r="D9" s="3083">
        <f>ROUND(D6*E9,0)</f>
        <v>0</v>
      </c>
      <c r="E9" s="3087"/>
      <c r="F9" s="3088" t="s">
        <v>3043</v>
      </c>
      <c r="G9" s="3067"/>
      <c r="H9" s="3042"/>
      <c r="I9" s="3043"/>
      <c r="J9" s="3735"/>
      <c r="K9" s="3737"/>
      <c r="L9" s="3077" t="s">
        <v>3044</v>
      </c>
      <c r="M9" s="3078"/>
      <c r="N9" s="3054"/>
      <c r="O9" s="3079"/>
      <c r="P9" s="3079"/>
      <c r="Q9" s="3080">
        <v>365</v>
      </c>
      <c r="R9" s="3081">
        <f t="shared" si="0"/>
        <v>0</v>
      </c>
      <c r="S9" s="3035"/>
      <c r="T9" s="3035"/>
      <c r="U9" s="3035"/>
      <c r="V9" s="3043"/>
    </row>
    <row r="10" spans="1:22" s="3047" customFormat="1" ht="13.2" customHeight="1">
      <c r="A10" s="3082">
        <v>2</v>
      </c>
      <c r="B10" s="3752" t="s">
        <v>3045</v>
      </c>
      <c r="C10" s="3753"/>
      <c r="D10" s="3083">
        <f>ROUND(D6*E10,0)</f>
        <v>0</v>
      </c>
      <c r="E10" s="3087"/>
      <c r="F10" s="3088" t="s">
        <v>3046</v>
      </c>
      <c r="G10" s="3067"/>
      <c r="H10" s="3042"/>
      <c r="I10" s="3043"/>
      <c r="J10" s="3735"/>
      <c r="K10" s="3737"/>
      <c r="L10" s="3077" t="s">
        <v>3047</v>
      </c>
      <c r="M10" s="3078"/>
      <c r="N10" s="3054"/>
      <c r="O10" s="3079"/>
      <c r="P10" s="3079"/>
      <c r="Q10" s="3080">
        <v>365</v>
      </c>
      <c r="R10" s="3081">
        <f t="shared" si="0"/>
        <v>0</v>
      </c>
      <c r="S10" s="3035"/>
      <c r="T10" s="3035"/>
      <c r="U10" s="3035"/>
      <c r="V10" s="3043"/>
    </row>
    <row r="11" spans="1:22" s="3047" customFormat="1" ht="13.2" customHeight="1">
      <c r="A11" s="3082">
        <v>3</v>
      </c>
      <c r="B11" s="3752" t="s">
        <v>3048</v>
      </c>
      <c r="C11" s="3753"/>
      <c r="D11" s="3083">
        <f>D12+D14+D15+D16</f>
        <v>0</v>
      </c>
      <c r="E11" s="3089" t="e">
        <f>D11/D6</f>
        <v>#DIV/0!</v>
      </c>
      <c r="F11" s="3085"/>
      <c r="G11" s="3086"/>
      <c r="H11" s="3042"/>
      <c r="I11" s="3043"/>
      <c r="J11" s="3735"/>
      <c r="K11" s="3737"/>
      <c r="L11" s="3077" t="s">
        <v>3049</v>
      </c>
      <c r="M11" s="3078"/>
      <c r="N11" s="3054"/>
      <c r="O11" s="3079"/>
      <c r="P11" s="3079"/>
      <c r="Q11" s="3080">
        <v>365</v>
      </c>
      <c r="R11" s="3081">
        <f t="shared" si="0"/>
        <v>0</v>
      </c>
      <c r="S11" s="3035"/>
      <c r="T11" s="3035"/>
      <c r="U11" s="3035"/>
      <c r="V11" s="3043"/>
    </row>
    <row r="12" spans="1:22" s="3047" customFormat="1" ht="13.2" customHeight="1">
      <c r="A12" s="3090" t="s">
        <v>3050</v>
      </c>
      <c r="B12" s="3745" t="s">
        <v>3051</v>
      </c>
      <c r="C12" s="3746"/>
      <c r="D12" s="3091">
        <f>ROUND(D13*1.2%*(1-30%),0)</f>
        <v>0</v>
      </c>
      <c r="E12" s="3092">
        <v>1.2E-2</v>
      </c>
      <c r="F12" s="3085" t="s">
        <v>3052</v>
      </c>
      <c r="G12" s="3086"/>
      <c r="H12" s="3042"/>
      <c r="I12" s="3043"/>
      <c r="J12" s="3735"/>
      <c r="K12" s="3737"/>
      <c r="L12" s="3077" t="s">
        <v>3053</v>
      </c>
      <c r="M12" s="3078"/>
      <c r="N12" s="3054"/>
      <c r="O12" s="3079"/>
      <c r="P12" s="3079"/>
      <c r="Q12" s="3080">
        <v>365</v>
      </c>
      <c r="R12" s="3081">
        <f t="shared" si="0"/>
        <v>0</v>
      </c>
      <c r="S12" s="3035"/>
      <c r="T12" s="3035"/>
      <c r="U12" s="3035"/>
      <c r="V12" s="3043"/>
    </row>
    <row r="13" spans="1:22" s="3047" customFormat="1" ht="13.2" customHeight="1">
      <c r="A13" s="3090"/>
      <c r="B13" s="3093"/>
      <c r="C13" s="3094" t="s">
        <v>3054</v>
      </c>
      <c r="D13" s="3095"/>
      <c r="E13" s="3096"/>
      <c r="F13" s="3085"/>
      <c r="G13" s="3086"/>
      <c r="H13" s="3042"/>
      <c r="I13" s="3043"/>
      <c r="J13" s="3735"/>
      <c r="K13" s="3737"/>
      <c r="L13" s="3077" t="s">
        <v>3055</v>
      </c>
      <c r="M13" s="3078"/>
      <c r="N13" s="3054"/>
      <c r="O13" s="3079"/>
      <c r="P13" s="3079"/>
      <c r="Q13" s="3080">
        <v>365</v>
      </c>
      <c r="R13" s="3081">
        <f t="shared" si="0"/>
        <v>0</v>
      </c>
      <c r="S13" s="3035"/>
      <c r="T13" s="3035"/>
      <c r="U13" s="3035"/>
      <c r="V13" s="3043"/>
    </row>
    <row r="14" spans="1:22" s="3047" customFormat="1" ht="13.2" customHeight="1">
      <c r="A14" s="3090" t="s">
        <v>3056</v>
      </c>
      <c r="B14" s="3745" t="s">
        <v>3057</v>
      </c>
      <c r="C14" s="3746"/>
      <c r="D14" s="3091">
        <f>ROUND(E14*B5/10000,0)</f>
        <v>0</v>
      </c>
      <c r="E14" s="3080"/>
      <c r="F14" s="3085" t="s">
        <v>3058</v>
      </c>
      <c r="G14" s="3086"/>
      <c r="H14" s="3042"/>
      <c r="I14" s="3043"/>
      <c r="J14" s="3735"/>
      <c r="K14" s="3738"/>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2" customHeight="1">
      <c r="A15" s="3090" t="s">
        <v>3060</v>
      </c>
      <c r="B15" s="3745" t="s">
        <v>3061</v>
      </c>
      <c r="C15" s="3746"/>
      <c r="D15" s="3091">
        <f>ROUND(D6*E15,0)</f>
        <v>0</v>
      </c>
      <c r="E15" s="3092">
        <v>5.5E-2</v>
      </c>
      <c r="F15" s="3085" t="s">
        <v>3062</v>
      </c>
      <c r="G15" s="3067"/>
      <c r="H15" s="3042"/>
      <c r="I15" s="3043"/>
      <c r="J15" s="3735">
        <v>2</v>
      </c>
      <c r="K15" s="3736"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2" customHeight="1">
      <c r="A16" s="3090" t="s">
        <v>3069</v>
      </c>
      <c r="B16" s="3745" t="s">
        <v>3070</v>
      </c>
      <c r="C16" s="3746"/>
      <c r="D16" s="3102">
        <f>D6*E16</f>
        <v>0</v>
      </c>
      <c r="E16" s="3103"/>
      <c r="F16" s="3088" t="s">
        <v>3071</v>
      </c>
      <c r="G16" s="3067"/>
      <c r="H16" s="3042"/>
      <c r="I16" s="3043"/>
      <c r="J16" s="3735"/>
      <c r="K16" s="3737"/>
      <c r="L16" s="3077" t="s">
        <v>3072</v>
      </c>
      <c r="M16" s="3078"/>
      <c r="N16" s="3078"/>
      <c r="O16" s="3079"/>
      <c r="P16" s="3080">
        <v>365</v>
      </c>
      <c r="Q16" s="3054"/>
      <c r="R16" s="3101">
        <f>ROUND(M16*N16*O16*P16/10000,0)</f>
        <v>0</v>
      </c>
      <c r="S16" s="3035"/>
      <c r="T16" s="3035"/>
      <c r="U16" s="3035"/>
      <c r="V16" s="3043"/>
    </row>
    <row r="17" spans="1:22" s="3047" customFormat="1" ht="13.2" customHeight="1" thickBot="1">
      <c r="A17" s="3104">
        <v>4</v>
      </c>
      <c r="B17" s="3747" t="s">
        <v>3073</v>
      </c>
      <c r="C17" s="3748"/>
      <c r="D17" s="3105">
        <f>ROUND(D6*E17,0)</f>
        <v>0</v>
      </c>
      <c r="E17" s="3106"/>
      <c r="F17" s="3107" t="s">
        <v>3074</v>
      </c>
      <c r="G17" s="3067"/>
      <c r="H17" s="3042"/>
      <c r="I17" s="3043"/>
      <c r="J17" s="3735"/>
      <c r="K17" s="3737"/>
      <c r="L17" s="3077" t="s">
        <v>3075</v>
      </c>
      <c r="M17" s="3078"/>
      <c r="N17" s="3078"/>
      <c r="O17" s="3079"/>
      <c r="P17" s="3080">
        <v>365</v>
      </c>
      <c r="Q17" s="3054"/>
      <c r="R17" s="3101">
        <f>ROUND(M17*N17*O17*P17/10000,0)</f>
        <v>0</v>
      </c>
      <c r="S17" s="3035"/>
      <c r="T17" s="3035"/>
      <c r="U17" s="3035"/>
      <c r="V17" s="3043"/>
    </row>
    <row r="18" spans="1:22" s="3047" customFormat="1" ht="13.2" customHeight="1" thickBot="1">
      <c r="A18" s="3070" t="s">
        <v>3076</v>
      </c>
      <c r="B18" s="3071"/>
      <c r="C18" s="3071"/>
      <c r="D18" s="3108">
        <f>ROUND(D6*E18,0)</f>
        <v>0</v>
      </c>
      <c r="E18" s="3109"/>
      <c r="F18" s="3110" t="s">
        <v>3077</v>
      </c>
      <c r="G18" s="3067"/>
      <c r="H18" s="3042"/>
      <c r="I18" s="3043"/>
      <c r="J18" s="3735"/>
      <c r="K18" s="3737"/>
      <c r="L18" s="3077" t="s">
        <v>3078</v>
      </c>
      <c r="M18" s="3078"/>
      <c r="N18" s="3078"/>
      <c r="O18" s="3079"/>
      <c r="P18" s="3080">
        <v>365</v>
      </c>
      <c r="Q18" s="3054"/>
      <c r="R18" s="3101">
        <f>ROUND(M18*N18*O18*P18/10000,0)</f>
        <v>0</v>
      </c>
      <c r="S18" s="3035"/>
      <c r="T18" s="3035"/>
      <c r="U18" s="3035"/>
      <c r="V18" s="3043"/>
    </row>
    <row r="19" spans="1:22" s="3047" customFormat="1" ht="13.2" customHeight="1" thickBot="1">
      <c r="A19" s="3111" t="s">
        <v>3079</v>
      </c>
      <c r="B19" s="3065"/>
      <c r="C19" s="3065"/>
      <c r="D19" s="3065"/>
      <c r="E19" s="3065"/>
      <c r="F19" s="3066"/>
      <c r="G19" s="3086"/>
      <c r="H19" s="3042"/>
      <c r="I19" s="3043"/>
      <c r="J19" s="3735"/>
      <c r="K19" s="3738"/>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2" customHeight="1">
      <c r="A20" s="3070"/>
      <c r="B20" s="3071"/>
      <c r="C20" s="3071"/>
      <c r="D20" s="3071"/>
      <c r="E20" s="3071"/>
      <c r="F20" s="3114"/>
      <c r="G20" s="3086"/>
      <c r="H20" s="3042"/>
      <c r="I20" s="3043"/>
      <c r="J20" s="3735">
        <v>3</v>
      </c>
      <c r="K20" s="3736"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2" customHeight="1">
      <c r="A21" s="3070"/>
      <c r="B21" s="3071"/>
      <c r="C21" s="3117" t="s">
        <v>3088</v>
      </c>
      <c r="D21" s="3118" t="s">
        <v>3089</v>
      </c>
      <c r="E21" s="3119" t="s">
        <v>3090</v>
      </c>
      <c r="F21" s="3114"/>
      <c r="G21" s="3086"/>
      <c r="H21" s="3042"/>
      <c r="I21" s="3043"/>
      <c r="J21" s="3735"/>
      <c r="K21" s="3737"/>
      <c r="L21" s="3077" t="s">
        <v>3091</v>
      </c>
      <c r="M21" s="3078"/>
      <c r="N21" s="3078"/>
      <c r="O21" s="3079"/>
      <c r="P21" s="3080">
        <v>365</v>
      </c>
      <c r="Q21" s="3054"/>
      <c r="R21" s="3120">
        <f>ROUND(M21*N21*O21*P21/10000,0)</f>
        <v>0</v>
      </c>
      <c r="S21" s="3116"/>
      <c r="T21" s="3116"/>
      <c r="U21" s="3116"/>
      <c r="V21" s="3043"/>
    </row>
    <row r="22" spans="1:22" s="3047" customFormat="1" ht="13.2" customHeight="1">
      <c r="A22" s="3070"/>
      <c r="B22" s="3071"/>
      <c r="C22" s="3121" t="s">
        <v>3092</v>
      </c>
      <c r="D22" s="3122" t="s">
        <v>3093</v>
      </c>
      <c r="E22" s="3123" t="s">
        <v>3094</v>
      </c>
      <c r="F22" s="3114"/>
      <c r="G22" s="3124"/>
      <c r="H22" s="3042"/>
      <c r="I22" s="3043"/>
      <c r="J22" s="3735"/>
      <c r="K22" s="3737"/>
      <c r="L22" s="3077" t="s">
        <v>3095</v>
      </c>
      <c r="M22" s="3078"/>
      <c r="N22" s="3078"/>
      <c r="O22" s="3079"/>
      <c r="P22" s="3080">
        <v>365</v>
      </c>
      <c r="Q22" s="3054"/>
      <c r="R22" s="3120">
        <f>ROUND(M22*N22*O22*P22/10000,0)</f>
        <v>0</v>
      </c>
      <c r="S22" s="3116"/>
      <c r="T22" s="3116"/>
      <c r="U22" s="3116"/>
      <c r="V22" s="3043"/>
    </row>
    <row r="23" spans="1:22" s="3047" customFormat="1" ht="13.2" customHeight="1">
      <c r="A23" s="3125">
        <v>1</v>
      </c>
      <c r="B23" s="3126" t="s">
        <v>3096</v>
      </c>
      <c r="C23" s="3127">
        <f>D6</f>
        <v>0</v>
      </c>
      <c r="D23" s="3128">
        <f>C23*(1+D24)</f>
        <v>0</v>
      </c>
      <c r="E23" s="3129">
        <f>D23*(1+E24)</f>
        <v>0</v>
      </c>
      <c r="F23" s="3130"/>
      <c r="G23" s="3131"/>
      <c r="H23" s="3042"/>
      <c r="I23" s="3043"/>
      <c r="J23" s="3735"/>
      <c r="K23" s="3737"/>
      <c r="L23" s="3077" t="s">
        <v>3097</v>
      </c>
      <c r="M23" s="3078"/>
      <c r="N23" s="3078"/>
      <c r="O23" s="3079"/>
      <c r="P23" s="3080">
        <v>365</v>
      </c>
      <c r="Q23" s="3054"/>
      <c r="R23" s="3120">
        <f>ROUND(M23*N23*O23*P23/10000,0)</f>
        <v>0</v>
      </c>
      <c r="S23" s="3035"/>
      <c r="T23" s="3035"/>
      <c r="U23" s="3035"/>
      <c r="V23" s="3043"/>
    </row>
    <row r="24" spans="1:22" s="3047" customFormat="1" ht="13.2" customHeight="1">
      <c r="A24" s="3132"/>
      <c r="B24" s="3133" t="s">
        <v>3098</v>
      </c>
      <c r="C24" s="3134"/>
      <c r="D24" s="3135"/>
      <c r="E24" s="3136"/>
      <c r="F24" s="3137"/>
      <c r="G24" s="3131"/>
      <c r="H24" s="3042"/>
      <c r="I24" s="3043"/>
      <c r="J24" s="3735"/>
      <c r="K24" s="3738"/>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2"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2" customHeight="1">
      <c r="A26" s="3125">
        <v>2</v>
      </c>
      <c r="B26" s="3126" t="s">
        <v>3100</v>
      </c>
      <c r="C26" s="3127">
        <f>D7</f>
        <v>0</v>
      </c>
      <c r="D26" s="3128">
        <f>D23*D27</f>
        <v>0</v>
      </c>
      <c r="E26" s="3129">
        <f>E23*E27</f>
        <v>0</v>
      </c>
      <c r="F26" s="3130"/>
      <c r="G26" s="3131"/>
      <c r="H26" s="3042"/>
      <c r="I26" s="3043"/>
      <c r="J26" s="3739">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2" customHeight="1">
      <c r="A27" s="3132"/>
      <c r="B27" s="3133" t="s">
        <v>3106</v>
      </c>
      <c r="C27" s="3151" t="e">
        <f>E7</f>
        <v>#DIV/0!</v>
      </c>
      <c r="D27" s="3135"/>
      <c r="E27" s="3136"/>
      <c r="F27" s="3137"/>
      <c r="G27" s="3131"/>
      <c r="H27" s="3152"/>
      <c r="I27" s="3143"/>
      <c r="J27" s="3740"/>
      <c r="K27" s="3153"/>
      <c r="L27" s="3154"/>
      <c r="M27" s="3155"/>
      <c r="N27" s="3156"/>
      <c r="O27" s="3156"/>
      <c r="P27" s="3156"/>
      <c r="Q27" s="3157"/>
      <c r="R27" s="3113">
        <f>ROUND(O27*N27*P27*(1-Q27)/10000,0)</f>
        <v>0</v>
      </c>
      <c r="S27" s="3035"/>
      <c r="T27" s="3035"/>
      <c r="U27" s="3035"/>
      <c r="V27" s="3043"/>
    </row>
    <row r="28" spans="1:22" s="3144" customFormat="1" ht="13.2"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2"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2"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2"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2" customHeight="1">
      <c r="A32" s="3125">
        <v>4</v>
      </c>
      <c r="B32" s="3126" t="s">
        <v>3114</v>
      </c>
      <c r="C32" s="3127">
        <f>C23-C26-C29</f>
        <v>0</v>
      </c>
      <c r="D32" s="3128">
        <f>D23-D26-D29</f>
        <v>0</v>
      </c>
      <c r="E32" s="3129">
        <f>E23-E26-E29</f>
        <v>0</v>
      </c>
      <c r="F32" s="3130"/>
      <c r="G32" s="3124"/>
      <c r="H32" s="3042"/>
      <c r="I32" s="3043"/>
      <c r="J32" s="3741" t="s">
        <v>3006</v>
      </c>
      <c r="K32" s="3742"/>
      <c r="L32" s="3044" t="s">
        <v>3007</v>
      </c>
      <c r="M32" s="3044" t="s">
        <v>3008</v>
      </c>
      <c r="N32" s="3044" t="s">
        <v>3009</v>
      </c>
      <c r="O32" s="3044" t="s">
        <v>3010</v>
      </c>
      <c r="P32" s="3044" t="s">
        <v>3011</v>
      </c>
      <c r="Q32" s="3045" t="s">
        <v>3012</v>
      </c>
      <c r="R32" s="3167" t="s">
        <v>3013</v>
      </c>
      <c r="S32" s="3116"/>
      <c r="T32" s="3035"/>
      <c r="U32" s="3035"/>
      <c r="V32" s="3143"/>
    </row>
    <row r="33" spans="1:23" s="3047" customFormat="1" ht="13.2" customHeight="1">
      <c r="A33" s="3125"/>
      <c r="B33" s="3126"/>
      <c r="C33" s="3127"/>
      <c r="D33" s="3168"/>
      <c r="E33" s="3169"/>
      <c r="F33" s="3130"/>
      <c r="G33" s="3124"/>
      <c r="H33" s="3152"/>
      <c r="I33" s="3143"/>
      <c r="J33" s="3743" t="s">
        <v>3016</v>
      </c>
      <c r="K33" s="3744"/>
      <c r="L33" s="3050"/>
      <c r="M33" s="3050"/>
      <c r="N33" s="3050"/>
      <c r="O33" s="3050"/>
      <c r="P33" s="3050"/>
      <c r="Q33" s="3051"/>
      <c r="R33" s="3170">
        <f>SUM(L33:Q33)</f>
        <v>0</v>
      </c>
      <c r="S33" s="3116"/>
      <c r="T33" s="3035"/>
      <c r="U33" s="3035"/>
      <c r="V33" s="3043"/>
    </row>
    <row r="34" spans="1:23" s="3047" customFormat="1" ht="13.2" customHeight="1">
      <c r="A34" s="3125">
        <v>5</v>
      </c>
      <c r="B34" s="3126" t="s">
        <v>3115</v>
      </c>
      <c r="C34" s="3171"/>
      <c r="D34" s="3172"/>
      <c r="E34" s="3173"/>
      <c r="F34" s="3130"/>
      <c r="G34" s="3124"/>
      <c r="H34" s="3152"/>
      <c r="I34" s="3143"/>
      <c r="J34" s="3743" t="s">
        <v>3018</v>
      </c>
      <c r="K34" s="3744"/>
      <c r="L34" s="3055"/>
      <c r="M34" s="3055"/>
      <c r="N34" s="3055"/>
      <c r="O34" s="3055"/>
      <c r="P34" s="3055"/>
      <c r="Q34" s="3056"/>
      <c r="R34" s="3174">
        <f>SUM(L34:Q34)</f>
        <v>0</v>
      </c>
      <c r="S34" s="3116"/>
      <c r="T34" s="3035"/>
      <c r="U34" s="3035" t="e">
        <f>ROUND(R35*10000/365/R33,1)</f>
        <v>#DIV/0!</v>
      </c>
      <c r="V34" s="3043"/>
    </row>
    <row r="35" spans="1:23" s="3047" customFormat="1" ht="13.2"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2" customHeight="1" thickBot="1">
      <c r="A36" s="3125">
        <v>7</v>
      </c>
      <c r="B36" s="3180" t="s">
        <v>3117</v>
      </c>
      <c r="C36" s="3181"/>
      <c r="D36" s="3182"/>
      <c r="E36" s="3183"/>
      <c r="F36" s="3184">
        <f>C36+D36+E36</f>
        <v>0</v>
      </c>
      <c r="G36" s="3124"/>
      <c r="H36" s="3042"/>
      <c r="I36" s="3043"/>
      <c r="J36" s="3735">
        <v>1</v>
      </c>
      <c r="K36" s="3736" t="s">
        <v>3118</v>
      </c>
      <c r="L36" s="3068"/>
      <c r="M36" s="3069"/>
      <c r="N36" s="3069"/>
      <c r="O36" s="3069"/>
      <c r="P36" s="3069"/>
      <c r="Q36" s="3069"/>
      <c r="R36" s="3052" t="s">
        <v>3030</v>
      </c>
      <c r="S36" s="3116"/>
      <c r="T36" s="3035" t="s">
        <v>3031</v>
      </c>
      <c r="U36" s="3035"/>
      <c r="V36" s="3043"/>
    </row>
    <row r="37" spans="1:23" s="3047" customFormat="1" ht="13.2" customHeight="1">
      <c r="A37" s="3125"/>
      <c r="B37" s="3126"/>
      <c r="C37" s="3126"/>
      <c r="D37" s="3126"/>
      <c r="E37" s="3126"/>
      <c r="F37" s="3130"/>
      <c r="G37" s="3124"/>
      <c r="H37" s="3042"/>
      <c r="I37" s="3043"/>
      <c r="J37" s="3735"/>
      <c r="K37" s="3737"/>
      <c r="L37" s="3077"/>
      <c r="M37" s="3078"/>
      <c r="N37" s="3054"/>
      <c r="O37" s="3079"/>
      <c r="P37" s="3079"/>
      <c r="Q37" s="3080"/>
      <c r="R37" s="3081"/>
      <c r="S37" s="3116"/>
      <c r="T37" s="3035" t="s">
        <v>3034</v>
      </c>
      <c r="U37" s="3035"/>
      <c r="V37" s="3043"/>
    </row>
    <row r="38" spans="1:23" s="3047" customFormat="1" ht="13.2" customHeight="1">
      <c r="A38" s="3125">
        <v>8</v>
      </c>
      <c r="B38" s="3126"/>
      <c r="C38" s="3083" t="e">
        <f>ROUND(C32*(1-((1+C35)/(1+C34))^C36)/(C34-C35),0)</f>
        <v>#DIV/0!</v>
      </c>
      <c r="D38" s="3083">
        <f>IF(D23=0,0,ROUND(D32*(1-((1+D35)/(1+D34))^D36)/(D34-D35),0))</f>
        <v>0</v>
      </c>
      <c r="E38" s="3083">
        <f>IF(E23=0,0,ROUND(E32*(1-((1+E35)/(1+E34))^E36)/(E34-E35),0))</f>
        <v>0</v>
      </c>
      <c r="F38" s="3130"/>
      <c r="G38" s="3124"/>
      <c r="H38" s="3042"/>
      <c r="I38" s="3043"/>
      <c r="J38" s="3735"/>
      <c r="K38" s="3737"/>
      <c r="L38" s="3077"/>
      <c r="M38" s="3078"/>
      <c r="N38" s="3054"/>
      <c r="O38" s="3079"/>
      <c r="P38" s="3079"/>
      <c r="Q38" s="3080"/>
      <c r="R38" s="3081"/>
      <c r="S38" s="3116"/>
      <c r="T38" s="3035" t="s">
        <v>3041</v>
      </c>
      <c r="U38" s="3035"/>
      <c r="V38" s="3043"/>
    </row>
    <row r="39" spans="1:23" s="3047" customFormat="1" ht="13.2" customHeight="1">
      <c r="A39" s="3125">
        <v>9</v>
      </c>
      <c r="B39" s="3126" t="s">
        <v>3119</v>
      </c>
      <c r="C39" s="3091" t="e">
        <f>C38</f>
        <v>#DIV/0!</v>
      </c>
      <c r="D39" s="3126">
        <f>D38/(1+D34)^C36</f>
        <v>0</v>
      </c>
      <c r="E39" s="3126">
        <f>E38/(1+E34)^(C36+D36)</f>
        <v>0</v>
      </c>
      <c r="F39" s="3130"/>
      <c r="G39" s="3185"/>
      <c r="H39" s="3042"/>
      <c r="I39" s="3043"/>
      <c r="J39" s="3735"/>
      <c r="K39" s="3737"/>
      <c r="L39" s="3077"/>
      <c r="M39" s="3078"/>
      <c r="N39" s="3054"/>
      <c r="O39" s="3079"/>
      <c r="P39" s="3079"/>
      <c r="Q39" s="3080"/>
      <c r="R39" s="3081"/>
      <c r="S39" s="3116"/>
      <c r="T39" s="3035"/>
      <c r="U39" s="3035"/>
      <c r="V39" s="3043"/>
    </row>
    <row r="40" spans="1:23" s="3047" customFormat="1" ht="13.2" customHeight="1">
      <c r="A40" s="3186">
        <v>10</v>
      </c>
      <c r="B40" s="3126" t="s">
        <v>3120</v>
      </c>
      <c r="C40" s="3187" t="e">
        <f>C39+D39+E39</f>
        <v>#DIV/0!</v>
      </c>
      <c r="D40" s="3188"/>
      <c r="E40" s="3188"/>
      <c r="F40" s="3189"/>
      <c r="G40" s="3124"/>
      <c r="H40" s="3042"/>
      <c r="I40" s="3043"/>
      <c r="J40" s="3735"/>
      <c r="K40" s="3738"/>
      <c r="L40" s="3097" t="s">
        <v>3059</v>
      </c>
      <c r="M40" s="3098"/>
      <c r="N40" s="3098"/>
      <c r="O40" s="3099"/>
      <c r="P40" s="3099"/>
      <c r="Q40" s="3100"/>
      <c r="R40" s="3046">
        <f>SUM(R37:R39)</f>
        <v>0</v>
      </c>
      <c r="S40" s="3116"/>
      <c r="T40" s="3035"/>
      <c r="U40" s="3035"/>
      <c r="V40" s="3043"/>
    </row>
    <row r="41" spans="1:23" s="3047" customFormat="1" ht="13.2"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2" customHeight="1">
      <c r="G42" s="3194"/>
      <c r="H42" s="3042"/>
      <c r="I42" s="3043"/>
      <c r="J42" s="3739">
        <v>3</v>
      </c>
      <c r="K42" s="3145" t="s">
        <v>3101</v>
      </c>
      <c r="L42" s="3146"/>
      <c r="M42" s="3147"/>
      <c r="N42" s="3148" t="s">
        <v>3102</v>
      </c>
      <c r="O42" s="3148" t="s">
        <v>3103</v>
      </c>
      <c r="P42" s="3149" t="s">
        <v>3104</v>
      </c>
      <c r="Q42" s="3149" t="s">
        <v>3105</v>
      </c>
      <c r="R42" s="3052" t="s">
        <v>3030</v>
      </c>
      <c r="S42" s="3150"/>
      <c r="T42" s="3150"/>
      <c r="U42" s="3035"/>
      <c r="V42" s="3043"/>
    </row>
    <row r="43" spans="1:23" ht="13.2" customHeight="1">
      <c r="A43" s="3047"/>
      <c r="B43" s="3047"/>
      <c r="C43" s="3047"/>
      <c r="D43" s="3047"/>
      <c r="E43" s="3047"/>
      <c r="F43" s="3047"/>
      <c r="I43" s="3030"/>
      <c r="J43" s="3740"/>
      <c r="K43" s="3153"/>
      <c r="L43" s="3154"/>
      <c r="M43" s="3155"/>
      <c r="N43" s="3078"/>
      <c r="O43" s="3078"/>
      <c r="P43" s="3078"/>
      <c r="Q43" s="3142"/>
      <c r="R43" s="3113">
        <f>ROUND(O43*N43*P43*(1-Q43)/10000,0)</f>
        <v>0</v>
      </c>
      <c r="S43" s="3116"/>
      <c r="T43" s="3035"/>
      <c r="V43" s="3196"/>
      <c r="W43" s="3197"/>
    </row>
    <row r="44" spans="1:23" ht="13.2"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27" customWidth="1"/>
    <col min="2" max="2" width="12" style="1627" customWidth="1"/>
    <col min="3" max="3" width="9" style="1627"/>
    <col min="4" max="4" width="14.109375" style="1627" customWidth="1"/>
    <col min="5" max="5" width="9" style="1627"/>
    <col min="6" max="6" width="12.88671875" style="1627" customWidth="1"/>
    <col min="7" max="16384" width="9" style="1627"/>
  </cols>
  <sheetData>
    <row r="1" spans="1:22" ht="21.6">
      <c r="A1" s="2018" t="s">
        <v>2287</v>
      </c>
      <c r="B1" s="2019"/>
      <c r="C1" s="2019"/>
      <c r="D1" s="2019"/>
      <c r="E1" s="2020"/>
      <c r="F1" s="2899"/>
      <c r="G1" s="1639"/>
      <c r="H1" s="1639"/>
      <c r="I1" s="1639"/>
      <c r="J1" s="1639"/>
      <c r="K1" s="1639"/>
      <c r="L1" s="1639"/>
      <c r="M1" s="1639"/>
      <c r="N1" s="1639"/>
      <c r="O1" s="1639"/>
      <c r="P1" s="1639"/>
      <c r="Q1" s="1639"/>
      <c r="R1" s="1639"/>
      <c r="S1" s="1639"/>
    </row>
    <row r="2" spans="1:22" ht="15.6">
      <c r="A2" s="2021" t="s">
        <v>2088</v>
      </c>
      <c r="B2" s="2022">
        <f ca="1">SUMIF(B6:B13,"&lt;&gt;#ref!",B6:B13)</f>
        <v>78986</v>
      </c>
      <c r="C2" s="2023" t="s">
        <v>2280</v>
      </c>
      <c r="D2" s="2024" t="s">
        <v>2281</v>
      </c>
      <c r="E2" s="2796">
        <f>SUM(E6:E13)</f>
        <v>50449</v>
      </c>
      <c r="F2" s="2899"/>
      <c r="G2" s="1639"/>
      <c r="H2" s="1639"/>
      <c r="I2" s="1639"/>
      <c r="J2" s="1639"/>
      <c r="K2" s="1639"/>
      <c r="L2" s="1639"/>
      <c r="M2" s="1639"/>
      <c r="N2" s="1639"/>
      <c r="O2" s="1639"/>
      <c r="P2" s="1639"/>
      <c r="Q2" s="1639"/>
      <c r="R2" s="1639"/>
      <c r="S2" s="1639"/>
    </row>
    <row r="3" spans="1:22" ht="15.6">
      <c r="A3" s="2021" t="s">
        <v>1300</v>
      </c>
      <c r="B3" s="2790">
        <f ca="1">ROUND(B2*10000/E2,0)</f>
        <v>15657</v>
      </c>
      <c r="C3" s="2023" t="s">
        <v>2288</v>
      </c>
      <c r="D3" s="2901"/>
      <c r="E3" s="2903"/>
      <c r="F3" s="2899"/>
      <c r="G3" s="1639"/>
      <c r="H3" s="1639"/>
      <c r="I3" s="1639"/>
      <c r="J3" s="1639"/>
      <c r="K3" s="1639"/>
      <c r="L3" s="1639"/>
      <c r="M3" s="1639"/>
      <c r="N3" s="1639"/>
      <c r="O3" s="1639"/>
      <c r="P3" s="1639"/>
      <c r="Q3" s="1639"/>
      <c r="R3" s="1639"/>
      <c r="S3" s="1639"/>
    </row>
    <row r="4" spans="1:22" ht="15.6">
      <c r="A4" s="2904"/>
      <c r="B4" s="2901"/>
      <c r="C4" s="2901"/>
      <c r="D4" s="2901"/>
      <c r="E4" s="2903"/>
      <c r="F4" s="2899"/>
      <c r="G4" s="1639"/>
      <c r="H4" s="1639"/>
      <c r="I4" s="1639"/>
      <c r="J4" s="1639"/>
      <c r="K4" s="1639"/>
      <c r="L4" s="1639"/>
      <c r="M4" s="1639"/>
      <c r="N4" s="1639"/>
      <c r="O4" s="1639"/>
      <c r="P4" s="1639"/>
      <c r="Q4" s="1639"/>
      <c r="R4" s="1639"/>
      <c r="S4" s="1639"/>
    </row>
    <row r="5" spans="1:22" ht="14.4">
      <c r="A5" s="2792" t="s">
        <v>2282</v>
      </c>
      <c r="B5" s="3754" t="s">
        <v>2283</v>
      </c>
      <c r="C5" s="3755"/>
      <c r="D5" s="2900"/>
      <c r="E5" s="2025" t="s">
        <v>2284</v>
      </c>
      <c r="F5" s="2026" t="s">
        <v>2285</v>
      </c>
      <c r="G5" s="1639"/>
      <c r="H5" s="1639"/>
      <c r="I5" s="1639"/>
      <c r="J5" s="1639"/>
      <c r="K5" s="1639"/>
      <c r="L5" s="1639"/>
      <c r="M5" s="1639"/>
      <c r="N5" s="1639"/>
      <c r="O5" s="1639"/>
      <c r="P5" s="1639"/>
      <c r="Q5" s="1639"/>
      <c r="R5" s="1639"/>
      <c r="S5" s="1639"/>
    </row>
    <row r="6" spans="1:22" ht="14.4">
      <c r="A6" s="2793" t="str">
        <f>'数据-取费表'!AN6</f>
        <v>收益法</v>
      </c>
      <c r="B6" s="2791">
        <f ca="1">IF(F6="是",'数据-取费表'!AO6,0)</f>
        <v>78986</v>
      </c>
      <c r="C6" s="2023" t="s">
        <v>2280</v>
      </c>
      <c r="D6" s="2901"/>
      <c r="E6" s="2795">
        <f>IF(OR(A6=0,F6="否"),0,'数据-取费表'!K6+'数据-取费表'!S6)</f>
        <v>50449</v>
      </c>
      <c r="F6" s="2027" t="s">
        <v>2286</v>
      </c>
      <c r="G6" s="1639"/>
      <c r="H6" s="1639"/>
      <c r="I6" s="1639"/>
      <c r="J6" s="1639"/>
      <c r="K6" s="1639"/>
      <c r="L6" s="1639"/>
      <c r="M6" s="1639"/>
      <c r="N6" s="1639"/>
      <c r="O6" s="1639"/>
      <c r="P6" s="1639"/>
      <c r="Q6" s="1639"/>
      <c r="R6" s="1639"/>
      <c r="S6" s="1639"/>
    </row>
    <row r="7" spans="1:22" ht="14.4">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ht="14.4">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ht="14.4">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ht="14.4">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ht="14.4">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ht="14.4">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7" customWidth="1"/>
    <col min="2" max="16384" width="9" style="1627"/>
  </cols>
  <sheetData>
    <row r="1" spans="1:1" ht="22.8">
      <c r="A1" s="1626" t="s">
        <v>1516</v>
      </c>
    </row>
    <row r="2" spans="1:1">
      <c r="A2" s="1628"/>
    </row>
    <row r="3" spans="1:1" ht="17.399999999999999">
      <c r="A3" s="1629" t="str">
        <f>项目基本情况!B5&amp;"："</f>
        <v>：</v>
      </c>
    </row>
    <row r="4" spans="1:1" ht="17.399999999999999">
      <c r="A4" s="1630" t="str">
        <f>"受贵公司委托，我公司对"&amp;项目基本情况!S1&amp;"进行了预评估。"</f>
        <v>受贵公司委托，我公司对北京市房地产市场价值进行了预评估。</v>
      </c>
    </row>
    <row r="5" spans="1:1" ht="17.399999999999999">
      <c r="A5" s="1631" t="s">
        <v>1517</v>
      </c>
    </row>
    <row r="6" spans="1:1" ht="17.399999999999999">
      <c r="A6" s="1632" t="s">
        <v>1518</v>
      </c>
    </row>
    <row r="7" spans="1:1" ht="52.2">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估价对象为北京市房地产，为所有。根据《国有土地使用证》[]，估价对象（分摊）出让国有建设用地使用权面积为21500平方米，建筑面积为50449平方米。</v>
      </c>
    </row>
    <row r="8" spans="1:1" ht="54.6">
      <c r="A8" s="1633" t="s">
        <v>1519</v>
      </c>
    </row>
    <row r="9" spans="1:1" ht="17.399999999999999">
      <c r="A9" s="1632" t="s">
        <v>1520</v>
      </c>
    </row>
    <row r="10" spans="1:1" ht="52.2">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估价对象为北京市房地产,属开发建设的，该项目尚在开发建设中。根据《国有土地使用证》[]，估价对象（分摊）出让国有建设用地使用权面积为21500平方米，规划建筑面积为50449平方米。</v>
      </c>
    </row>
    <row r="11" spans="1:1" ht="72">
      <c r="A11" s="1633" t="s">
        <v>1521</v>
      </c>
    </row>
    <row r="12" spans="1:1" ht="17.399999999999999">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7.399999999999999">
      <c r="A14" s="1635" t="s">
        <v>1523</v>
      </c>
    </row>
    <row r="15" spans="1:1" ht="17.399999999999999">
      <c r="A15" s="1636" t="str">
        <f>TEXT(项目基本情况!D3,"yyyy年m月d日;;")&amp;IF(项目基本情况!D3=项目基本情况!B3,"（评估专业人员实地查勘之日）","")</f>
        <v>2018年6月1日</v>
      </c>
    </row>
    <row r="16" spans="1:1" ht="17.399999999999999">
      <c r="A16" s="1635" t="s">
        <v>1524</v>
      </c>
    </row>
    <row r="17" spans="1:1" ht="69.599999999999994">
      <c r="A17" s="1630" t="s">
        <v>1525</v>
      </c>
    </row>
    <row r="18" spans="1:1" ht="52.2">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30" t="str">
        <f>IF(项目基本情况!B9="房地产市场价值","——",IF(项目基本情况!E8="房地产抵押价值",定义!C54,IF(项目基本情况!E8="已注销",定义!C55,定义!C56)))</f>
        <v>——</v>
      </c>
    </row>
    <row r="21" spans="1:1" ht="17.399999999999999">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30" t="str">
        <f>IF(项目基本情况!B9="房地产市场价值","——",IF(项目基本情况!E9="——","",定义!C57))</f>
        <v>——</v>
      </c>
    </row>
    <row r="23" spans="1:1" ht="17.399999999999999">
      <c r="A23" s="1635" t="s">
        <v>1514</v>
      </c>
    </row>
    <row r="24" spans="1:1" ht="17.399999999999999">
      <c r="A24" s="1637" t="str">
        <f>"本次评估采用的主估价方法为"&amp;结果表!K4&amp;"和"&amp;结果表!L4&amp;"。"</f>
        <v>本次评估采用的主估价方法为基准地价系数修正法和基准地价系数修正法。</v>
      </c>
    </row>
    <row r="25" spans="1:1" ht="17.399999999999999">
      <c r="A25" s="1637"/>
    </row>
    <row r="26" spans="1:1" ht="17.399999999999999">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50449</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4.4">
      <c r="A4" s="359" t="s">
        <v>2296</v>
      </c>
      <c r="B4" s="360"/>
      <c r="C4" s="3775" t="s">
        <v>2297</v>
      </c>
      <c r="D4" s="3776"/>
      <c r="E4" s="3777" t="s">
        <v>2298</v>
      </c>
      <c r="F4" s="3778"/>
      <c r="G4" s="3775" t="s">
        <v>2299</v>
      </c>
      <c r="H4" s="3776"/>
      <c r="I4" s="3775" t="s">
        <v>2300</v>
      </c>
      <c r="J4" s="3776"/>
      <c r="K4" s="2040" t="s">
        <v>2301</v>
      </c>
      <c r="L4" s="2907"/>
      <c r="M4" s="2908"/>
      <c r="N4" s="2908"/>
      <c r="O4" s="2908"/>
      <c r="P4" s="3779" t="s">
        <v>2302</v>
      </c>
      <c r="Q4" s="3780"/>
      <c r="R4" s="3785" t="s">
        <v>2298</v>
      </c>
      <c r="S4" s="3786"/>
      <c r="T4" s="3785" t="s">
        <v>2299</v>
      </c>
      <c r="U4" s="3786"/>
      <c r="V4" s="3791" t="s">
        <v>2300</v>
      </c>
      <c r="W4" s="3791"/>
      <c r="X4" s="1504"/>
      <c r="Y4" s="3785" t="s">
        <v>2302</v>
      </c>
      <c r="Z4" s="3786"/>
      <c r="AA4" s="3772" t="s">
        <v>2298</v>
      </c>
      <c r="AB4" s="3772" t="s">
        <v>2299</v>
      </c>
      <c r="AC4" s="3772" t="s">
        <v>2300</v>
      </c>
    </row>
    <row r="5" spans="1:29">
      <c r="A5" s="362"/>
      <c r="B5" s="363"/>
      <c r="C5" s="3794" t="s">
        <v>2303</v>
      </c>
      <c r="D5" s="3795"/>
      <c r="E5" s="3801" t="s">
        <v>2304</v>
      </c>
      <c r="F5" s="3802"/>
      <c r="G5" s="3794" t="s">
        <v>2305</v>
      </c>
      <c r="H5" s="3795"/>
      <c r="I5" s="3794" t="s">
        <v>2306</v>
      </c>
      <c r="J5" s="3795"/>
      <c r="K5" s="2041"/>
      <c r="L5" s="2907"/>
      <c r="M5" s="2908"/>
      <c r="N5" s="2908"/>
      <c r="O5" s="2908"/>
      <c r="P5" s="3781"/>
      <c r="Q5" s="3782"/>
      <c r="R5" s="3787"/>
      <c r="S5" s="3788"/>
      <c r="T5" s="3787"/>
      <c r="U5" s="3788"/>
      <c r="V5" s="3791"/>
      <c r="W5" s="3791"/>
      <c r="X5" s="1504"/>
      <c r="Y5" s="3787"/>
      <c r="Z5" s="3788"/>
      <c r="AA5" s="3773"/>
      <c r="AB5" s="3773"/>
      <c r="AC5" s="3773"/>
    </row>
    <row r="6" spans="1:29" ht="15" thickBot="1">
      <c r="A6" s="364"/>
      <c r="B6" s="365"/>
      <c r="C6" s="3792" t="s">
        <v>2307</v>
      </c>
      <c r="D6" s="3793"/>
      <c r="E6" s="3799" t="s">
        <v>2307</v>
      </c>
      <c r="F6" s="3800"/>
      <c r="G6" s="3792" t="s">
        <v>2307</v>
      </c>
      <c r="H6" s="3793"/>
      <c r="I6" s="3792" t="s">
        <v>2307</v>
      </c>
      <c r="J6" s="3793"/>
      <c r="K6" s="2041" t="s">
        <v>2308</v>
      </c>
      <c r="L6" s="2907"/>
      <c r="M6" s="2908"/>
      <c r="N6" s="2908"/>
      <c r="O6" s="2908"/>
      <c r="P6" s="3783"/>
      <c r="Q6" s="3784"/>
      <c r="R6" s="3787"/>
      <c r="S6" s="3788"/>
      <c r="T6" s="3789"/>
      <c r="U6" s="3790"/>
      <c r="V6" s="3791"/>
      <c r="W6" s="3791"/>
      <c r="X6" s="1504"/>
      <c r="Y6" s="3789"/>
      <c r="Z6" s="3790"/>
      <c r="AA6" s="3774"/>
      <c r="AB6" s="3774"/>
      <c r="AC6" s="3774"/>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796" t="s">
        <v>2310</v>
      </c>
      <c r="Q7" s="3798"/>
      <c r="R7" s="707" t="s">
        <v>23</v>
      </c>
      <c r="S7" s="708">
        <f t="shared" ref="S7:S15" si="0">F7</f>
        <v>0</v>
      </c>
      <c r="T7" s="707" t="s">
        <v>23</v>
      </c>
      <c r="U7" s="708">
        <f t="shared" ref="U7:U15" si="1">H7</f>
        <v>0</v>
      </c>
      <c r="V7" s="707" t="s">
        <v>23</v>
      </c>
      <c r="W7" s="708">
        <f t="shared" ref="W7:W15" si="2">J7</f>
        <v>0</v>
      </c>
      <c r="X7" s="709"/>
      <c r="Y7" s="3796" t="s">
        <v>2310</v>
      </c>
      <c r="Z7" s="3797"/>
      <c r="AA7" s="710" t="e">
        <f>D7/F7</f>
        <v>#DIV/0!</v>
      </c>
      <c r="AB7" s="710" t="e">
        <f>D7/H7</f>
        <v>#DIV/0!</v>
      </c>
      <c r="AC7" s="710" t="e">
        <f>D7/J7</f>
        <v>#DIV/0!</v>
      </c>
    </row>
    <row r="8" spans="1:29" s="111" customFormat="1" ht="1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796" t="s">
        <v>2313</v>
      </c>
      <c r="Q8" s="3797"/>
      <c r="R8" s="707" t="s">
        <v>23</v>
      </c>
      <c r="S8" s="708">
        <f t="shared" si="0"/>
        <v>0</v>
      </c>
      <c r="T8" s="707" t="s">
        <v>23</v>
      </c>
      <c r="U8" s="708">
        <f t="shared" si="1"/>
        <v>0</v>
      </c>
      <c r="V8" s="707" t="s">
        <v>23</v>
      </c>
      <c r="W8" s="708">
        <f t="shared" si="2"/>
        <v>0</v>
      </c>
      <c r="X8" s="709"/>
      <c r="Y8" s="3796" t="s">
        <v>2313</v>
      </c>
      <c r="Z8" s="3797"/>
      <c r="AA8" s="710" t="e">
        <f t="shared" ref="AA8:AA19" si="3">D8/F8</f>
        <v>#DIV/0!</v>
      </c>
      <c r="AB8" s="710" t="e">
        <f t="shared" ref="AB8:AB19" si="4">D8/H8</f>
        <v>#DIV/0!</v>
      </c>
      <c r="AC8" s="710" t="e">
        <f t="shared" ref="AC8:AC19" si="5">D8/J8</f>
        <v>#DIV/0!</v>
      </c>
    </row>
    <row r="9" spans="1:29" s="111" customFormat="1" ht="14.4">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770" t="s">
        <v>2316</v>
      </c>
      <c r="Q9" s="1492" t="str">
        <f t="shared" ref="Q9:Q15" si="6">B9</f>
        <v>用途</v>
      </c>
      <c r="R9" s="707" t="s">
        <v>17</v>
      </c>
      <c r="S9" s="708">
        <f t="shared" si="0"/>
        <v>100</v>
      </c>
      <c r="T9" s="707" t="s">
        <v>17</v>
      </c>
      <c r="U9" s="708">
        <f t="shared" si="1"/>
        <v>100</v>
      </c>
      <c r="V9" s="707" t="s">
        <v>17</v>
      </c>
      <c r="W9" s="708">
        <f t="shared" si="2"/>
        <v>100</v>
      </c>
      <c r="X9" s="709"/>
      <c r="Y9" s="3771"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770"/>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770"/>
      <c r="Q11" s="1492" t="str">
        <f t="shared" si="6"/>
        <v>容积率</v>
      </c>
      <c r="R11" s="707" t="s">
        <v>21</v>
      </c>
      <c r="S11" s="708" t="e">
        <f t="shared" si="0"/>
        <v>#N/A</v>
      </c>
      <c r="T11" s="707" t="s">
        <v>21</v>
      </c>
      <c r="U11" s="708" t="e">
        <f t="shared" si="1"/>
        <v>#N/A</v>
      </c>
      <c r="V11" s="707" t="s">
        <v>21</v>
      </c>
      <c r="W11" s="708" t="e">
        <f t="shared" si="2"/>
        <v>#N/A</v>
      </c>
      <c r="X11" s="709"/>
      <c r="Y11" s="3771"/>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770"/>
      <c r="Q12" s="1492">
        <f t="shared" si="6"/>
        <v>111</v>
      </c>
      <c r="R12" s="707" t="s">
        <v>21</v>
      </c>
      <c r="S12" s="708">
        <f t="shared" si="0"/>
        <v>100</v>
      </c>
      <c r="T12" s="707" t="s">
        <v>21</v>
      </c>
      <c r="U12" s="708">
        <f t="shared" si="1"/>
        <v>100</v>
      </c>
      <c r="V12" s="707" t="s">
        <v>21</v>
      </c>
      <c r="W12" s="708">
        <f t="shared" si="2"/>
        <v>100</v>
      </c>
      <c r="X12" s="709"/>
      <c r="Y12" s="3771"/>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770"/>
      <c r="Q13" s="1492">
        <f t="shared" si="6"/>
        <v>111</v>
      </c>
      <c r="R13" s="707" t="s">
        <v>21</v>
      </c>
      <c r="S13" s="708">
        <f t="shared" si="0"/>
        <v>100</v>
      </c>
      <c r="T13" s="707" t="s">
        <v>21</v>
      </c>
      <c r="U13" s="708">
        <f t="shared" si="1"/>
        <v>100</v>
      </c>
      <c r="V13" s="707" t="s">
        <v>21</v>
      </c>
      <c r="W13" s="708">
        <f t="shared" si="2"/>
        <v>100</v>
      </c>
      <c r="X13" s="709"/>
      <c r="Y13" s="3771"/>
      <c r="Z13" s="55">
        <f t="shared" si="7"/>
        <v>111</v>
      </c>
      <c r="AA13" s="710">
        <f t="shared" si="3"/>
        <v>1</v>
      </c>
      <c r="AB13" s="710">
        <f t="shared" si="4"/>
        <v>1</v>
      </c>
      <c r="AC13" s="710">
        <f t="shared" si="5"/>
        <v>1</v>
      </c>
    </row>
    <row r="14" spans="1:29" ht="15.6"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770"/>
      <c r="Q14" s="1492">
        <f t="shared" si="6"/>
        <v>111</v>
      </c>
      <c r="R14" s="707" t="s">
        <v>21</v>
      </c>
      <c r="S14" s="708">
        <f t="shared" si="0"/>
        <v>100</v>
      </c>
      <c r="T14" s="707" t="s">
        <v>21</v>
      </c>
      <c r="U14" s="708">
        <f t="shared" si="1"/>
        <v>100</v>
      </c>
      <c r="V14" s="707" t="s">
        <v>21</v>
      </c>
      <c r="W14" s="708">
        <f t="shared" si="2"/>
        <v>100</v>
      </c>
      <c r="X14" s="709"/>
      <c r="Y14" s="3771"/>
      <c r="Z14" s="55">
        <f t="shared" si="7"/>
        <v>111</v>
      </c>
      <c r="AA14" s="710">
        <f t="shared" si="3"/>
        <v>1</v>
      </c>
      <c r="AB14" s="710">
        <f t="shared" si="4"/>
        <v>1</v>
      </c>
      <c r="AC14" s="710">
        <f t="shared" si="5"/>
        <v>1</v>
      </c>
    </row>
    <row r="15" spans="1:29" ht="96.6">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768" t="s">
        <v>2321</v>
      </c>
      <c r="Q15" s="1501" t="str">
        <f t="shared" si="6"/>
        <v>居住社区成熟度</v>
      </c>
      <c r="R15" s="711" t="s">
        <v>21</v>
      </c>
      <c r="S15" s="712">
        <f t="shared" si="0"/>
        <v>100</v>
      </c>
      <c r="T15" s="711" t="s">
        <v>21</v>
      </c>
      <c r="U15" s="712">
        <f t="shared" si="1"/>
        <v>100</v>
      </c>
      <c r="V15" s="711" t="s">
        <v>21</v>
      </c>
      <c r="W15" s="712">
        <f t="shared" si="2"/>
        <v>100</v>
      </c>
      <c r="X15" s="1504"/>
      <c r="Y15" s="3761"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769"/>
      <c r="Q16" s="1501"/>
      <c r="R16" s="711"/>
      <c r="S16" s="712"/>
      <c r="T16" s="711"/>
      <c r="U16" s="712"/>
      <c r="V16" s="711"/>
      <c r="W16" s="712"/>
      <c r="X16" s="1504"/>
      <c r="Y16" s="3762"/>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769"/>
      <c r="Q17" s="1501" t="str">
        <f>B17</f>
        <v>交通便捷度</v>
      </c>
      <c r="R17" s="711" t="s">
        <v>21</v>
      </c>
      <c r="S17" s="712">
        <f>F17</f>
        <v>100</v>
      </c>
      <c r="T17" s="711" t="s">
        <v>21</v>
      </c>
      <c r="U17" s="712">
        <f>H17</f>
        <v>100</v>
      </c>
      <c r="V17" s="711" t="s">
        <v>21</v>
      </c>
      <c r="W17" s="712">
        <f>J17</f>
        <v>100</v>
      </c>
      <c r="X17" s="1504"/>
      <c r="Y17" s="3762"/>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769"/>
      <c r="Q18" s="1501"/>
      <c r="R18" s="711"/>
      <c r="S18" s="712"/>
      <c r="T18" s="711"/>
      <c r="U18" s="712"/>
      <c r="V18" s="711"/>
      <c r="W18" s="712"/>
      <c r="X18" s="1504"/>
      <c r="Y18" s="3762"/>
      <c r="Z18" s="1505"/>
      <c r="AA18" s="1502">
        <v>1</v>
      </c>
      <c r="AB18" s="1502">
        <v>1</v>
      </c>
      <c r="AC18" s="1502">
        <v>1</v>
      </c>
    </row>
    <row r="19" spans="1:29" ht="41.4">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769"/>
      <c r="Q19" s="1501" t="str">
        <f>B19</f>
        <v>公共配套设施</v>
      </c>
      <c r="R19" s="711" t="s">
        <v>21</v>
      </c>
      <c r="S19" s="712">
        <f>F19</f>
        <v>100</v>
      </c>
      <c r="T19" s="711" t="s">
        <v>21</v>
      </c>
      <c r="U19" s="712">
        <f>H19</f>
        <v>100</v>
      </c>
      <c r="V19" s="711" t="s">
        <v>21</v>
      </c>
      <c r="W19" s="712">
        <f>J19</f>
        <v>100</v>
      </c>
      <c r="X19" s="1504"/>
      <c r="Y19" s="3762"/>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769"/>
      <c r="Q20" s="1501"/>
      <c r="R20" s="711"/>
      <c r="S20" s="712"/>
      <c r="T20" s="711"/>
      <c r="U20" s="712"/>
      <c r="V20" s="711"/>
      <c r="W20" s="712"/>
      <c r="X20" s="1504"/>
      <c r="Y20" s="3762"/>
      <c r="Z20" s="1505"/>
      <c r="AA20" s="1502">
        <v>1</v>
      </c>
      <c r="AB20" s="1502">
        <v>1</v>
      </c>
      <c r="AC20" s="1502">
        <v>1</v>
      </c>
    </row>
    <row r="21" spans="1:29" ht="27.6">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769"/>
      <c r="Q21" s="1501" t="str">
        <f>B21</f>
        <v>基础设施水平</v>
      </c>
      <c r="R21" s="711" t="s">
        <v>17</v>
      </c>
      <c r="S21" s="712">
        <f>F21</f>
        <v>100</v>
      </c>
      <c r="T21" s="711" t="s">
        <v>17</v>
      </c>
      <c r="U21" s="712">
        <f>H21</f>
        <v>100</v>
      </c>
      <c r="V21" s="711" t="s">
        <v>17</v>
      </c>
      <c r="W21" s="712">
        <f>J21</f>
        <v>100</v>
      </c>
      <c r="X21" s="1504"/>
      <c r="Y21" s="3762"/>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769"/>
      <c r="Q22" s="1501"/>
      <c r="R22" s="711"/>
      <c r="S22" s="712"/>
      <c r="T22" s="711"/>
      <c r="U22" s="712"/>
      <c r="V22" s="711"/>
      <c r="W22" s="712"/>
      <c r="X22" s="1504"/>
      <c r="Y22" s="3762"/>
      <c r="Z22" s="1505"/>
      <c r="AA22" s="1502">
        <v>1</v>
      </c>
      <c r="AB22" s="1502">
        <v>1</v>
      </c>
      <c r="AC22" s="1502">
        <v>1</v>
      </c>
    </row>
    <row r="23" spans="1:29" ht="55.2">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769"/>
      <c r="Q23" s="1501" t="str">
        <f>B23</f>
        <v>自然及人文环境</v>
      </c>
      <c r="R23" s="711" t="s">
        <v>21</v>
      </c>
      <c r="S23" s="712">
        <f>F23</f>
        <v>100</v>
      </c>
      <c r="T23" s="711" t="s">
        <v>21</v>
      </c>
      <c r="U23" s="712">
        <f>H23</f>
        <v>100</v>
      </c>
      <c r="V23" s="711" t="s">
        <v>21</v>
      </c>
      <c r="W23" s="712">
        <f>J23</f>
        <v>100</v>
      </c>
      <c r="X23" s="1504"/>
      <c r="Y23" s="3762"/>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769"/>
      <c r="Q24" s="1501"/>
      <c r="R24" s="711"/>
      <c r="S24" s="712"/>
      <c r="T24" s="711"/>
      <c r="U24" s="712"/>
      <c r="V24" s="711"/>
      <c r="W24" s="712"/>
      <c r="X24" s="1504"/>
      <c r="Y24" s="3762"/>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769"/>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762"/>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769"/>
      <c r="Q26" s="1501" t="str">
        <f t="shared" si="11"/>
        <v>朝向</v>
      </c>
      <c r="R26" s="711" t="s">
        <v>21</v>
      </c>
      <c r="S26" s="712">
        <f t="shared" si="12"/>
        <v>100</v>
      </c>
      <c r="T26" s="711" t="s">
        <v>21</v>
      </c>
      <c r="U26" s="712">
        <f t="shared" si="13"/>
        <v>100</v>
      </c>
      <c r="V26" s="711" t="s">
        <v>21</v>
      </c>
      <c r="W26" s="712">
        <f t="shared" si="14"/>
        <v>100</v>
      </c>
      <c r="X26" s="1504"/>
      <c r="Y26" s="3762"/>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769"/>
      <c r="Q27" s="1492">
        <f t="shared" si="11"/>
        <v>111</v>
      </c>
      <c r="R27" s="707" t="s">
        <v>21</v>
      </c>
      <c r="S27" s="708">
        <f t="shared" si="12"/>
        <v>100</v>
      </c>
      <c r="T27" s="707" t="s">
        <v>21</v>
      </c>
      <c r="U27" s="708">
        <f t="shared" si="13"/>
        <v>100</v>
      </c>
      <c r="V27" s="707" t="s">
        <v>21</v>
      </c>
      <c r="W27" s="708">
        <f t="shared" si="14"/>
        <v>100</v>
      </c>
      <c r="X27" s="709"/>
      <c r="Y27" s="3762"/>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769"/>
      <c r="Q28" s="1501">
        <f t="shared" si="11"/>
        <v>111</v>
      </c>
      <c r="R28" s="711" t="s">
        <v>21</v>
      </c>
      <c r="S28" s="712">
        <f t="shared" si="12"/>
        <v>100</v>
      </c>
      <c r="T28" s="711" t="s">
        <v>21</v>
      </c>
      <c r="U28" s="712">
        <f t="shared" si="13"/>
        <v>100</v>
      </c>
      <c r="V28" s="711" t="s">
        <v>21</v>
      </c>
      <c r="W28" s="712">
        <f t="shared" si="14"/>
        <v>100</v>
      </c>
      <c r="X28" s="1504"/>
      <c r="Y28" s="3762"/>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769"/>
      <c r="Q29" s="1501">
        <f t="shared" si="11"/>
        <v>111</v>
      </c>
      <c r="R29" s="711" t="s">
        <v>21</v>
      </c>
      <c r="S29" s="712">
        <f t="shared" si="12"/>
        <v>100</v>
      </c>
      <c r="T29" s="711" t="s">
        <v>21</v>
      </c>
      <c r="U29" s="712">
        <f t="shared" si="13"/>
        <v>100</v>
      </c>
      <c r="V29" s="711" t="s">
        <v>21</v>
      </c>
      <c r="W29" s="712">
        <f t="shared" si="14"/>
        <v>100</v>
      </c>
      <c r="X29" s="1504"/>
      <c r="Y29" s="3762"/>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769"/>
      <c r="Q30" s="1501">
        <f t="shared" si="11"/>
        <v>111</v>
      </c>
      <c r="R30" s="711" t="s">
        <v>21</v>
      </c>
      <c r="S30" s="712">
        <f t="shared" si="12"/>
        <v>100</v>
      </c>
      <c r="T30" s="711" t="s">
        <v>21</v>
      </c>
      <c r="U30" s="712">
        <f t="shared" si="13"/>
        <v>100</v>
      </c>
      <c r="V30" s="711" t="s">
        <v>21</v>
      </c>
      <c r="W30" s="712">
        <f t="shared" si="14"/>
        <v>100</v>
      </c>
      <c r="X30" s="1504"/>
      <c r="Y30" s="3762"/>
      <c r="Z30" s="1505">
        <f t="shared" si="18"/>
        <v>111</v>
      </c>
      <c r="AA30" s="1502">
        <f t="shared" si="15"/>
        <v>1</v>
      </c>
      <c r="AB30" s="1502">
        <f t="shared" si="16"/>
        <v>1</v>
      </c>
      <c r="AC30" s="1502">
        <f t="shared" si="17"/>
        <v>1</v>
      </c>
    </row>
    <row r="31" spans="1:29" ht="15.6"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769"/>
      <c r="Q31" s="1501">
        <f t="shared" si="11"/>
        <v>111</v>
      </c>
      <c r="R31" s="711" t="s">
        <v>21</v>
      </c>
      <c r="S31" s="712">
        <f t="shared" si="12"/>
        <v>100</v>
      </c>
      <c r="T31" s="711" t="s">
        <v>21</v>
      </c>
      <c r="U31" s="712">
        <f t="shared" si="13"/>
        <v>100</v>
      </c>
      <c r="V31" s="711" t="s">
        <v>21</v>
      </c>
      <c r="W31" s="712">
        <f t="shared" si="14"/>
        <v>100</v>
      </c>
      <c r="X31" s="1504"/>
      <c r="Y31" s="3762"/>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763" t="s">
        <v>2326</v>
      </c>
      <c r="Q32" s="1501" t="str">
        <f t="shared" si="11"/>
        <v>建筑类型</v>
      </c>
      <c r="R32" s="711" t="s">
        <v>21</v>
      </c>
      <c r="S32" s="712">
        <f t="shared" si="12"/>
        <v>100</v>
      </c>
      <c r="T32" s="711" t="s">
        <v>21</v>
      </c>
      <c r="U32" s="712">
        <f t="shared" si="13"/>
        <v>100</v>
      </c>
      <c r="V32" s="711" t="s">
        <v>21</v>
      </c>
      <c r="W32" s="712">
        <f t="shared" si="14"/>
        <v>100</v>
      </c>
      <c r="X32" s="1504"/>
      <c r="Y32" s="3766"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764"/>
      <c r="Q33" s="713" t="str">
        <f t="shared" si="11"/>
        <v>项目建筑规模</v>
      </c>
      <c r="R33" s="714" t="s">
        <v>21</v>
      </c>
      <c r="S33" s="715" t="e">
        <f t="shared" si="12"/>
        <v>#N/A</v>
      </c>
      <c r="T33" s="714" t="s">
        <v>21</v>
      </c>
      <c r="U33" s="715" t="e">
        <f t="shared" si="13"/>
        <v>#N/A</v>
      </c>
      <c r="V33" s="714" t="s">
        <v>21</v>
      </c>
      <c r="W33" s="715" t="e">
        <f t="shared" si="14"/>
        <v>#N/A</v>
      </c>
      <c r="X33" s="716"/>
      <c r="Y33" s="3766"/>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764"/>
      <c r="Q34" s="1501" t="str">
        <f t="shared" si="11"/>
        <v>建筑结构</v>
      </c>
      <c r="R34" s="711" t="s">
        <v>21</v>
      </c>
      <c r="S34" s="712">
        <f t="shared" si="12"/>
        <v>100</v>
      </c>
      <c r="T34" s="711" t="s">
        <v>21</v>
      </c>
      <c r="U34" s="712">
        <f t="shared" si="13"/>
        <v>100</v>
      </c>
      <c r="V34" s="711" t="s">
        <v>21</v>
      </c>
      <c r="W34" s="712">
        <f t="shared" si="14"/>
        <v>100</v>
      </c>
      <c r="X34" s="1504"/>
      <c r="Y34" s="3766"/>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764"/>
      <c r="Q35" s="1501" t="str">
        <f t="shared" si="11"/>
        <v>建筑品质</v>
      </c>
      <c r="R35" s="711" t="s">
        <v>21</v>
      </c>
      <c r="S35" s="712">
        <f t="shared" si="12"/>
        <v>100</v>
      </c>
      <c r="T35" s="711" t="s">
        <v>21</v>
      </c>
      <c r="U35" s="712">
        <f t="shared" si="13"/>
        <v>100</v>
      </c>
      <c r="V35" s="711" t="s">
        <v>21</v>
      </c>
      <c r="W35" s="712">
        <f t="shared" si="14"/>
        <v>100</v>
      </c>
      <c r="X35" s="1504"/>
      <c r="Y35" s="3766"/>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764"/>
      <c r="Q36" s="1501" t="str">
        <f t="shared" si="11"/>
        <v>公共部分装修</v>
      </c>
      <c r="R36" s="711" t="s">
        <v>21</v>
      </c>
      <c r="S36" s="712">
        <f t="shared" si="12"/>
        <v>100</v>
      </c>
      <c r="T36" s="711" t="s">
        <v>21</v>
      </c>
      <c r="U36" s="712">
        <f t="shared" si="13"/>
        <v>100</v>
      </c>
      <c r="V36" s="711" t="s">
        <v>21</v>
      </c>
      <c r="W36" s="712">
        <f t="shared" si="14"/>
        <v>100</v>
      </c>
      <c r="X36" s="1504"/>
      <c r="Y36" s="3766"/>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764"/>
      <c r="Q37" s="1492" t="str">
        <f t="shared" si="11"/>
        <v>成新度</v>
      </c>
      <c r="R37" s="707" t="s">
        <v>21</v>
      </c>
      <c r="S37" s="708" t="e">
        <f t="shared" si="12"/>
        <v>#N/A</v>
      </c>
      <c r="T37" s="707" t="s">
        <v>21</v>
      </c>
      <c r="U37" s="708" t="e">
        <f t="shared" si="13"/>
        <v>#N/A</v>
      </c>
      <c r="V37" s="707" t="s">
        <v>21</v>
      </c>
      <c r="W37" s="708" t="e">
        <f t="shared" si="14"/>
        <v>#N/A</v>
      </c>
      <c r="X37" s="709"/>
      <c r="Y37" s="3766"/>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764" t="s">
        <v>2326</v>
      </c>
      <c r="Q38" s="1501" t="str">
        <f t="shared" si="11"/>
        <v>物业管理</v>
      </c>
      <c r="R38" s="711" t="s">
        <v>21</v>
      </c>
      <c r="S38" s="712">
        <f t="shared" si="12"/>
        <v>100</v>
      </c>
      <c r="T38" s="711" t="s">
        <v>21</v>
      </c>
      <c r="U38" s="712">
        <f t="shared" si="13"/>
        <v>100</v>
      </c>
      <c r="V38" s="711" t="s">
        <v>21</v>
      </c>
      <c r="W38" s="712">
        <f t="shared" si="14"/>
        <v>100</v>
      </c>
      <c r="X38" s="1504"/>
      <c r="Y38" s="3766"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764"/>
      <c r="Q39" s="1501" t="str">
        <f t="shared" si="11"/>
        <v>市政基础设施</v>
      </c>
      <c r="R39" s="711" t="s">
        <v>21</v>
      </c>
      <c r="S39" s="712">
        <f t="shared" si="12"/>
        <v>100</v>
      </c>
      <c r="T39" s="711" t="s">
        <v>21</v>
      </c>
      <c r="U39" s="712">
        <f t="shared" si="13"/>
        <v>100</v>
      </c>
      <c r="V39" s="711" t="s">
        <v>21</v>
      </c>
      <c r="W39" s="712">
        <f t="shared" si="14"/>
        <v>100</v>
      </c>
      <c r="X39" s="1504"/>
      <c r="Y39" s="3766"/>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764"/>
      <c r="Q40" s="1501" t="str">
        <f t="shared" si="11"/>
        <v>房型</v>
      </c>
      <c r="R40" s="711" t="s">
        <v>21</v>
      </c>
      <c r="S40" s="712">
        <f t="shared" si="12"/>
        <v>100</v>
      </c>
      <c r="T40" s="711" t="s">
        <v>21</v>
      </c>
      <c r="U40" s="712">
        <f t="shared" si="13"/>
        <v>100</v>
      </c>
      <c r="V40" s="711" t="s">
        <v>21</v>
      </c>
      <c r="W40" s="712">
        <f t="shared" si="14"/>
        <v>100</v>
      </c>
      <c r="X40" s="1504"/>
      <c r="Y40" s="3766"/>
      <c r="Z40" s="1505" t="str">
        <f t="shared" si="18"/>
        <v>房型</v>
      </c>
      <c r="AA40" s="1502">
        <f t="shared" si="15"/>
        <v>1</v>
      </c>
      <c r="AB40" s="1502">
        <f t="shared" si="16"/>
        <v>1</v>
      </c>
      <c r="AC40" s="1502">
        <f t="shared" si="17"/>
        <v>1</v>
      </c>
    </row>
    <row r="41" spans="1:29" s="428" customFormat="1" ht="28.8">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764"/>
      <c r="Q41" s="713" t="str">
        <f t="shared" si="11"/>
        <v>单套/主力户型建筑面积</v>
      </c>
      <c r="R41" s="714" t="s">
        <v>21</v>
      </c>
      <c r="S41" s="715">
        <f t="shared" si="12"/>
        <v>100</v>
      </c>
      <c r="T41" s="714" t="s">
        <v>21</v>
      </c>
      <c r="U41" s="715">
        <f t="shared" si="13"/>
        <v>100</v>
      </c>
      <c r="V41" s="714" t="s">
        <v>21</v>
      </c>
      <c r="W41" s="715">
        <f t="shared" si="14"/>
        <v>100</v>
      </c>
      <c r="X41" s="716"/>
      <c r="Y41" s="3766"/>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764"/>
      <c r="Q42" s="1501" t="str">
        <f t="shared" si="11"/>
        <v>内部装修</v>
      </c>
      <c r="R42" s="711" t="s">
        <v>21</v>
      </c>
      <c r="S42" s="712">
        <f t="shared" si="12"/>
        <v>100</v>
      </c>
      <c r="T42" s="711" t="s">
        <v>21</v>
      </c>
      <c r="U42" s="712">
        <f t="shared" si="13"/>
        <v>100</v>
      </c>
      <c r="V42" s="711" t="s">
        <v>21</v>
      </c>
      <c r="W42" s="712">
        <f t="shared" si="14"/>
        <v>100</v>
      </c>
      <c r="X42" s="1504"/>
      <c r="Y42" s="3766"/>
      <c r="Z42" s="1505" t="str">
        <f t="shared" si="18"/>
        <v>内部装修</v>
      </c>
      <c r="AA42" s="1502">
        <f t="shared" si="15"/>
        <v>1</v>
      </c>
      <c r="AB42" s="1502">
        <f t="shared" si="16"/>
        <v>1</v>
      </c>
      <c r="AC42" s="1502">
        <f t="shared" si="17"/>
        <v>1</v>
      </c>
    </row>
    <row r="43" spans="1:29" ht="28.8">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764"/>
      <c r="Q43" s="1501" t="str">
        <f t="shared" si="11"/>
        <v>内部装修维护情况</v>
      </c>
      <c r="R43" s="711" t="s">
        <v>21</v>
      </c>
      <c r="S43" s="712">
        <f t="shared" si="12"/>
        <v>100</v>
      </c>
      <c r="T43" s="711" t="s">
        <v>21</v>
      </c>
      <c r="U43" s="712">
        <f t="shared" si="13"/>
        <v>100</v>
      </c>
      <c r="V43" s="711" t="s">
        <v>21</v>
      </c>
      <c r="W43" s="712">
        <f t="shared" si="14"/>
        <v>100</v>
      </c>
      <c r="X43" s="1504"/>
      <c r="Y43" s="3766"/>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764"/>
      <c r="Q44" s="1492">
        <f t="shared" si="11"/>
        <v>111</v>
      </c>
      <c r="R44" s="707" t="s">
        <v>21</v>
      </c>
      <c r="S44" s="708">
        <f t="shared" si="12"/>
        <v>100</v>
      </c>
      <c r="T44" s="707" t="s">
        <v>21</v>
      </c>
      <c r="U44" s="708">
        <f t="shared" si="13"/>
        <v>100</v>
      </c>
      <c r="V44" s="707" t="s">
        <v>21</v>
      </c>
      <c r="W44" s="708">
        <f t="shared" si="14"/>
        <v>100</v>
      </c>
      <c r="X44" s="709"/>
      <c r="Y44" s="3766"/>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764"/>
      <c r="Q45" s="1501">
        <f t="shared" si="11"/>
        <v>111</v>
      </c>
      <c r="R45" s="711" t="s">
        <v>21</v>
      </c>
      <c r="S45" s="712">
        <f t="shared" si="12"/>
        <v>100</v>
      </c>
      <c r="T45" s="711" t="s">
        <v>21</v>
      </c>
      <c r="U45" s="712">
        <f t="shared" si="13"/>
        <v>100</v>
      </c>
      <c r="V45" s="711" t="s">
        <v>21</v>
      </c>
      <c r="W45" s="712">
        <f t="shared" si="14"/>
        <v>100</v>
      </c>
      <c r="X45" s="1504"/>
      <c r="Y45" s="3766"/>
      <c r="Z45" s="1505">
        <f t="shared" si="18"/>
        <v>111</v>
      </c>
      <c r="AA45" s="1502">
        <f t="shared" si="15"/>
        <v>1</v>
      </c>
      <c r="AB45" s="1502">
        <f t="shared" si="16"/>
        <v>1</v>
      </c>
      <c r="AC45" s="1502">
        <f t="shared" si="17"/>
        <v>1</v>
      </c>
    </row>
    <row r="46" spans="1:29" ht="15.6"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765"/>
      <c r="Q46" s="1501">
        <f t="shared" si="11"/>
        <v>111</v>
      </c>
      <c r="R46" s="711" t="s">
        <v>20</v>
      </c>
      <c r="S46" s="712">
        <f t="shared" si="12"/>
        <v>100</v>
      </c>
      <c r="T46" s="711" t="s">
        <v>20</v>
      </c>
      <c r="U46" s="712">
        <f t="shared" si="13"/>
        <v>100</v>
      </c>
      <c r="V46" s="711" t="s">
        <v>20</v>
      </c>
      <c r="W46" s="712">
        <f t="shared" si="14"/>
        <v>100</v>
      </c>
      <c r="X46" s="1504"/>
      <c r="Y46" s="3767"/>
      <c r="Z46" s="1505">
        <f t="shared" si="18"/>
        <v>111</v>
      </c>
      <c r="AA46" s="1502">
        <f t="shared" si="15"/>
        <v>1</v>
      </c>
      <c r="AB46" s="1502">
        <f t="shared" si="16"/>
        <v>1</v>
      </c>
      <c r="AC46" s="1502">
        <f t="shared" si="17"/>
        <v>1</v>
      </c>
    </row>
    <row r="47" spans="1:29" ht="14.4">
      <c r="A47" s="436" t="s">
        <v>2338</v>
      </c>
      <c r="B47" s="437"/>
      <c r="C47" s="1283" t="s">
        <v>19</v>
      </c>
      <c r="D47" s="1284"/>
      <c r="E47" s="1285"/>
      <c r="F47" s="1286"/>
      <c r="G47" s="1287"/>
      <c r="H47" s="1288"/>
      <c r="I47" s="1285"/>
      <c r="J47" s="1288"/>
      <c r="K47" s="2065"/>
      <c r="L47" s="2916"/>
      <c r="M47" s="2917"/>
      <c r="N47" s="2908"/>
      <c r="O47" s="2917"/>
      <c r="P47" s="3759" t="str">
        <f>A47</f>
        <v>成交单价（元/平方米）</v>
      </c>
      <c r="Q47" s="3759"/>
      <c r="R47" s="3760">
        <f>E47</f>
        <v>0</v>
      </c>
      <c r="S47" s="3760"/>
      <c r="T47" s="3760">
        <f>G47</f>
        <v>0</v>
      </c>
      <c r="U47" s="3760"/>
      <c r="V47" s="3760">
        <f>I47</f>
        <v>0</v>
      </c>
      <c r="W47" s="3760"/>
      <c r="X47" s="696"/>
      <c r="Y47" s="718"/>
      <c r="Z47" s="696"/>
      <c r="AA47" s="696"/>
      <c r="AB47" s="696"/>
      <c r="AC47" s="696"/>
    </row>
    <row r="48" spans="1:29" ht="1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6"/>
      <c r="Y48" s="696"/>
      <c r="Z48" s="696"/>
      <c r="AA48" s="696"/>
      <c r="AB48" s="696"/>
      <c r="AC48" s="696"/>
    </row>
    <row r="49" spans="1:29" ht="15" thickBot="1">
      <c r="A49" s="447" t="s">
        <v>2340</v>
      </c>
      <c r="B49" s="448"/>
      <c r="C49" s="1291" t="e">
        <f>R49</f>
        <v>#DIV/0!</v>
      </c>
      <c r="D49" s="1292"/>
      <c r="E49" s="1292"/>
      <c r="F49" s="1292"/>
      <c r="G49" s="1292"/>
      <c r="H49" s="1292"/>
      <c r="I49" s="1292"/>
      <c r="J49" s="1292"/>
      <c r="K49" s="2066"/>
      <c r="L49" s="2916"/>
      <c r="M49" s="2917"/>
      <c r="N49" s="2917"/>
      <c r="O49" s="2917"/>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2.2" thickBot="1">
      <c r="A57" s="700" t="s">
        <v>2344</v>
      </c>
      <c r="B57" s="696"/>
      <c r="C57" s="701"/>
      <c r="D57" s="701"/>
      <c r="E57" s="701"/>
      <c r="F57" s="702"/>
      <c r="G57" s="702"/>
      <c r="H57" s="701"/>
      <c r="I57" s="701"/>
      <c r="J57" s="701"/>
      <c r="K57" s="1069"/>
      <c r="L57" s="1070"/>
      <c r="M57" s="1068"/>
      <c r="N57" s="1068"/>
      <c r="O57" s="1068"/>
      <c r="P57" s="2069"/>
      <c r="Q57" s="459"/>
    </row>
    <row r="58" spans="1:29" s="463" customFormat="1" ht="14.4">
      <c r="A58" s="460" t="s">
        <v>2345</v>
      </c>
      <c r="B58" s="461"/>
      <c r="C58" s="1315" t="str">
        <f>YEAR(C7)&amp;"-"&amp;MONTH(C7)</f>
        <v>2018-6</v>
      </c>
      <c r="D58" s="1314">
        <f>EDATE(C58,-1)</f>
        <v>43221</v>
      </c>
      <c r="E58" s="1314">
        <f>EDATE(D58,-1)</f>
        <v>43191</v>
      </c>
      <c r="F58" s="1314">
        <f t="shared" ref="F58:O58" si="19">EDATE(E58,-1)</f>
        <v>43160</v>
      </c>
      <c r="G58" s="1314">
        <f t="shared" si="19"/>
        <v>43132</v>
      </c>
      <c r="H58" s="1314">
        <f t="shared" si="19"/>
        <v>43101</v>
      </c>
      <c r="I58" s="1314">
        <f t="shared" si="19"/>
        <v>43070</v>
      </c>
      <c r="J58" s="1314">
        <f t="shared" si="19"/>
        <v>43040</v>
      </c>
      <c r="K58" s="1314">
        <f t="shared" si="19"/>
        <v>43009</v>
      </c>
      <c r="L58" s="1314">
        <f t="shared" si="19"/>
        <v>42979</v>
      </c>
      <c r="M58" s="1314">
        <f t="shared" si="19"/>
        <v>42948</v>
      </c>
      <c r="N58" s="1314">
        <f t="shared" si="19"/>
        <v>42917</v>
      </c>
      <c r="O58" s="1314">
        <f t="shared" si="19"/>
        <v>42887</v>
      </c>
      <c r="P58" s="1310"/>
    </row>
    <row r="59" spans="1:29" s="111" customFormat="1">
      <c r="A59" s="464"/>
      <c r="B59" s="2070"/>
      <c r="C59" s="1312">
        <v>100</v>
      </c>
      <c r="D59" s="466"/>
      <c r="E59" s="467"/>
      <c r="F59" s="467"/>
      <c r="G59" s="467"/>
      <c r="H59" s="467"/>
      <c r="I59" s="467"/>
      <c r="J59" s="467"/>
      <c r="K59" s="467"/>
      <c r="L59" s="467"/>
      <c r="M59" s="468"/>
      <c r="N59" s="467"/>
      <c r="O59" s="468"/>
      <c r="P59" s="2071"/>
    </row>
    <row r="60" spans="1:29" s="111" customFormat="1" ht="15" thickBot="1">
      <c r="A60" s="470" t="s">
        <v>2346</v>
      </c>
      <c r="B60" s="471"/>
      <c r="C60" s="472"/>
      <c r="D60" s="473"/>
      <c r="E60" s="473"/>
      <c r="F60" s="473"/>
      <c r="G60" s="473"/>
      <c r="H60" s="473"/>
      <c r="I60" s="473"/>
      <c r="J60" s="473"/>
      <c r="K60" s="473"/>
      <c r="L60" s="473"/>
      <c r="M60" s="474"/>
      <c r="N60" s="473"/>
      <c r="O60" s="474"/>
      <c r="P60" s="2071"/>
      <c r="Q60" s="459"/>
    </row>
    <row r="61" spans="1:29" s="111" customFormat="1" ht="14.4">
      <c r="A61" s="476" t="s">
        <v>2347</v>
      </c>
      <c r="B61" s="465"/>
      <c r="C61" s="477" t="s">
        <v>2348</v>
      </c>
      <c r="D61" s="478"/>
      <c r="E61" s="478"/>
      <c r="F61" s="478"/>
      <c r="G61" s="478"/>
      <c r="H61" s="478"/>
      <c r="I61" s="478"/>
      <c r="J61" s="478"/>
      <c r="K61" s="478"/>
      <c r="L61" s="479"/>
      <c r="M61" s="480"/>
      <c r="N61" s="1060"/>
      <c r="O61" s="1060"/>
      <c r="P61" s="2072"/>
      <c r="Q61" s="459"/>
    </row>
    <row r="62" spans="1:29" s="111" customFormat="1" ht="14.4" thickBot="1">
      <c r="A62" s="476"/>
      <c r="B62" s="465"/>
      <c r="C62" s="466">
        <v>100</v>
      </c>
      <c r="D62" s="467"/>
      <c r="E62" s="467"/>
      <c r="F62" s="467"/>
      <c r="G62" s="467"/>
      <c r="H62" s="467"/>
      <c r="I62" s="467"/>
      <c r="J62" s="467"/>
      <c r="K62" s="467"/>
      <c r="L62" s="467"/>
      <c r="M62" s="469"/>
      <c r="N62" s="1060"/>
      <c r="O62" s="1060"/>
      <c r="P62" s="2071"/>
      <c r="Q62" s="459"/>
    </row>
    <row r="63" spans="1:29" ht="14.4">
      <c r="A63" s="482" t="s">
        <v>2349</v>
      </c>
      <c r="B63" s="483" t="s">
        <v>2315</v>
      </c>
      <c r="C63" s="484">
        <f>C9</f>
        <v>0</v>
      </c>
      <c r="D63" s="485"/>
      <c r="E63" s="485"/>
      <c r="F63" s="485"/>
      <c r="G63" s="485"/>
      <c r="H63" s="485"/>
      <c r="I63" s="485"/>
      <c r="J63" s="485"/>
      <c r="K63" s="486"/>
      <c r="L63" s="487"/>
      <c r="M63" s="488"/>
      <c r="N63" s="1061"/>
      <c r="O63" s="1061"/>
      <c r="P63" s="2073"/>
      <c r="Q63" s="459"/>
    </row>
    <row r="64" spans="1:29" ht="14.4" thickBot="1">
      <c r="A64" s="489"/>
      <c r="B64" s="490"/>
      <c r="C64" s="491">
        <v>100</v>
      </c>
      <c r="D64" s="491"/>
      <c r="E64" s="491"/>
      <c r="F64" s="491"/>
      <c r="G64" s="491"/>
      <c r="H64" s="491"/>
      <c r="I64" s="491"/>
      <c r="J64" s="491"/>
      <c r="K64" s="491"/>
      <c r="L64" s="491"/>
      <c r="M64" s="492"/>
      <c r="N64" s="1062"/>
      <c r="O64" s="1062"/>
      <c r="P64" s="2073"/>
      <c r="Q64" s="459"/>
    </row>
    <row r="65" spans="1:17" ht="29.4"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4.4"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c r="A68" s="489"/>
      <c r="B68" s="503"/>
      <c r="C68" s="504"/>
      <c r="D68" s="504"/>
      <c r="E68" s="504"/>
      <c r="F68" s="504"/>
      <c r="G68" s="504"/>
      <c r="H68" s="504"/>
      <c r="I68" s="504"/>
      <c r="J68" s="504"/>
      <c r="K68" s="505"/>
      <c r="L68" s="506"/>
      <c r="M68" s="507"/>
      <c r="N68" s="1061"/>
      <c r="O68" s="1061"/>
      <c r="P68" s="2073"/>
      <c r="Q68" s="459"/>
    </row>
    <row r="69" spans="1:17" ht="14.4"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4.4" thickTop="1">
      <c r="A70" s="508"/>
      <c r="B70" s="493">
        <f>B12</f>
        <v>111</v>
      </c>
      <c r="C70" s="509"/>
      <c r="D70" s="509"/>
      <c r="E70" s="509"/>
      <c r="F70" s="509"/>
      <c r="G70" s="509"/>
      <c r="H70" s="510"/>
      <c r="I70" s="510"/>
      <c r="J70" s="510"/>
      <c r="K70" s="510"/>
      <c r="L70" s="511"/>
      <c r="M70" s="512"/>
      <c r="N70" s="1063"/>
      <c r="O70" s="1063"/>
      <c r="P70" s="2074"/>
      <c r="Q70" s="514"/>
    </row>
    <row r="71" spans="1:17" s="428" customFormat="1" ht="14.4" thickBot="1">
      <c r="A71" s="508"/>
      <c r="B71" s="498"/>
      <c r="C71" s="515"/>
      <c r="D71" s="491"/>
      <c r="E71" s="491"/>
      <c r="F71" s="491"/>
      <c r="G71" s="491"/>
      <c r="H71" s="491"/>
      <c r="I71" s="491"/>
      <c r="J71" s="491"/>
      <c r="K71" s="491"/>
      <c r="L71" s="491"/>
      <c r="M71" s="492"/>
      <c r="N71" s="1062"/>
      <c r="O71" s="1062"/>
      <c r="P71" s="2074"/>
      <c r="Q71" s="514"/>
    </row>
    <row r="72" spans="1:17" s="428" customFormat="1" ht="14.4" thickTop="1">
      <c r="A72" s="508"/>
      <c r="B72" s="493">
        <f>B13</f>
        <v>111</v>
      </c>
      <c r="C72" s="509"/>
      <c r="D72" s="509"/>
      <c r="E72" s="509"/>
      <c r="F72" s="509"/>
      <c r="G72" s="509"/>
      <c r="H72" s="510"/>
      <c r="I72" s="510"/>
      <c r="J72" s="510"/>
      <c r="K72" s="510"/>
      <c r="L72" s="511"/>
      <c r="M72" s="512"/>
      <c r="N72" s="1063"/>
      <c r="O72" s="1063"/>
      <c r="P72" s="2075"/>
      <c r="Q72" s="516"/>
    </row>
    <row r="73" spans="1:17" s="428" customFormat="1" ht="14.4" thickBot="1">
      <c r="A73" s="508"/>
      <c r="B73" s="498"/>
      <c r="C73" s="515"/>
      <c r="D73" s="515"/>
      <c r="E73" s="515"/>
      <c r="F73" s="515"/>
      <c r="G73" s="515"/>
      <c r="H73" s="517"/>
      <c r="I73" s="517"/>
      <c r="J73" s="517"/>
      <c r="K73" s="517"/>
      <c r="L73" s="517"/>
      <c r="M73" s="518"/>
      <c r="N73" s="1063"/>
      <c r="O73" s="1063"/>
      <c r="P73" s="2074"/>
      <c r="Q73" s="514"/>
    </row>
    <row r="74" spans="1:17" s="428" customFormat="1" ht="14.4" thickTop="1">
      <c r="A74" s="508"/>
      <c r="B74" s="501">
        <f>B14</f>
        <v>111</v>
      </c>
      <c r="C74" s="509"/>
      <c r="D74" s="509"/>
      <c r="E74" s="509"/>
      <c r="F74" s="509"/>
      <c r="G74" s="478"/>
      <c r="H74" s="519"/>
      <c r="I74" s="519"/>
      <c r="J74" s="519"/>
      <c r="K74" s="519"/>
      <c r="L74" s="520"/>
      <c r="M74" s="521"/>
      <c r="N74" s="1063"/>
      <c r="O74" s="1063"/>
      <c r="P74" s="2076"/>
      <c r="Q74" s="514"/>
    </row>
    <row r="75" spans="1:17" s="428" customFormat="1" ht="14.4" thickBot="1">
      <c r="A75" s="523"/>
      <c r="B75" s="524"/>
      <c r="C75" s="525"/>
      <c r="D75" s="525"/>
      <c r="E75" s="525"/>
      <c r="F75" s="525"/>
      <c r="G75" s="525"/>
      <c r="H75" s="526"/>
      <c r="I75" s="526"/>
      <c r="J75" s="526"/>
      <c r="K75" s="526"/>
      <c r="L75" s="526"/>
      <c r="M75" s="527"/>
      <c r="N75" s="1063"/>
      <c r="O75" s="1063"/>
      <c r="P75" s="2074"/>
      <c r="Q75" s="514"/>
    </row>
    <row r="76" spans="1:17" ht="14.4">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4.4"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4.4"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4.4"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4.4"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4.4"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 thickTop="1">
      <c r="A86" s="534"/>
      <c r="B86" s="493" t="s">
        <v>2371</v>
      </c>
      <c r="C86" s="509"/>
      <c r="D86" s="509"/>
      <c r="E86" s="509"/>
      <c r="F86" s="509"/>
      <c r="G86" s="509"/>
      <c r="H86" s="509"/>
      <c r="I86" s="509"/>
      <c r="J86" s="509"/>
      <c r="K86" s="509"/>
      <c r="L86" s="535"/>
      <c r="M86" s="536"/>
      <c r="N86" s="1060"/>
      <c r="O86" s="1060"/>
      <c r="P86" s="2073"/>
      <c r="Q86" s="459"/>
    </row>
    <row r="87" spans="1:17" s="111" customFormat="1" ht="14.4"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 thickTop="1">
      <c r="A88" s="534"/>
      <c r="B88" s="493" t="s">
        <v>2372</v>
      </c>
      <c r="C88" s="509"/>
      <c r="D88" s="509"/>
      <c r="E88" s="509"/>
      <c r="F88" s="2078"/>
      <c r="G88" s="509"/>
      <c r="H88" s="509"/>
      <c r="I88" s="509"/>
      <c r="J88" s="509"/>
      <c r="K88" s="509"/>
      <c r="L88" s="509"/>
      <c r="M88" s="536"/>
      <c r="N88" s="1060"/>
      <c r="O88" s="1060"/>
      <c r="P88" s="2073"/>
      <c r="Q88" s="459"/>
    </row>
    <row r="89" spans="1:17" s="111" customFormat="1" ht="14.4"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4.4" thickTop="1">
      <c r="A90" s="508"/>
      <c r="B90" s="493">
        <f>B27</f>
        <v>111</v>
      </c>
      <c r="C90" s="509"/>
      <c r="D90" s="509"/>
      <c r="E90" s="509"/>
      <c r="F90" s="509"/>
      <c r="G90" s="509"/>
      <c r="H90" s="510"/>
      <c r="I90" s="510"/>
      <c r="J90" s="510"/>
      <c r="K90" s="510"/>
      <c r="L90" s="511"/>
      <c r="M90" s="512"/>
      <c r="N90" s="1063"/>
      <c r="O90" s="1063"/>
      <c r="P90" s="2074"/>
      <c r="Q90" s="514"/>
    </row>
    <row r="91" spans="1:17" s="428" customFormat="1" ht="14.4" thickBot="1">
      <c r="A91" s="508"/>
      <c r="B91" s="498"/>
      <c r="C91" s="515"/>
      <c r="D91" s="515"/>
      <c r="E91" s="515"/>
      <c r="F91" s="515"/>
      <c r="G91" s="515"/>
      <c r="H91" s="517"/>
      <c r="I91" s="517"/>
      <c r="J91" s="517"/>
      <c r="K91" s="517"/>
      <c r="L91" s="517"/>
      <c r="M91" s="518"/>
      <c r="N91" s="1063"/>
      <c r="O91" s="1063"/>
      <c r="P91" s="2074"/>
      <c r="Q91" s="514"/>
    </row>
    <row r="92" spans="1:17" ht="14.4" thickTop="1">
      <c r="A92" s="489"/>
      <c r="B92" s="493">
        <f>B28</f>
        <v>111</v>
      </c>
      <c r="C92" s="509"/>
      <c r="D92" s="509"/>
      <c r="E92" s="509"/>
      <c r="F92" s="509"/>
      <c r="G92" s="538"/>
      <c r="H92" s="538"/>
      <c r="I92" s="538"/>
      <c r="J92" s="538"/>
      <c r="K92" s="539"/>
      <c r="L92" s="540"/>
      <c r="M92" s="541"/>
      <c r="N92" s="1061"/>
      <c r="O92" s="1061"/>
      <c r="P92" s="2073"/>
      <c r="Q92" s="459"/>
    </row>
    <row r="93" spans="1:17" ht="14.4" thickBot="1">
      <c r="A93" s="489"/>
      <c r="B93" s="498"/>
      <c r="C93" s="515"/>
      <c r="D93" s="491"/>
      <c r="E93" s="491"/>
      <c r="F93" s="491"/>
      <c r="G93" s="491"/>
      <c r="H93" s="491"/>
      <c r="I93" s="491"/>
      <c r="J93" s="491"/>
      <c r="K93" s="491"/>
      <c r="L93" s="491"/>
      <c r="M93" s="492"/>
      <c r="N93" s="1062"/>
      <c r="O93" s="1062"/>
      <c r="P93" s="2073"/>
      <c r="Q93" s="459"/>
    </row>
    <row r="94" spans="1:17" ht="14.4" thickTop="1">
      <c r="A94" s="489"/>
      <c r="B94" s="493">
        <f>B29</f>
        <v>111</v>
      </c>
      <c r="C94" s="509"/>
      <c r="D94" s="509"/>
      <c r="E94" s="509"/>
      <c r="F94" s="509"/>
      <c r="G94" s="538"/>
      <c r="H94" s="538"/>
      <c r="I94" s="538"/>
      <c r="J94" s="538"/>
      <c r="K94" s="539"/>
      <c r="L94" s="540"/>
      <c r="M94" s="541"/>
      <c r="N94" s="1061"/>
      <c r="O94" s="1061"/>
      <c r="P94" s="2073"/>
      <c r="Q94" s="459"/>
    </row>
    <row r="95" spans="1:17" ht="14.4" thickBot="1">
      <c r="A95" s="489"/>
      <c r="B95" s="498"/>
      <c r="C95" s="515"/>
      <c r="D95" s="515"/>
      <c r="E95" s="515"/>
      <c r="F95" s="515"/>
      <c r="G95" s="491"/>
      <c r="H95" s="491"/>
      <c r="I95" s="491"/>
      <c r="J95" s="491"/>
      <c r="K95" s="491"/>
      <c r="L95" s="491"/>
      <c r="M95" s="492"/>
      <c r="N95" s="1062"/>
      <c r="O95" s="1062"/>
      <c r="P95" s="2073"/>
      <c r="Q95" s="459"/>
    </row>
    <row r="96" spans="1:17" ht="14.4" thickTop="1">
      <c r="A96" s="489"/>
      <c r="B96" s="493">
        <f>B30</f>
        <v>111</v>
      </c>
      <c r="C96" s="509"/>
      <c r="D96" s="509"/>
      <c r="E96" s="509"/>
      <c r="F96" s="509"/>
      <c r="G96" s="538"/>
      <c r="H96" s="538"/>
      <c r="I96" s="538"/>
      <c r="J96" s="538"/>
      <c r="K96" s="539"/>
      <c r="L96" s="540"/>
      <c r="M96" s="541"/>
      <c r="N96" s="1061"/>
      <c r="O96" s="1061"/>
      <c r="P96" s="2073"/>
      <c r="Q96" s="459"/>
    </row>
    <row r="97" spans="1:17" ht="14.4" thickBot="1">
      <c r="A97" s="489"/>
      <c r="B97" s="498"/>
      <c r="C97" s="525"/>
      <c r="D97" s="525"/>
      <c r="E97" s="525"/>
      <c r="F97" s="525"/>
      <c r="G97" s="491"/>
      <c r="H97" s="491"/>
      <c r="I97" s="491"/>
      <c r="J97" s="491"/>
      <c r="K97" s="491"/>
      <c r="L97" s="491"/>
      <c r="M97" s="492"/>
      <c r="N97" s="1062"/>
      <c r="O97" s="1062"/>
      <c r="P97" s="2073"/>
      <c r="Q97" s="459"/>
    </row>
    <row r="98" spans="1:17" ht="14.4" thickTop="1">
      <c r="A98" s="489"/>
      <c r="B98" s="501">
        <f>B31</f>
        <v>111</v>
      </c>
      <c r="C98" s="542"/>
      <c r="D98" s="542"/>
      <c r="E98" s="542"/>
      <c r="F98" s="542"/>
      <c r="G98" s="542"/>
      <c r="H98" s="542"/>
      <c r="I98" s="542"/>
      <c r="J98" s="542"/>
      <c r="K98" s="543"/>
      <c r="L98" s="544"/>
      <c r="M98" s="545"/>
      <c r="N98" s="1061"/>
      <c r="O98" s="1061"/>
      <c r="P98" s="2073"/>
      <c r="Q98" s="459"/>
    </row>
    <row r="99" spans="1:17" ht="14.4" thickBot="1">
      <c r="A99" s="2079"/>
      <c r="B99" s="524"/>
      <c r="C99" s="546"/>
      <c r="D99" s="546"/>
      <c r="E99" s="546"/>
      <c r="F99" s="546"/>
      <c r="G99" s="546"/>
      <c r="H99" s="546"/>
      <c r="I99" s="546"/>
      <c r="J99" s="546"/>
      <c r="K99" s="546"/>
      <c r="L99" s="546"/>
      <c r="M99" s="547"/>
      <c r="N99" s="1062"/>
      <c r="O99" s="1062"/>
      <c r="P99" s="2073"/>
      <c r="Q99" s="459"/>
    </row>
    <row r="100" spans="1:17" ht="14.4">
      <c r="A100" s="482" t="s">
        <v>2324</v>
      </c>
      <c r="B100" s="483" t="s">
        <v>2373</v>
      </c>
      <c r="C100" s="485"/>
      <c r="D100" s="485"/>
      <c r="E100" s="485"/>
      <c r="F100" s="485"/>
      <c r="G100" s="485"/>
      <c r="H100" s="485"/>
      <c r="I100" s="485"/>
      <c r="J100" s="485"/>
      <c r="K100" s="486"/>
      <c r="L100" s="487"/>
      <c r="M100" s="488"/>
      <c r="N100" s="1061"/>
      <c r="O100" s="1061"/>
      <c r="P100" s="2073"/>
      <c r="Q100" s="459"/>
    </row>
    <row r="101" spans="1:17" ht="14.4"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4.4"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4.4"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4.4"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4.4"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4.4"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4.4"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4.4"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4.4"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9.4"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4.4"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4.4"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29.4"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4.4"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4.4"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4.4" thickBot="1">
      <c r="A127" s="508"/>
      <c r="B127" s="498"/>
      <c r="C127" s="515"/>
      <c r="D127" s="491"/>
      <c r="E127" s="491"/>
      <c r="F127" s="491"/>
      <c r="G127" s="515"/>
      <c r="H127" s="517"/>
      <c r="I127" s="517"/>
      <c r="J127" s="517"/>
      <c r="K127" s="517"/>
      <c r="L127" s="517"/>
      <c r="M127" s="518"/>
      <c r="N127" s="1063"/>
      <c r="O127" s="1063"/>
      <c r="P127" s="2074"/>
      <c r="Q127" s="514"/>
    </row>
    <row r="128" spans="1:17" ht="14.4" thickTop="1">
      <c r="A128" s="554"/>
      <c r="B128" s="493">
        <f>B45</f>
        <v>111</v>
      </c>
      <c r="C128" s="509"/>
      <c r="D128" s="509"/>
      <c r="E128" s="509"/>
      <c r="F128" s="509"/>
      <c r="G128" s="538"/>
      <c r="H128" s="538"/>
      <c r="I128" s="538"/>
      <c r="J128" s="538"/>
      <c r="K128" s="539"/>
      <c r="L128" s="540"/>
      <c r="M128" s="541"/>
      <c r="N128" s="1061"/>
      <c r="O128" s="1061"/>
      <c r="P128" s="2073"/>
      <c r="Q128" s="459"/>
    </row>
    <row r="129" spans="1:17" ht="14.4" thickBot="1">
      <c r="A129" s="489"/>
      <c r="B129" s="498"/>
      <c r="C129" s="515"/>
      <c r="D129" s="515"/>
      <c r="E129" s="515"/>
      <c r="F129" s="515"/>
      <c r="G129" s="491"/>
      <c r="H129" s="491"/>
      <c r="I129" s="491"/>
      <c r="J129" s="491"/>
      <c r="K129" s="491"/>
      <c r="L129" s="491"/>
      <c r="M129" s="492"/>
      <c r="N129" s="1062"/>
      <c r="O129" s="1062"/>
      <c r="P129" s="2073"/>
      <c r="Q129" s="459"/>
    </row>
    <row r="130" spans="1:17" ht="14.4" thickTop="1">
      <c r="A130" s="554"/>
      <c r="B130" s="501">
        <f>B46</f>
        <v>111</v>
      </c>
      <c r="C130" s="509"/>
      <c r="D130" s="509"/>
      <c r="E130" s="509"/>
      <c r="F130" s="509"/>
      <c r="G130" s="542"/>
      <c r="H130" s="542"/>
      <c r="I130" s="542"/>
      <c r="J130" s="542"/>
      <c r="K130" s="478"/>
      <c r="L130" s="479"/>
      <c r="M130" s="545"/>
      <c r="N130" s="1061"/>
      <c r="O130" s="1061"/>
      <c r="P130" s="2073"/>
      <c r="Q130" s="459"/>
    </row>
    <row r="131" spans="1:17" ht="14.4"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6.2"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ht="14.4">
      <c r="B147" s="2080" t="s">
        <v>2401</v>
      </c>
    </row>
    <row r="148" spans="2:11" ht="14.4">
      <c r="B148" s="2080"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67"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4.4">
      <c r="A4" s="359" t="s">
        <v>2406</v>
      </c>
      <c r="B4" s="360"/>
      <c r="C4" s="3775" t="s">
        <v>2407</v>
      </c>
      <c r="D4" s="3776"/>
      <c r="E4" s="3777" t="s">
        <v>2408</v>
      </c>
      <c r="F4" s="3778"/>
      <c r="G4" s="3775" t="s">
        <v>2409</v>
      </c>
      <c r="H4" s="3776"/>
      <c r="I4" s="3775" t="s">
        <v>2410</v>
      </c>
      <c r="J4" s="3776"/>
      <c r="K4" s="565" t="s">
        <v>2411</v>
      </c>
      <c r="L4" s="2907"/>
      <c r="M4" s="2908"/>
      <c r="N4" s="2908"/>
      <c r="O4" s="2908"/>
      <c r="P4" s="3779" t="s">
        <v>2412</v>
      </c>
      <c r="Q4" s="3780"/>
      <c r="R4" s="3785" t="s">
        <v>2408</v>
      </c>
      <c r="S4" s="3786"/>
      <c r="T4" s="3785" t="s">
        <v>2409</v>
      </c>
      <c r="U4" s="3786"/>
      <c r="V4" s="3791" t="s">
        <v>2410</v>
      </c>
      <c r="W4" s="3791"/>
      <c r="X4" s="1504"/>
      <c r="Y4" s="3785" t="s">
        <v>2412</v>
      </c>
      <c r="Z4" s="3786"/>
      <c r="AA4" s="3772" t="s">
        <v>2408</v>
      </c>
      <c r="AB4" s="3791" t="s">
        <v>2409</v>
      </c>
      <c r="AC4" s="3772" t="s">
        <v>2410</v>
      </c>
    </row>
    <row r="5" spans="1:29">
      <c r="A5" s="362"/>
      <c r="B5" s="363"/>
      <c r="C5" s="3794" t="s">
        <v>2303</v>
      </c>
      <c r="D5" s="3795"/>
      <c r="E5" s="3801" t="s">
        <v>2304</v>
      </c>
      <c r="F5" s="3802"/>
      <c r="G5" s="3794" t="s">
        <v>2305</v>
      </c>
      <c r="H5" s="3795"/>
      <c r="I5" s="3794" t="s">
        <v>2306</v>
      </c>
      <c r="J5" s="3795"/>
      <c r="K5" s="565"/>
      <c r="L5" s="2907"/>
      <c r="M5" s="2908"/>
      <c r="N5" s="2908"/>
      <c r="O5" s="2908"/>
      <c r="P5" s="3781"/>
      <c r="Q5" s="3782"/>
      <c r="R5" s="3787"/>
      <c r="S5" s="3788"/>
      <c r="T5" s="3787"/>
      <c r="U5" s="3788"/>
      <c r="V5" s="3791"/>
      <c r="W5" s="3791"/>
      <c r="X5" s="1504"/>
      <c r="Y5" s="3787"/>
      <c r="Z5" s="3788"/>
      <c r="AA5" s="3773"/>
      <c r="AB5" s="3791"/>
      <c r="AC5" s="3773"/>
    </row>
    <row r="6" spans="1:29" ht="15" thickBot="1">
      <c r="A6" s="364"/>
      <c r="B6" s="365"/>
      <c r="C6" s="3792" t="s">
        <v>2307</v>
      </c>
      <c r="D6" s="3793"/>
      <c r="E6" s="3799" t="s">
        <v>2307</v>
      </c>
      <c r="F6" s="3800"/>
      <c r="G6" s="3792" t="s">
        <v>2307</v>
      </c>
      <c r="H6" s="3793"/>
      <c r="I6" s="3792" t="s">
        <v>2307</v>
      </c>
      <c r="J6" s="3793"/>
      <c r="K6" s="565" t="s">
        <v>2308</v>
      </c>
      <c r="L6" s="2907"/>
      <c r="M6" s="2908"/>
      <c r="N6" s="2908"/>
      <c r="O6" s="2908"/>
      <c r="P6" s="3783"/>
      <c r="Q6" s="3784"/>
      <c r="R6" s="3787"/>
      <c r="S6" s="3788"/>
      <c r="T6" s="3789"/>
      <c r="U6" s="3790"/>
      <c r="V6" s="3791"/>
      <c r="W6" s="3791"/>
      <c r="X6" s="1504"/>
      <c r="Y6" s="3789"/>
      <c r="Z6" s="3790"/>
      <c r="AA6" s="3774"/>
      <c r="AB6" s="3791"/>
      <c r="AC6" s="3774"/>
    </row>
    <row r="7" spans="1:29" s="111" customFormat="1" ht="15" thickBot="1">
      <c r="A7" s="366" t="s">
        <v>2309</v>
      </c>
      <c r="B7" s="367"/>
      <c r="C7" s="368">
        <f>'数据-取费表'!B2</f>
        <v>43252</v>
      </c>
      <c r="D7" s="369">
        <v>100</v>
      </c>
      <c r="E7" s="370"/>
      <c r="F7" s="371">
        <f>SUMIF(58:58,YEAR(E7)&amp;"-"&amp;MONTH(E7),59:59)</f>
        <v>0</v>
      </c>
      <c r="G7" s="370"/>
      <c r="H7" s="369">
        <f>SUMIF(58:58,YEAR(G7)&amp;"-"&amp;MONTH(G7),59:59)</f>
        <v>0</v>
      </c>
      <c r="I7" s="370"/>
      <c r="J7" s="369">
        <f>SUMIF(58:58,YEAR(I7)&amp;"-"&amp;MONTH(I7),59:59)</f>
        <v>0</v>
      </c>
      <c r="K7" s="566"/>
      <c r="L7" s="2909"/>
      <c r="M7" s="2910"/>
      <c r="N7" s="2910"/>
      <c r="O7" s="2910"/>
      <c r="P7" s="3796" t="s">
        <v>2310</v>
      </c>
      <c r="Q7" s="3798"/>
      <c r="R7" s="707" t="s">
        <v>17</v>
      </c>
      <c r="S7" s="708">
        <f t="shared" ref="S7:S15" si="0">F7</f>
        <v>0</v>
      </c>
      <c r="T7" s="707" t="s">
        <v>17</v>
      </c>
      <c r="U7" s="708">
        <f t="shared" ref="U7:U15" si="1">H7</f>
        <v>0</v>
      </c>
      <c r="V7" s="707" t="s">
        <v>17</v>
      </c>
      <c r="W7" s="708">
        <f t="shared" ref="W7:W15" si="2">J7</f>
        <v>0</v>
      </c>
      <c r="X7" s="709"/>
      <c r="Y7" s="3796" t="s">
        <v>2310</v>
      </c>
      <c r="Z7" s="3797"/>
      <c r="AA7" s="710" t="e">
        <f>D7/F7</f>
        <v>#DIV/0!</v>
      </c>
      <c r="AB7" s="710" t="e">
        <f>D7/H7</f>
        <v>#DIV/0!</v>
      </c>
      <c r="AC7" s="710" t="e">
        <f>D7/J7</f>
        <v>#DIV/0!</v>
      </c>
    </row>
    <row r="8" spans="1:29" s="111" customFormat="1" ht="1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796" t="s">
        <v>2313</v>
      </c>
      <c r="Q8" s="3797"/>
      <c r="R8" s="707" t="s">
        <v>17</v>
      </c>
      <c r="S8" s="708">
        <f t="shared" si="0"/>
        <v>0</v>
      </c>
      <c r="T8" s="707" t="s">
        <v>17</v>
      </c>
      <c r="U8" s="708">
        <f t="shared" si="1"/>
        <v>0</v>
      </c>
      <c r="V8" s="707" t="s">
        <v>17</v>
      </c>
      <c r="W8" s="708">
        <f t="shared" si="2"/>
        <v>0</v>
      </c>
      <c r="X8" s="709"/>
      <c r="Y8" s="3796" t="s">
        <v>2313</v>
      </c>
      <c r="Z8" s="3797"/>
      <c r="AA8" s="710" t="e">
        <f t="shared" ref="AA8:AA46" si="3">D8/F8</f>
        <v>#DIV/0!</v>
      </c>
      <c r="AB8" s="710" t="e">
        <f t="shared" ref="AB8:AB46" si="4">D8/H8</f>
        <v>#DIV/0!</v>
      </c>
      <c r="AC8" s="710" t="e">
        <f t="shared" ref="AC8:AC46" si="5">D8/J8</f>
        <v>#DIV/0!</v>
      </c>
    </row>
    <row r="9" spans="1:29" s="111" customFormat="1" ht="14.4">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770" t="s">
        <v>2316</v>
      </c>
      <c r="Q9" s="1492" t="str">
        <f t="shared" ref="Q9:Q15" si="6">B9</f>
        <v>用途</v>
      </c>
      <c r="R9" s="707" t="s">
        <v>17</v>
      </c>
      <c r="S9" s="708">
        <f t="shared" si="0"/>
        <v>100</v>
      </c>
      <c r="T9" s="707" t="s">
        <v>17</v>
      </c>
      <c r="U9" s="708">
        <f t="shared" si="1"/>
        <v>100</v>
      </c>
      <c r="V9" s="707" t="s">
        <v>17</v>
      </c>
      <c r="W9" s="708">
        <f t="shared" si="2"/>
        <v>100</v>
      </c>
      <c r="X9" s="709"/>
      <c r="Y9" s="3771"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770"/>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770"/>
      <c r="Q11" s="1492" t="str">
        <f t="shared" si="6"/>
        <v>容积率</v>
      </c>
      <c r="R11" s="707" t="s">
        <v>17</v>
      </c>
      <c r="S11" s="708" t="e">
        <f t="shared" si="0"/>
        <v>#N/A</v>
      </c>
      <c r="T11" s="707" t="s">
        <v>17</v>
      </c>
      <c r="U11" s="708" t="e">
        <f t="shared" si="1"/>
        <v>#N/A</v>
      </c>
      <c r="V11" s="707" t="s">
        <v>17</v>
      </c>
      <c r="W11" s="708" t="e">
        <f t="shared" si="2"/>
        <v>#N/A</v>
      </c>
      <c r="X11" s="709"/>
      <c r="Y11" s="3771"/>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770"/>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770"/>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710">
        <f t="shared" si="5"/>
        <v>1</v>
      </c>
    </row>
    <row r="14" spans="1:29" ht="15.6"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770"/>
      <c r="Q14" s="1492">
        <f t="shared" si="6"/>
        <v>111</v>
      </c>
      <c r="R14" s="707" t="s">
        <v>17</v>
      </c>
      <c r="S14" s="708">
        <f t="shared" si="0"/>
        <v>100</v>
      </c>
      <c r="T14" s="707" t="s">
        <v>17</v>
      </c>
      <c r="U14" s="708">
        <f t="shared" si="1"/>
        <v>100</v>
      </c>
      <c r="V14" s="707" t="s">
        <v>17</v>
      </c>
      <c r="W14" s="708">
        <f t="shared" si="2"/>
        <v>100</v>
      </c>
      <c r="X14" s="709"/>
      <c r="Y14" s="3771"/>
      <c r="Z14" s="55">
        <f t="shared" si="7"/>
        <v>111</v>
      </c>
      <c r="AA14" s="710">
        <f t="shared" si="3"/>
        <v>1</v>
      </c>
      <c r="AB14" s="710">
        <f t="shared" si="4"/>
        <v>1</v>
      </c>
      <c r="AC14" s="710">
        <f t="shared" si="5"/>
        <v>1</v>
      </c>
    </row>
    <row r="15" spans="1:29" ht="69">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768" t="s">
        <v>2321</v>
      </c>
      <c r="Q15" s="1501" t="str">
        <f t="shared" si="6"/>
        <v>商业繁华度</v>
      </c>
      <c r="R15" s="711" t="s">
        <v>17</v>
      </c>
      <c r="S15" s="712">
        <f t="shared" si="0"/>
        <v>100</v>
      </c>
      <c r="T15" s="711" t="s">
        <v>17</v>
      </c>
      <c r="U15" s="712">
        <f t="shared" si="1"/>
        <v>100</v>
      </c>
      <c r="V15" s="711" t="s">
        <v>17</v>
      </c>
      <c r="W15" s="712">
        <f t="shared" si="2"/>
        <v>100</v>
      </c>
      <c r="X15" s="1504"/>
      <c r="Y15" s="3761"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769"/>
      <c r="Q16" s="1501"/>
      <c r="R16" s="711"/>
      <c r="S16" s="712"/>
      <c r="T16" s="711"/>
      <c r="U16" s="712"/>
      <c r="V16" s="711"/>
      <c r="W16" s="712"/>
      <c r="X16" s="1504"/>
      <c r="Y16" s="3762"/>
      <c r="Z16" s="1505"/>
      <c r="AA16" s="1502">
        <v>1</v>
      </c>
      <c r="AB16" s="1502">
        <v>1</v>
      </c>
      <c r="AC16" s="1502">
        <v>1</v>
      </c>
    </row>
    <row r="17" spans="1:29" ht="82.8">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769"/>
      <c r="Q17" s="1501" t="str">
        <f>B17</f>
        <v>交通便捷度</v>
      </c>
      <c r="R17" s="711" t="s">
        <v>17</v>
      </c>
      <c r="S17" s="712">
        <f>F17</f>
        <v>100</v>
      </c>
      <c r="T17" s="711" t="s">
        <v>17</v>
      </c>
      <c r="U17" s="712">
        <f>H17</f>
        <v>100</v>
      </c>
      <c r="V17" s="711" t="s">
        <v>17</v>
      </c>
      <c r="W17" s="712">
        <f>J17</f>
        <v>100</v>
      </c>
      <c r="X17" s="1504"/>
      <c r="Y17" s="3762"/>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769"/>
      <c r="Q18" s="1501"/>
      <c r="R18" s="711"/>
      <c r="S18" s="712"/>
      <c r="T18" s="711"/>
      <c r="U18" s="712"/>
      <c r="V18" s="711"/>
      <c r="W18" s="712"/>
      <c r="X18" s="1504"/>
      <c r="Y18" s="3762"/>
      <c r="Z18" s="1505"/>
      <c r="AA18" s="1502">
        <v>1</v>
      </c>
      <c r="AB18" s="1502">
        <v>1</v>
      </c>
      <c r="AC18" s="1502">
        <v>1</v>
      </c>
    </row>
    <row r="19" spans="1:29" ht="41.4">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769"/>
      <c r="Q19" s="1501" t="str">
        <f>B19</f>
        <v>公共配套设施</v>
      </c>
      <c r="R19" s="711" t="s">
        <v>17</v>
      </c>
      <c r="S19" s="712">
        <f>F19</f>
        <v>100</v>
      </c>
      <c r="T19" s="711" t="s">
        <v>17</v>
      </c>
      <c r="U19" s="712">
        <f>H19</f>
        <v>100</v>
      </c>
      <c r="V19" s="711" t="s">
        <v>17</v>
      </c>
      <c r="W19" s="712">
        <f>J19</f>
        <v>100</v>
      </c>
      <c r="X19" s="1504"/>
      <c r="Y19" s="3762"/>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769"/>
      <c r="Q20" s="1501"/>
      <c r="R20" s="711"/>
      <c r="S20" s="712"/>
      <c r="T20" s="711"/>
      <c r="U20" s="712"/>
      <c r="V20" s="711"/>
      <c r="W20" s="712"/>
      <c r="X20" s="1504"/>
      <c r="Y20" s="3762"/>
      <c r="Z20" s="1505"/>
      <c r="AA20" s="1502">
        <v>1</v>
      </c>
      <c r="AB20" s="1502">
        <v>1</v>
      </c>
      <c r="AC20" s="1502">
        <v>1</v>
      </c>
    </row>
    <row r="21" spans="1:29" ht="27.6">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769"/>
      <c r="Q21" s="1501" t="str">
        <f>B21</f>
        <v>基础设施水平</v>
      </c>
      <c r="R21" s="711" t="s">
        <v>17</v>
      </c>
      <c r="S21" s="712">
        <f>F21</f>
        <v>100</v>
      </c>
      <c r="T21" s="711" t="s">
        <v>17</v>
      </c>
      <c r="U21" s="712">
        <f>H21</f>
        <v>100</v>
      </c>
      <c r="V21" s="711" t="s">
        <v>17</v>
      </c>
      <c r="W21" s="712">
        <f>J21</f>
        <v>100</v>
      </c>
      <c r="X21" s="1504"/>
      <c r="Y21" s="3762"/>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769"/>
      <c r="Q22" s="1501"/>
      <c r="R22" s="711"/>
      <c r="S22" s="712"/>
      <c r="T22" s="711"/>
      <c r="U22" s="712"/>
      <c r="V22" s="711"/>
      <c r="W22" s="712"/>
      <c r="X22" s="1504"/>
      <c r="Y22" s="3762"/>
      <c r="Z22" s="1505"/>
      <c r="AA22" s="1502">
        <v>1</v>
      </c>
      <c r="AB22" s="1502">
        <v>1</v>
      </c>
      <c r="AC22" s="1502">
        <v>1</v>
      </c>
    </row>
    <row r="23" spans="1:29" ht="55.2">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769"/>
      <c r="Q23" s="1501" t="str">
        <f>B23</f>
        <v>自然及人文环境</v>
      </c>
      <c r="R23" s="711" t="s">
        <v>17</v>
      </c>
      <c r="S23" s="712">
        <f>F23</f>
        <v>100</v>
      </c>
      <c r="T23" s="711" t="s">
        <v>17</v>
      </c>
      <c r="U23" s="712">
        <f>H23</f>
        <v>100</v>
      </c>
      <c r="V23" s="711" t="s">
        <v>17</v>
      </c>
      <c r="W23" s="712">
        <f>J23</f>
        <v>100</v>
      </c>
      <c r="X23" s="1504"/>
      <c r="Y23" s="3762"/>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769"/>
      <c r="Q24" s="1501"/>
      <c r="R24" s="711"/>
      <c r="S24" s="712"/>
      <c r="T24" s="711"/>
      <c r="U24" s="712"/>
      <c r="V24" s="711"/>
      <c r="W24" s="712"/>
      <c r="X24" s="1504"/>
      <c r="Y24" s="3762"/>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769"/>
      <c r="Q25" s="1501" t="str">
        <f t="shared" ref="Q25:Q46" si="11">B25</f>
        <v>临街状况</v>
      </c>
      <c r="R25" s="711" t="s">
        <v>17</v>
      </c>
      <c r="S25" s="712">
        <f>F25</f>
        <v>100</v>
      </c>
      <c r="T25" s="711" t="s">
        <v>17</v>
      </c>
      <c r="U25" s="712">
        <f>H25</f>
        <v>100</v>
      </c>
      <c r="V25" s="711" t="s">
        <v>17</v>
      </c>
      <c r="W25" s="712">
        <f>J25</f>
        <v>100</v>
      </c>
      <c r="X25" s="1504"/>
      <c r="Y25" s="3762"/>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769"/>
      <c r="Q26" s="1501" t="str">
        <f t="shared" si="11"/>
        <v>平面位置/可视性</v>
      </c>
      <c r="R26" s="711" t="s">
        <v>17</v>
      </c>
      <c r="S26" s="712">
        <f>F26</f>
        <v>100</v>
      </c>
      <c r="T26" s="711" t="s">
        <v>17</v>
      </c>
      <c r="U26" s="712">
        <f>H26</f>
        <v>100</v>
      </c>
      <c r="V26" s="711" t="s">
        <v>17</v>
      </c>
      <c r="W26" s="712">
        <f>J26</f>
        <v>100</v>
      </c>
      <c r="X26" s="1504"/>
      <c r="Y26" s="3762"/>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769"/>
      <c r="Q27" s="1492" t="str">
        <f t="shared" si="11"/>
        <v>人流量</v>
      </c>
      <c r="R27" s="707" t="s">
        <v>17</v>
      </c>
      <c r="S27" s="708">
        <f>F27</f>
        <v>100</v>
      </c>
      <c r="T27" s="707" t="s">
        <v>17</v>
      </c>
      <c r="U27" s="708">
        <f>H27</f>
        <v>100</v>
      </c>
      <c r="V27" s="707" t="s">
        <v>17</v>
      </c>
      <c r="W27" s="708">
        <f>J27</f>
        <v>100</v>
      </c>
      <c r="X27" s="709"/>
      <c r="Y27" s="3762"/>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769"/>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762"/>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769"/>
      <c r="Q29" s="1501">
        <f t="shared" si="11"/>
        <v>111</v>
      </c>
      <c r="R29" s="711" t="s">
        <v>17</v>
      </c>
      <c r="S29" s="712">
        <f t="shared" si="12"/>
        <v>100</v>
      </c>
      <c r="T29" s="711" t="s">
        <v>17</v>
      </c>
      <c r="U29" s="712">
        <f t="shared" si="13"/>
        <v>100</v>
      </c>
      <c r="V29" s="711" t="s">
        <v>17</v>
      </c>
      <c r="W29" s="712">
        <f t="shared" si="14"/>
        <v>100</v>
      </c>
      <c r="X29" s="1504"/>
      <c r="Y29" s="3762"/>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769"/>
      <c r="Q30" s="1501">
        <f t="shared" si="11"/>
        <v>111</v>
      </c>
      <c r="R30" s="711" t="s">
        <v>17</v>
      </c>
      <c r="S30" s="712">
        <f t="shared" si="12"/>
        <v>100</v>
      </c>
      <c r="T30" s="711" t="s">
        <v>17</v>
      </c>
      <c r="U30" s="712">
        <f t="shared" si="13"/>
        <v>100</v>
      </c>
      <c r="V30" s="711" t="s">
        <v>17</v>
      </c>
      <c r="W30" s="712">
        <f t="shared" si="14"/>
        <v>100</v>
      </c>
      <c r="X30" s="1504"/>
      <c r="Y30" s="3762"/>
      <c r="Z30" s="1505">
        <f t="shared" si="15"/>
        <v>111</v>
      </c>
      <c r="AA30" s="1502">
        <f t="shared" si="3"/>
        <v>1</v>
      </c>
      <c r="AB30" s="1502">
        <f t="shared" si="4"/>
        <v>1</v>
      </c>
      <c r="AC30" s="1502">
        <f t="shared" si="5"/>
        <v>1</v>
      </c>
    </row>
    <row r="31" spans="1:29" ht="15.6"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769"/>
      <c r="Q31" s="1501">
        <f t="shared" si="11"/>
        <v>111</v>
      </c>
      <c r="R31" s="711" t="s">
        <v>17</v>
      </c>
      <c r="S31" s="712">
        <f t="shared" si="12"/>
        <v>100</v>
      </c>
      <c r="T31" s="711" t="s">
        <v>17</v>
      </c>
      <c r="U31" s="712">
        <f t="shared" si="13"/>
        <v>100</v>
      </c>
      <c r="V31" s="711" t="s">
        <v>17</v>
      </c>
      <c r="W31" s="712">
        <f t="shared" si="14"/>
        <v>100</v>
      </c>
      <c r="X31" s="1504"/>
      <c r="Y31" s="3762"/>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763" t="s">
        <v>2326</v>
      </c>
      <c r="Q32" s="1501" t="str">
        <f t="shared" si="11"/>
        <v>商业类型</v>
      </c>
      <c r="R32" s="711" t="s">
        <v>17</v>
      </c>
      <c r="S32" s="712">
        <f t="shared" si="12"/>
        <v>100</v>
      </c>
      <c r="T32" s="711" t="s">
        <v>17</v>
      </c>
      <c r="U32" s="712">
        <f t="shared" si="13"/>
        <v>100</v>
      </c>
      <c r="V32" s="711" t="s">
        <v>17</v>
      </c>
      <c r="W32" s="712">
        <f t="shared" si="14"/>
        <v>100</v>
      </c>
      <c r="X32" s="1504"/>
      <c r="Y32" s="3766"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764"/>
      <c r="Q33" s="713" t="str">
        <f t="shared" si="11"/>
        <v>项目建筑规模</v>
      </c>
      <c r="R33" s="714" t="s">
        <v>17</v>
      </c>
      <c r="S33" s="715" t="e">
        <f t="shared" si="12"/>
        <v>#N/A</v>
      </c>
      <c r="T33" s="714" t="s">
        <v>17</v>
      </c>
      <c r="U33" s="715" t="e">
        <f t="shared" si="13"/>
        <v>#N/A</v>
      </c>
      <c r="V33" s="714" t="s">
        <v>17</v>
      </c>
      <c r="W33" s="715" t="e">
        <f t="shared" si="14"/>
        <v>#N/A</v>
      </c>
      <c r="X33" s="716"/>
      <c r="Y33" s="3766"/>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764"/>
      <c r="Q34" s="1501" t="str">
        <f t="shared" si="11"/>
        <v>建筑结构</v>
      </c>
      <c r="R34" s="711" t="s">
        <v>17</v>
      </c>
      <c r="S34" s="712">
        <f t="shared" si="12"/>
        <v>100</v>
      </c>
      <c r="T34" s="711" t="s">
        <v>17</v>
      </c>
      <c r="U34" s="712">
        <f t="shared" si="13"/>
        <v>100</v>
      </c>
      <c r="V34" s="711" t="s">
        <v>17</v>
      </c>
      <c r="W34" s="712">
        <f t="shared" si="14"/>
        <v>100</v>
      </c>
      <c r="X34" s="1504"/>
      <c r="Y34" s="3766"/>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764"/>
      <c r="Q35" s="1501" t="str">
        <f t="shared" si="11"/>
        <v>公共部分装修</v>
      </c>
      <c r="R35" s="711" t="s">
        <v>17</v>
      </c>
      <c r="S35" s="712">
        <f t="shared" si="12"/>
        <v>100</v>
      </c>
      <c r="T35" s="711" t="s">
        <v>17</v>
      </c>
      <c r="U35" s="712">
        <f t="shared" si="13"/>
        <v>100</v>
      </c>
      <c r="V35" s="711" t="s">
        <v>17</v>
      </c>
      <c r="W35" s="712">
        <f t="shared" si="14"/>
        <v>100</v>
      </c>
      <c r="X35" s="1504"/>
      <c r="Y35" s="3766"/>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764"/>
      <c r="Q36" s="1501" t="str">
        <f t="shared" si="11"/>
        <v>成新度</v>
      </c>
      <c r="R36" s="711" t="s">
        <v>17</v>
      </c>
      <c r="S36" s="712" t="e">
        <f t="shared" si="12"/>
        <v>#N/A</v>
      </c>
      <c r="T36" s="711" t="s">
        <v>17</v>
      </c>
      <c r="U36" s="712" t="e">
        <f t="shared" si="13"/>
        <v>#N/A</v>
      </c>
      <c r="V36" s="711" t="s">
        <v>17</v>
      </c>
      <c r="W36" s="712" t="e">
        <f t="shared" si="14"/>
        <v>#N/A</v>
      </c>
      <c r="X36" s="1504"/>
      <c r="Y36" s="3766"/>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764"/>
      <c r="Q37" s="1492" t="str">
        <f t="shared" si="11"/>
        <v>市政基础设施</v>
      </c>
      <c r="R37" s="707" t="s">
        <v>17</v>
      </c>
      <c r="S37" s="708">
        <f t="shared" si="12"/>
        <v>100</v>
      </c>
      <c r="T37" s="707" t="s">
        <v>17</v>
      </c>
      <c r="U37" s="708">
        <f t="shared" si="13"/>
        <v>100</v>
      </c>
      <c r="V37" s="707" t="s">
        <v>17</v>
      </c>
      <c r="W37" s="708">
        <f t="shared" si="14"/>
        <v>100</v>
      </c>
      <c r="X37" s="709"/>
      <c r="Y37" s="3766"/>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764" t="s">
        <v>2326</v>
      </c>
      <c r="Q38" s="1501" t="str">
        <f t="shared" si="11"/>
        <v>业态</v>
      </c>
      <c r="R38" s="711" t="s">
        <v>17</v>
      </c>
      <c r="S38" s="712">
        <f t="shared" si="12"/>
        <v>100</v>
      </c>
      <c r="T38" s="711" t="s">
        <v>17</v>
      </c>
      <c r="U38" s="712">
        <f t="shared" si="13"/>
        <v>100</v>
      </c>
      <c r="V38" s="711" t="s">
        <v>17</v>
      </c>
      <c r="W38" s="712">
        <f t="shared" si="14"/>
        <v>100</v>
      </c>
      <c r="X38" s="1504"/>
      <c r="Y38" s="3766"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764"/>
      <c r="Q39" s="1501" t="str">
        <f t="shared" si="11"/>
        <v>层高</v>
      </c>
      <c r="R39" s="711" t="s">
        <v>17</v>
      </c>
      <c r="S39" s="712">
        <f t="shared" si="12"/>
        <v>100</v>
      </c>
      <c r="T39" s="711" t="s">
        <v>17</v>
      </c>
      <c r="U39" s="712">
        <f t="shared" si="13"/>
        <v>100</v>
      </c>
      <c r="V39" s="711" t="s">
        <v>17</v>
      </c>
      <c r="W39" s="712">
        <f t="shared" si="14"/>
        <v>100</v>
      </c>
      <c r="X39" s="1504"/>
      <c r="Y39" s="3766"/>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764"/>
      <c r="Q40" s="1501" t="str">
        <f t="shared" si="11"/>
        <v>单套建筑面积</v>
      </c>
      <c r="R40" s="711" t="s">
        <v>17</v>
      </c>
      <c r="S40" s="712">
        <f t="shared" si="12"/>
        <v>100</v>
      </c>
      <c r="T40" s="711" t="s">
        <v>17</v>
      </c>
      <c r="U40" s="712">
        <f t="shared" si="13"/>
        <v>100</v>
      </c>
      <c r="V40" s="711" t="s">
        <v>17</v>
      </c>
      <c r="W40" s="712">
        <f t="shared" si="14"/>
        <v>100</v>
      </c>
      <c r="X40" s="1504"/>
      <c r="Y40" s="3766"/>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764"/>
      <c r="Q41" s="713" t="str">
        <f t="shared" si="11"/>
        <v>进深比</v>
      </c>
      <c r="R41" s="714" t="s">
        <v>17</v>
      </c>
      <c r="S41" s="715">
        <f t="shared" si="12"/>
        <v>100</v>
      </c>
      <c r="T41" s="714" t="s">
        <v>17</v>
      </c>
      <c r="U41" s="715">
        <f t="shared" si="13"/>
        <v>100</v>
      </c>
      <c r="V41" s="714" t="s">
        <v>17</v>
      </c>
      <c r="W41" s="715">
        <f t="shared" si="14"/>
        <v>100</v>
      </c>
      <c r="X41" s="716"/>
      <c r="Y41" s="3766"/>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764"/>
      <c r="Q42" s="1501" t="str">
        <f t="shared" si="11"/>
        <v>内部装修</v>
      </c>
      <c r="R42" s="711" t="s">
        <v>17</v>
      </c>
      <c r="S42" s="712">
        <f t="shared" si="12"/>
        <v>100</v>
      </c>
      <c r="T42" s="711" t="s">
        <v>17</v>
      </c>
      <c r="U42" s="712">
        <f t="shared" si="13"/>
        <v>100</v>
      </c>
      <c r="V42" s="711" t="s">
        <v>17</v>
      </c>
      <c r="W42" s="712">
        <f t="shared" si="14"/>
        <v>100</v>
      </c>
      <c r="X42" s="1504"/>
      <c r="Y42" s="3766"/>
      <c r="Z42" s="1505" t="str">
        <f t="shared" si="15"/>
        <v>内部装修</v>
      </c>
      <c r="AA42" s="1502">
        <f t="shared" si="3"/>
        <v>1</v>
      </c>
      <c r="AB42" s="1502">
        <f t="shared" si="4"/>
        <v>1</v>
      </c>
      <c r="AC42" s="1502">
        <f t="shared" si="5"/>
        <v>1</v>
      </c>
    </row>
    <row r="43" spans="1:29" ht="28.8">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764"/>
      <c r="Q43" s="1501" t="str">
        <f t="shared" si="11"/>
        <v>内部装修维护情况</v>
      </c>
      <c r="R43" s="711" t="s">
        <v>17</v>
      </c>
      <c r="S43" s="712">
        <f t="shared" si="12"/>
        <v>100</v>
      </c>
      <c r="T43" s="711" t="s">
        <v>17</v>
      </c>
      <c r="U43" s="712">
        <f t="shared" si="13"/>
        <v>100</v>
      </c>
      <c r="V43" s="711" t="s">
        <v>17</v>
      </c>
      <c r="W43" s="712">
        <f t="shared" si="14"/>
        <v>100</v>
      </c>
      <c r="X43" s="1504"/>
      <c r="Y43" s="3766"/>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764"/>
      <c r="Q44" s="1492">
        <f t="shared" si="11"/>
        <v>111</v>
      </c>
      <c r="R44" s="707" t="s">
        <v>17</v>
      </c>
      <c r="S44" s="708">
        <f t="shared" si="12"/>
        <v>100</v>
      </c>
      <c r="T44" s="707" t="s">
        <v>17</v>
      </c>
      <c r="U44" s="708">
        <f t="shared" si="13"/>
        <v>100</v>
      </c>
      <c r="V44" s="707" t="s">
        <v>17</v>
      </c>
      <c r="W44" s="708">
        <f t="shared" si="14"/>
        <v>100</v>
      </c>
      <c r="X44" s="709"/>
      <c r="Y44" s="3766"/>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764"/>
      <c r="Q45" s="1501">
        <f t="shared" si="11"/>
        <v>111</v>
      </c>
      <c r="R45" s="711" t="s">
        <v>17</v>
      </c>
      <c r="S45" s="712">
        <f t="shared" si="12"/>
        <v>100</v>
      </c>
      <c r="T45" s="711" t="s">
        <v>17</v>
      </c>
      <c r="U45" s="712">
        <f t="shared" si="13"/>
        <v>100</v>
      </c>
      <c r="V45" s="711" t="s">
        <v>17</v>
      </c>
      <c r="W45" s="712">
        <f t="shared" si="14"/>
        <v>100</v>
      </c>
      <c r="X45" s="1504"/>
      <c r="Y45" s="3766"/>
      <c r="Z45" s="1505">
        <f t="shared" si="15"/>
        <v>111</v>
      </c>
      <c r="AA45" s="1502">
        <f t="shared" si="3"/>
        <v>1</v>
      </c>
      <c r="AB45" s="1502">
        <f t="shared" si="4"/>
        <v>1</v>
      </c>
      <c r="AC45" s="1502">
        <f t="shared" si="5"/>
        <v>1</v>
      </c>
    </row>
    <row r="46" spans="1:29" ht="15.6"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765"/>
      <c r="Q46" s="1501">
        <f t="shared" si="11"/>
        <v>111</v>
      </c>
      <c r="R46" s="711" t="s">
        <v>17</v>
      </c>
      <c r="S46" s="712">
        <f t="shared" si="12"/>
        <v>100</v>
      </c>
      <c r="T46" s="711" t="s">
        <v>17</v>
      </c>
      <c r="U46" s="712">
        <f t="shared" si="13"/>
        <v>100</v>
      </c>
      <c r="V46" s="711" t="s">
        <v>17</v>
      </c>
      <c r="W46" s="712">
        <f t="shared" si="14"/>
        <v>100</v>
      </c>
      <c r="X46" s="1504"/>
      <c r="Y46" s="3767"/>
      <c r="Z46" s="1505">
        <f t="shared" si="15"/>
        <v>111</v>
      </c>
      <c r="AA46" s="1502">
        <f t="shared" si="3"/>
        <v>1</v>
      </c>
      <c r="AB46" s="1502">
        <f t="shared" si="4"/>
        <v>1</v>
      </c>
      <c r="AC46" s="1502">
        <f t="shared" si="5"/>
        <v>1</v>
      </c>
    </row>
    <row r="47" spans="1:29" ht="14.4">
      <c r="A47" s="436" t="s">
        <v>2338</v>
      </c>
      <c r="B47" s="437"/>
      <c r="C47" s="1283" t="s">
        <v>1</v>
      </c>
      <c r="D47" s="1284"/>
      <c r="E47" s="1285"/>
      <c r="F47" s="1286"/>
      <c r="G47" s="1287"/>
      <c r="H47" s="1288"/>
      <c r="I47" s="1285"/>
      <c r="J47" s="1288"/>
      <c r="K47" s="720"/>
      <c r="L47" s="2916"/>
      <c r="M47" s="2917"/>
      <c r="N47" s="2908"/>
      <c r="O47" s="2917"/>
      <c r="P47" s="3759" t="str">
        <f>A47</f>
        <v>成交单价（元/平方米）</v>
      </c>
      <c r="Q47" s="3759"/>
      <c r="R47" s="3791">
        <f>E47</f>
        <v>0</v>
      </c>
      <c r="S47" s="3791"/>
      <c r="T47" s="3791">
        <f>G47</f>
        <v>0</v>
      </c>
      <c r="U47" s="3791"/>
      <c r="V47" s="3791">
        <f>I47</f>
        <v>0</v>
      </c>
      <c r="W47" s="3791"/>
      <c r="X47" s="696"/>
      <c r="Y47" s="718"/>
      <c r="Z47" s="696"/>
      <c r="AA47" s="696"/>
      <c r="AB47" s="696"/>
      <c r="AC47" s="696"/>
    </row>
    <row r="48" spans="1:29" ht="1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6"/>
      <c r="Y48" s="696"/>
      <c r="Z48" s="696"/>
      <c r="AA48" s="696"/>
      <c r="AB48" s="696"/>
      <c r="AC48" s="696"/>
    </row>
    <row r="49" spans="1:29" ht="15" thickBot="1">
      <c r="A49" s="447" t="s">
        <v>2431</v>
      </c>
      <c r="B49" s="448"/>
      <c r="C49" s="1292" t="e">
        <f>R49</f>
        <v>#DIV/0!</v>
      </c>
      <c r="D49" s="1292"/>
      <c r="E49" s="1292"/>
      <c r="F49" s="1292"/>
      <c r="G49" s="1292"/>
      <c r="H49" s="1292"/>
      <c r="I49" s="1292"/>
      <c r="J49" s="1292"/>
      <c r="K49" s="721"/>
      <c r="L49" s="2916"/>
      <c r="M49" s="2917"/>
      <c r="N49" s="2908"/>
      <c r="O49" s="2917"/>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2.2"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4.4">
      <c r="A58" s="460" t="s">
        <v>2309</v>
      </c>
      <c r="B58" s="461"/>
      <c r="C58" s="1313" t="str">
        <f>YEAR(C7)&amp;"-"&amp;MONTH(C7)</f>
        <v>2018-6</v>
      </c>
      <c r="D58" s="1314">
        <f>EDATE(C58,-1)</f>
        <v>43221</v>
      </c>
      <c r="E58" s="1314">
        <f t="shared" ref="E58:N58" si="16">EDATE(D58,-1)</f>
        <v>43191</v>
      </c>
      <c r="F58" s="1314">
        <f t="shared" si="16"/>
        <v>43160</v>
      </c>
      <c r="G58" s="1314">
        <f t="shared" si="16"/>
        <v>43132</v>
      </c>
      <c r="H58" s="1314">
        <f t="shared" si="16"/>
        <v>43101</v>
      </c>
      <c r="I58" s="1314">
        <f t="shared" si="16"/>
        <v>43070</v>
      </c>
      <c r="J58" s="1314">
        <f t="shared" si="16"/>
        <v>43040</v>
      </c>
      <c r="K58" s="1314">
        <f t="shared" si="16"/>
        <v>43009</v>
      </c>
      <c r="L58" s="1314">
        <f t="shared" si="16"/>
        <v>42979</v>
      </c>
      <c r="M58" s="1314">
        <f t="shared" si="16"/>
        <v>42948</v>
      </c>
      <c r="N58" s="1314">
        <f t="shared" si="16"/>
        <v>42917</v>
      </c>
      <c r="O58" s="1314">
        <f>EDATE(N58,-1)</f>
        <v>42887</v>
      </c>
      <c r="P58" s="2932"/>
      <c r="Q58" s="2933"/>
      <c r="R58" s="2933"/>
      <c r="S58" s="2933"/>
      <c r="T58" s="2933"/>
      <c r="U58" s="2933"/>
      <c r="V58" s="2933"/>
      <c r="W58" s="2933"/>
      <c r="X58" s="2933"/>
      <c r="Y58" s="2933"/>
      <c r="Z58" s="2933"/>
      <c r="AA58" s="2933"/>
      <c r="AB58" s="2933"/>
      <c r="AC58" s="2933"/>
    </row>
    <row r="59" spans="1:29" s="111" customFormat="1">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4.4">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4.4"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ht="14.4">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4.4"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9.4"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4.4"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4.4"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4.4"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4.4"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4.4"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4.4"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4.4"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4.4"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ht="14.4">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4.4"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4.4"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4.4"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4.4"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4.4"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4.4"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4.4"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4.4"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4.4"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4.4"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4.4"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4.4"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4.4"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4.4"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4.4"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4.4"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4.4"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4.4"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ht="14.4">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4.4"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4.4"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4.4"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4.4"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4.4"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4.4"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4.4"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4.4"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4.4"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4.4"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29.4"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4.4"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4.4"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4.4"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4.4"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4.4"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4.4"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1" customWidth="1"/>
    <col min="2" max="2" width="15.77734375" style="361" customWidth="1"/>
    <col min="3" max="3" width="15.66406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50449</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4.4">
      <c r="A4" s="359" t="s">
        <v>2406</v>
      </c>
      <c r="B4" s="360"/>
      <c r="C4" s="3775" t="s">
        <v>2407</v>
      </c>
      <c r="D4" s="3776"/>
      <c r="E4" s="3777" t="s">
        <v>2408</v>
      </c>
      <c r="F4" s="3778"/>
      <c r="G4" s="3775" t="s">
        <v>2409</v>
      </c>
      <c r="H4" s="3776"/>
      <c r="I4" s="3775" t="s">
        <v>2410</v>
      </c>
      <c r="J4" s="3776"/>
      <c r="K4" s="565" t="s">
        <v>2411</v>
      </c>
      <c r="L4" s="2907"/>
      <c r="M4" s="2908"/>
      <c r="N4" s="2908"/>
      <c r="O4" s="2908"/>
      <c r="P4" s="3809" t="s">
        <v>2412</v>
      </c>
      <c r="Q4" s="3810"/>
      <c r="R4" s="3813" t="s">
        <v>2408</v>
      </c>
      <c r="S4" s="3814"/>
      <c r="T4" s="3813" t="s">
        <v>2409</v>
      </c>
      <c r="U4" s="3814"/>
      <c r="V4" s="3815" t="s">
        <v>2410</v>
      </c>
      <c r="W4" s="3815"/>
      <c r="X4" s="2109"/>
      <c r="Y4" s="3813" t="s">
        <v>2412</v>
      </c>
      <c r="Z4" s="3814"/>
      <c r="AA4" s="3817" t="s">
        <v>2408</v>
      </c>
      <c r="AB4" s="3817" t="s">
        <v>2409</v>
      </c>
      <c r="AC4" s="3806" t="s">
        <v>2410</v>
      </c>
    </row>
    <row r="5" spans="1:29">
      <c r="A5" s="362"/>
      <c r="B5" s="363"/>
      <c r="C5" s="3794" t="s">
        <v>2303</v>
      </c>
      <c r="D5" s="3795"/>
      <c r="E5" s="3801" t="s">
        <v>2304</v>
      </c>
      <c r="F5" s="3802"/>
      <c r="G5" s="3794" t="s">
        <v>2305</v>
      </c>
      <c r="H5" s="3795"/>
      <c r="I5" s="3794" t="s">
        <v>2306</v>
      </c>
      <c r="J5" s="3795"/>
      <c r="K5" s="565"/>
      <c r="L5" s="2907"/>
      <c r="M5" s="2908"/>
      <c r="N5" s="2908"/>
      <c r="O5" s="2908"/>
      <c r="P5" s="3811"/>
      <c r="Q5" s="3782"/>
      <c r="R5" s="3787"/>
      <c r="S5" s="3788"/>
      <c r="T5" s="3787"/>
      <c r="U5" s="3788"/>
      <c r="V5" s="3791"/>
      <c r="W5" s="3791"/>
      <c r="X5" s="1504"/>
      <c r="Y5" s="3787"/>
      <c r="Z5" s="3788"/>
      <c r="AA5" s="3773"/>
      <c r="AB5" s="3773"/>
      <c r="AC5" s="3807"/>
    </row>
    <row r="6" spans="1:29" ht="15" thickBot="1">
      <c r="A6" s="364"/>
      <c r="B6" s="365"/>
      <c r="C6" s="3792" t="s">
        <v>2307</v>
      </c>
      <c r="D6" s="3793"/>
      <c r="E6" s="3799" t="s">
        <v>2307</v>
      </c>
      <c r="F6" s="3800"/>
      <c r="G6" s="3792" t="s">
        <v>2307</v>
      </c>
      <c r="H6" s="3793"/>
      <c r="I6" s="3792" t="s">
        <v>2307</v>
      </c>
      <c r="J6" s="3793"/>
      <c r="K6" s="565" t="s">
        <v>2308</v>
      </c>
      <c r="L6" s="2907"/>
      <c r="M6" s="2908"/>
      <c r="N6" s="2908"/>
      <c r="O6" s="2908"/>
      <c r="P6" s="3812"/>
      <c r="Q6" s="3784"/>
      <c r="R6" s="3787"/>
      <c r="S6" s="3788"/>
      <c r="T6" s="3789"/>
      <c r="U6" s="3790"/>
      <c r="V6" s="3791"/>
      <c r="W6" s="3791"/>
      <c r="X6" s="1504"/>
      <c r="Y6" s="3789"/>
      <c r="Z6" s="3790"/>
      <c r="AA6" s="3774"/>
      <c r="AB6" s="3774"/>
      <c r="AC6" s="3808"/>
    </row>
    <row r="7" spans="1:29" s="111" customFormat="1" ht="15" thickBot="1">
      <c r="A7" s="366" t="s">
        <v>2309</v>
      </c>
      <c r="B7" s="367"/>
      <c r="C7" s="368">
        <f>'数据-取费表'!B2</f>
        <v>43252</v>
      </c>
      <c r="D7" s="369">
        <v>100</v>
      </c>
      <c r="E7" s="370"/>
      <c r="F7" s="371">
        <f>SUMIF(59:59,YEAR(E7)&amp;"-"&amp;MONTH(E7),60:60)</f>
        <v>0</v>
      </c>
      <c r="G7" s="370"/>
      <c r="H7" s="369">
        <f>SUMIF(59:59,YEAR(G7)&amp;"-"&amp;MONTH(G7),60:60)</f>
        <v>0</v>
      </c>
      <c r="I7" s="370"/>
      <c r="J7" s="369">
        <f>SUMIF(59:59,YEAR(I7)&amp;"-"&amp;MONTH(I7),60:60)</f>
        <v>0</v>
      </c>
      <c r="K7" s="566"/>
      <c r="L7" s="2909"/>
      <c r="M7" s="2910"/>
      <c r="N7" s="2910"/>
      <c r="O7" s="2910"/>
      <c r="P7" s="3816" t="s">
        <v>2310</v>
      </c>
      <c r="Q7" s="3798"/>
      <c r="R7" s="707" t="s">
        <v>17</v>
      </c>
      <c r="S7" s="708">
        <f t="shared" ref="S7:S15" si="0">F7</f>
        <v>0</v>
      </c>
      <c r="T7" s="707" t="s">
        <v>17</v>
      </c>
      <c r="U7" s="708">
        <f t="shared" ref="U7:U15" si="1">H7</f>
        <v>0</v>
      </c>
      <c r="V7" s="707" t="s">
        <v>17</v>
      </c>
      <c r="W7" s="708">
        <f t="shared" ref="W7:W15" si="2">J7</f>
        <v>0</v>
      </c>
      <c r="X7" s="709"/>
      <c r="Y7" s="3796" t="s">
        <v>2310</v>
      </c>
      <c r="Z7" s="3797"/>
      <c r="AA7" s="710" t="e">
        <f>D7/F7</f>
        <v>#DIV/0!</v>
      </c>
      <c r="AB7" s="710" t="e">
        <f>D7/H7</f>
        <v>#DIV/0!</v>
      </c>
      <c r="AC7" s="2110" t="e">
        <f>D7/J7</f>
        <v>#DIV/0!</v>
      </c>
    </row>
    <row r="8" spans="1:29" s="111" customFormat="1" ht="1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816" t="s">
        <v>2313</v>
      </c>
      <c r="Q8" s="3797"/>
      <c r="R8" s="707" t="s">
        <v>17</v>
      </c>
      <c r="S8" s="708">
        <f t="shared" si="0"/>
        <v>0</v>
      </c>
      <c r="T8" s="707" t="s">
        <v>17</v>
      </c>
      <c r="U8" s="708">
        <f t="shared" si="1"/>
        <v>0</v>
      </c>
      <c r="V8" s="707" t="s">
        <v>17</v>
      </c>
      <c r="W8" s="708">
        <f t="shared" si="2"/>
        <v>0</v>
      </c>
      <c r="X8" s="709"/>
      <c r="Y8" s="3796" t="s">
        <v>2313</v>
      </c>
      <c r="Z8" s="3797"/>
      <c r="AA8" s="710" t="e">
        <f t="shared" ref="AA8:AA47" si="3">D8/F8</f>
        <v>#DIV/0!</v>
      </c>
      <c r="AB8" s="710" t="e">
        <f t="shared" ref="AB8:AB47" si="4">D8/H8</f>
        <v>#DIV/0!</v>
      </c>
      <c r="AC8" s="2110" t="e">
        <f t="shared" ref="AC8:AC47" si="5">D8/J8</f>
        <v>#DIV/0!</v>
      </c>
    </row>
    <row r="9" spans="1:29" s="111" customFormat="1" ht="14.4">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770" t="s">
        <v>2316</v>
      </c>
      <c r="Q9" s="1492" t="str">
        <f t="shared" ref="Q9:Q15" si="6">B9</f>
        <v>用途</v>
      </c>
      <c r="R9" s="707" t="s">
        <v>17</v>
      </c>
      <c r="S9" s="708">
        <f t="shared" si="0"/>
        <v>100</v>
      </c>
      <c r="T9" s="707" t="s">
        <v>17</v>
      </c>
      <c r="U9" s="708">
        <f t="shared" si="1"/>
        <v>100</v>
      </c>
      <c r="V9" s="707" t="s">
        <v>17</v>
      </c>
      <c r="W9" s="708">
        <f t="shared" si="2"/>
        <v>100</v>
      </c>
      <c r="X9" s="709"/>
      <c r="Y9" s="3771" t="s">
        <v>2317</v>
      </c>
      <c r="Z9" s="55" t="str">
        <f t="shared" ref="Z9:Z15" si="7">Q9</f>
        <v>用途</v>
      </c>
      <c r="AA9" s="710">
        <f t="shared" si="3"/>
        <v>1</v>
      </c>
      <c r="AB9" s="710">
        <f t="shared" si="4"/>
        <v>1</v>
      </c>
      <c r="AC9" s="2110">
        <f t="shared" si="5"/>
        <v>1</v>
      </c>
    </row>
    <row r="10" spans="1:29" s="384" customFormat="1" ht="28.8">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770"/>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770"/>
      <c r="Q11" s="1492" t="str">
        <f t="shared" si="6"/>
        <v>容积率</v>
      </c>
      <c r="R11" s="707" t="s">
        <v>17</v>
      </c>
      <c r="S11" s="708" t="e">
        <f t="shared" si="0"/>
        <v>#N/A</v>
      </c>
      <c r="T11" s="707" t="s">
        <v>17</v>
      </c>
      <c r="U11" s="708" t="e">
        <f t="shared" si="1"/>
        <v>#N/A</v>
      </c>
      <c r="V11" s="707" t="s">
        <v>17</v>
      </c>
      <c r="W11" s="708" t="e">
        <f t="shared" si="2"/>
        <v>#N/A</v>
      </c>
      <c r="X11" s="709"/>
      <c r="Y11" s="3771"/>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770"/>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770"/>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2110">
        <f t="shared" si="5"/>
        <v>1</v>
      </c>
    </row>
    <row r="14" spans="1:29" ht="15.6"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770"/>
      <c r="Q14" s="1492">
        <f t="shared" si="6"/>
        <v>111</v>
      </c>
      <c r="R14" s="707" t="s">
        <v>17</v>
      </c>
      <c r="S14" s="708">
        <f t="shared" si="0"/>
        <v>100</v>
      </c>
      <c r="T14" s="707" t="s">
        <v>17</v>
      </c>
      <c r="U14" s="708">
        <f t="shared" si="1"/>
        <v>100</v>
      </c>
      <c r="V14" s="707" t="s">
        <v>17</v>
      </c>
      <c r="W14" s="708">
        <f t="shared" si="2"/>
        <v>100</v>
      </c>
      <c r="X14" s="709"/>
      <c r="Y14" s="3771"/>
      <c r="Z14" s="55">
        <f t="shared" si="7"/>
        <v>111</v>
      </c>
      <c r="AA14" s="710">
        <f t="shared" si="3"/>
        <v>1</v>
      </c>
      <c r="AB14" s="710">
        <f t="shared" si="4"/>
        <v>1</v>
      </c>
      <c r="AC14" s="2110">
        <f t="shared" si="5"/>
        <v>1</v>
      </c>
    </row>
    <row r="15" spans="1:29" ht="69">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768" t="s">
        <v>2321</v>
      </c>
      <c r="Q15" s="1501" t="str">
        <f t="shared" si="6"/>
        <v>办公集聚程度</v>
      </c>
      <c r="R15" s="711" t="s">
        <v>17</v>
      </c>
      <c r="S15" s="712">
        <f t="shared" si="0"/>
        <v>100</v>
      </c>
      <c r="T15" s="711" t="s">
        <v>17</v>
      </c>
      <c r="U15" s="712">
        <f t="shared" si="1"/>
        <v>100</v>
      </c>
      <c r="V15" s="711" t="s">
        <v>17</v>
      </c>
      <c r="W15" s="712">
        <f t="shared" si="2"/>
        <v>100</v>
      </c>
      <c r="X15" s="1504"/>
      <c r="Y15" s="3761"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769"/>
      <c r="Q16" s="1501"/>
      <c r="R16" s="711"/>
      <c r="S16" s="712"/>
      <c r="T16" s="711"/>
      <c r="U16" s="712"/>
      <c r="V16" s="711"/>
      <c r="W16" s="712"/>
      <c r="X16" s="1504"/>
      <c r="Y16" s="3762"/>
      <c r="Z16" s="1505"/>
      <c r="AA16" s="1502">
        <v>1</v>
      </c>
      <c r="AB16" s="1502">
        <v>1</v>
      </c>
      <c r="AC16" s="2113">
        <v>1</v>
      </c>
    </row>
    <row r="17" spans="1:29" ht="82.8">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769"/>
      <c r="Q17" s="1501" t="str">
        <f>B17</f>
        <v>交通便捷度</v>
      </c>
      <c r="R17" s="711" t="s">
        <v>17</v>
      </c>
      <c r="S17" s="712">
        <f>F17</f>
        <v>100</v>
      </c>
      <c r="T17" s="711" t="s">
        <v>17</v>
      </c>
      <c r="U17" s="712">
        <f>H17</f>
        <v>100</v>
      </c>
      <c r="V17" s="711" t="s">
        <v>17</v>
      </c>
      <c r="W17" s="712">
        <f>J17</f>
        <v>100</v>
      </c>
      <c r="X17" s="1504"/>
      <c r="Y17" s="3762"/>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769"/>
      <c r="Q18" s="1501"/>
      <c r="R18" s="711"/>
      <c r="S18" s="712"/>
      <c r="T18" s="711"/>
      <c r="U18" s="712"/>
      <c r="V18" s="711"/>
      <c r="W18" s="712"/>
      <c r="X18" s="1504"/>
      <c r="Y18" s="3762"/>
      <c r="Z18" s="1505"/>
      <c r="AA18" s="1502">
        <v>1</v>
      </c>
      <c r="AB18" s="1502">
        <v>1</v>
      </c>
      <c r="AC18" s="2113">
        <v>1</v>
      </c>
    </row>
    <row r="19" spans="1:29" ht="41.4">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769"/>
      <c r="Q19" s="1501" t="str">
        <f>B19</f>
        <v>公共配套设施</v>
      </c>
      <c r="R19" s="711" t="s">
        <v>17</v>
      </c>
      <c r="S19" s="712">
        <f>F19</f>
        <v>100</v>
      </c>
      <c r="T19" s="711" t="s">
        <v>17</v>
      </c>
      <c r="U19" s="712">
        <f>H19</f>
        <v>100</v>
      </c>
      <c r="V19" s="711" t="s">
        <v>17</v>
      </c>
      <c r="W19" s="712">
        <f>J19</f>
        <v>100</v>
      </c>
      <c r="X19" s="1504"/>
      <c r="Y19" s="3762"/>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769"/>
      <c r="Q20" s="1501"/>
      <c r="R20" s="711"/>
      <c r="S20" s="712"/>
      <c r="T20" s="711"/>
      <c r="U20" s="712"/>
      <c r="V20" s="711"/>
      <c r="W20" s="712"/>
      <c r="X20" s="1504"/>
      <c r="Y20" s="3762"/>
      <c r="Z20" s="1505"/>
      <c r="AA20" s="1502">
        <v>1</v>
      </c>
      <c r="AB20" s="1502">
        <v>1</v>
      </c>
      <c r="AC20" s="2113">
        <v>1</v>
      </c>
    </row>
    <row r="21" spans="1:29" ht="27.6">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769"/>
      <c r="Q21" s="1501" t="str">
        <f>B21</f>
        <v>基础设施水平</v>
      </c>
      <c r="R21" s="711" t="s">
        <v>17</v>
      </c>
      <c r="S21" s="712">
        <f>F21</f>
        <v>100</v>
      </c>
      <c r="T21" s="711" t="s">
        <v>17</v>
      </c>
      <c r="U21" s="712">
        <f>H21</f>
        <v>100</v>
      </c>
      <c r="V21" s="711" t="s">
        <v>17</v>
      </c>
      <c r="W21" s="712">
        <f>J21</f>
        <v>100</v>
      </c>
      <c r="X21" s="1504"/>
      <c r="Y21" s="3762"/>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769"/>
      <c r="Q22" s="1501"/>
      <c r="R22" s="711"/>
      <c r="S22" s="712"/>
      <c r="T22" s="711"/>
      <c r="U22" s="712"/>
      <c r="V22" s="711"/>
      <c r="W22" s="712"/>
      <c r="X22" s="1504"/>
      <c r="Y22" s="3762"/>
      <c r="Z22" s="1505"/>
      <c r="AA22" s="1502">
        <v>1</v>
      </c>
      <c r="AB22" s="1502">
        <v>1</v>
      </c>
      <c r="AC22" s="2113">
        <v>1</v>
      </c>
    </row>
    <row r="23" spans="1:29" ht="55.2">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769"/>
      <c r="Q23" s="1501" t="str">
        <f>B23</f>
        <v>环境质量</v>
      </c>
      <c r="R23" s="711" t="s">
        <v>17</v>
      </c>
      <c r="S23" s="712">
        <f>F23</f>
        <v>100</v>
      </c>
      <c r="T23" s="711" t="s">
        <v>17</v>
      </c>
      <c r="U23" s="712">
        <f>H23</f>
        <v>100</v>
      </c>
      <c r="V23" s="711" t="s">
        <v>17</v>
      </c>
      <c r="W23" s="712">
        <f>J23</f>
        <v>100</v>
      </c>
      <c r="X23" s="1504"/>
      <c r="Y23" s="3762"/>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769"/>
      <c r="Q24" s="1501"/>
      <c r="R24" s="711"/>
      <c r="S24" s="712"/>
      <c r="T24" s="711"/>
      <c r="U24" s="712"/>
      <c r="V24" s="711"/>
      <c r="W24" s="712"/>
      <c r="X24" s="1504"/>
      <c r="Y24" s="3762"/>
      <c r="Z24" s="1505"/>
      <c r="AA24" s="1502">
        <v>1</v>
      </c>
      <c r="AB24" s="1502">
        <v>1</v>
      </c>
      <c r="AC24" s="2113">
        <v>1</v>
      </c>
    </row>
    <row r="25" spans="1:29" ht="28.8">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769"/>
      <c r="Q25" s="1501" t="str">
        <f>B25</f>
        <v>毗邻道路的类型与等级</v>
      </c>
      <c r="R25" s="711" t="s">
        <v>17</v>
      </c>
      <c r="S25" s="712">
        <f>F25</f>
        <v>100</v>
      </c>
      <c r="T25" s="711" t="s">
        <v>17</v>
      </c>
      <c r="U25" s="712">
        <f>H25</f>
        <v>100</v>
      </c>
      <c r="V25" s="711" t="s">
        <v>17</v>
      </c>
      <c r="W25" s="712">
        <f>J25</f>
        <v>100</v>
      </c>
      <c r="X25" s="1504"/>
      <c r="Y25" s="3762"/>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769"/>
      <c r="Q26" s="1501"/>
      <c r="R26" s="711"/>
      <c r="S26" s="712"/>
      <c r="T26" s="711"/>
      <c r="U26" s="712"/>
      <c r="V26" s="711"/>
      <c r="W26" s="712"/>
      <c r="X26" s="1504"/>
      <c r="Y26" s="3762"/>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769"/>
      <c r="Q27" s="1501" t="str">
        <f t="shared" ref="Q27:Q47" si="11">B27</f>
        <v>楼层</v>
      </c>
      <c r="R27" s="711" t="s">
        <v>17</v>
      </c>
      <c r="S27" s="712">
        <f>F27</f>
        <v>100</v>
      </c>
      <c r="T27" s="711" t="s">
        <v>17</v>
      </c>
      <c r="U27" s="712">
        <f>H27</f>
        <v>100</v>
      </c>
      <c r="V27" s="711" t="s">
        <v>17</v>
      </c>
      <c r="W27" s="712">
        <f>J27</f>
        <v>100</v>
      </c>
      <c r="X27" s="1504"/>
      <c r="Y27" s="3762"/>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769"/>
      <c r="Q28" s="1492" t="str">
        <f t="shared" si="11"/>
        <v>朝向</v>
      </c>
      <c r="R28" s="707" t="s">
        <v>17</v>
      </c>
      <c r="S28" s="708">
        <f>F28</f>
        <v>100</v>
      </c>
      <c r="T28" s="707" t="s">
        <v>17</v>
      </c>
      <c r="U28" s="708">
        <f>H28</f>
        <v>100</v>
      </c>
      <c r="V28" s="707" t="s">
        <v>17</v>
      </c>
      <c r="W28" s="708">
        <f>J28</f>
        <v>100</v>
      </c>
      <c r="X28" s="709"/>
      <c r="Y28" s="3762"/>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769"/>
      <c r="Q29" s="1501">
        <f t="shared" si="11"/>
        <v>111</v>
      </c>
      <c r="R29" s="711" t="s">
        <v>17</v>
      </c>
      <c r="S29" s="712">
        <f t="shared" ref="S29:S47" si="12">F29</f>
        <v>100</v>
      </c>
      <c r="T29" s="711" t="s">
        <v>17</v>
      </c>
      <c r="U29" s="712">
        <f t="shared" ref="U29:U47" si="13">H29</f>
        <v>100</v>
      </c>
      <c r="V29" s="711" t="s">
        <v>17</v>
      </c>
      <c r="W29" s="712">
        <f t="shared" ref="W29:W47" si="14">J29</f>
        <v>100</v>
      </c>
      <c r="X29" s="1504"/>
      <c r="Y29" s="3762"/>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769"/>
      <c r="Q30" s="1501">
        <f t="shared" si="11"/>
        <v>111</v>
      </c>
      <c r="R30" s="711" t="s">
        <v>17</v>
      </c>
      <c r="S30" s="712">
        <f t="shared" si="12"/>
        <v>100</v>
      </c>
      <c r="T30" s="711" t="s">
        <v>17</v>
      </c>
      <c r="U30" s="712">
        <f t="shared" si="13"/>
        <v>100</v>
      </c>
      <c r="V30" s="711" t="s">
        <v>17</v>
      </c>
      <c r="W30" s="712">
        <f t="shared" si="14"/>
        <v>100</v>
      </c>
      <c r="X30" s="1504"/>
      <c r="Y30" s="3762"/>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769"/>
      <c r="Q31" s="1501">
        <f t="shared" si="11"/>
        <v>111</v>
      </c>
      <c r="R31" s="711" t="s">
        <v>17</v>
      </c>
      <c r="S31" s="712">
        <f t="shared" si="12"/>
        <v>100</v>
      </c>
      <c r="T31" s="711" t="s">
        <v>17</v>
      </c>
      <c r="U31" s="712">
        <f t="shared" si="13"/>
        <v>100</v>
      </c>
      <c r="V31" s="711" t="s">
        <v>17</v>
      </c>
      <c r="W31" s="712">
        <f t="shared" si="14"/>
        <v>100</v>
      </c>
      <c r="X31" s="1504"/>
      <c r="Y31" s="3762"/>
      <c r="Z31" s="1505">
        <f t="shared" si="15"/>
        <v>111</v>
      </c>
      <c r="AA31" s="1502">
        <f t="shared" si="3"/>
        <v>1</v>
      </c>
      <c r="AB31" s="1502">
        <f t="shared" si="4"/>
        <v>1</v>
      </c>
      <c r="AC31" s="2113">
        <f t="shared" si="5"/>
        <v>1</v>
      </c>
    </row>
    <row r="32" spans="1:29" ht="15.6"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769"/>
      <c r="Q32" s="1501">
        <f t="shared" si="11"/>
        <v>111</v>
      </c>
      <c r="R32" s="711" t="s">
        <v>17</v>
      </c>
      <c r="S32" s="712">
        <f t="shared" si="12"/>
        <v>100</v>
      </c>
      <c r="T32" s="711" t="s">
        <v>17</v>
      </c>
      <c r="U32" s="712">
        <f t="shared" si="13"/>
        <v>100</v>
      </c>
      <c r="V32" s="711" t="s">
        <v>17</v>
      </c>
      <c r="W32" s="712">
        <f t="shared" si="14"/>
        <v>100</v>
      </c>
      <c r="X32" s="1504"/>
      <c r="Y32" s="3762"/>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763" t="s">
        <v>2326</v>
      </c>
      <c r="Q33" s="1501" t="str">
        <f t="shared" si="11"/>
        <v>建筑类型</v>
      </c>
      <c r="R33" s="711" t="s">
        <v>17</v>
      </c>
      <c r="S33" s="712">
        <f t="shared" si="12"/>
        <v>100</v>
      </c>
      <c r="T33" s="711" t="s">
        <v>17</v>
      </c>
      <c r="U33" s="712">
        <f t="shared" si="13"/>
        <v>100</v>
      </c>
      <c r="V33" s="711" t="s">
        <v>17</v>
      </c>
      <c r="W33" s="712">
        <f t="shared" si="14"/>
        <v>100</v>
      </c>
      <c r="X33" s="1504"/>
      <c r="Y33" s="3766"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764"/>
      <c r="Q34" s="713" t="str">
        <f t="shared" si="11"/>
        <v>项目建筑规模</v>
      </c>
      <c r="R34" s="714" t="s">
        <v>17</v>
      </c>
      <c r="S34" s="715" t="e">
        <f t="shared" si="12"/>
        <v>#N/A</v>
      </c>
      <c r="T34" s="714" t="s">
        <v>17</v>
      </c>
      <c r="U34" s="715" t="e">
        <f t="shared" si="13"/>
        <v>#N/A</v>
      </c>
      <c r="V34" s="714" t="s">
        <v>17</v>
      </c>
      <c r="W34" s="715" t="e">
        <f t="shared" si="14"/>
        <v>#N/A</v>
      </c>
      <c r="X34" s="716"/>
      <c r="Y34" s="3766"/>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764"/>
      <c r="Q35" s="1501" t="str">
        <f t="shared" si="11"/>
        <v>建筑结构</v>
      </c>
      <c r="R35" s="711" t="s">
        <v>17</v>
      </c>
      <c r="S35" s="712">
        <f t="shared" si="12"/>
        <v>100</v>
      </c>
      <c r="T35" s="711" t="s">
        <v>17</v>
      </c>
      <c r="U35" s="712">
        <f t="shared" si="13"/>
        <v>100</v>
      </c>
      <c r="V35" s="711" t="s">
        <v>17</v>
      </c>
      <c r="W35" s="712">
        <f t="shared" si="14"/>
        <v>100</v>
      </c>
      <c r="X35" s="1504"/>
      <c r="Y35" s="3766"/>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764"/>
      <c r="Q36" s="1501" t="str">
        <f t="shared" si="11"/>
        <v>公共部分装修</v>
      </c>
      <c r="R36" s="711" t="s">
        <v>17</v>
      </c>
      <c r="S36" s="712">
        <f t="shared" si="12"/>
        <v>100</v>
      </c>
      <c r="T36" s="711" t="s">
        <v>17</v>
      </c>
      <c r="U36" s="712">
        <f t="shared" si="13"/>
        <v>100</v>
      </c>
      <c r="V36" s="711" t="s">
        <v>17</v>
      </c>
      <c r="W36" s="712">
        <f t="shared" si="14"/>
        <v>100</v>
      </c>
      <c r="X36" s="1504"/>
      <c r="Y36" s="3766"/>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764"/>
      <c r="Q37" s="1501" t="str">
        <f t="shared" si="11"/>
        <v>成新度</v>
      </c>
      <c r="R37" s="711" t="s">
        <v>17</v>
      </c>
      <c r="S37" s="712" t="e">
        <f t="shared" si="12"/>
        <v>#N/A</v>
      </c>
      <c r="T37" s="711" t="s">
        <v>17</v>
      </c>
      <c r="U37" s="712" t="e">
        <f t="shared" si="13"/>
        <v>#N/A</v>
      </c>
      <c r="V37" s="711" t="s">
        <v>17</v>
      </c>
      <c r="W37" s="712" t="e">
        <f t="shared" si="14"/>
        <v>#N/A</v>
      </c>
      <c r="X37" s="1504"/>
      <c r="Y37" s="3766"/>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764"/>
      <c r="Q38" s="1492" t="str">
        <f t="shared" si="11"/>
        <v>写字楼等级</v>
      </c>
      <c r="R38" s="707" t="s">
        <v>17</v>
      </c>
      <c r="S38" s="708">
        <f t="shared" si="12"/>
        <v>100</v>
      </c>
      <c r="T38" s="707" t="s">
        <v>17</v>
      </c>
      <c r="U38" s="708">
        <f t="shared" si="13"/>
        <v>100</v>
      </c>
      <c r="V38" s="707" t="s">
        <v>17</v>
      </c>
      <c r="W38" s="708">
        <f t="shared" si="14"/>
        <v>100</v>
      </c>
      <c r="X38" s="709"/>
      <c r="Y38" s="3766"/>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764" t="s">
        <v>2326</v>
      </c>
      <c r="Q39" s="1501" t="str">
        <f t="shared" si="11"/>
        <v>物业管理</v>
      </c>
      <c r="R39" s="711" t="s">
        <v>17</v>
      </c>
      <c r="S39" s="712">
        <f t="shared" si="12"/>
        <v>100</v>
      </c>
      <c r="T39" s="711" t="s">
        <v>17</v>
      </c>
      <c r="U39" s="712">
        <f t="shared" si="13"/>
        <v>100</v>
      </c>
      <c r="V39" s="711" t="s">
        <v>17</v>
      </c>
      <c r="W39" s="712">
        <f t="shared" si="14"/>
        <v>100</v>
      </c>
      <c r="X39" s="1504"/>
      <c r="Y39" s="3766"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764"/>
      <c r="Q40" s="1501" t="str">
        <f t="shared" si="11"/>
        <v>市政基础设施</v>
      </c>
      <c r="R40" s="711" t="s">
        <v>17</v>
      </c>
      <c r="S40" s="712">
        <f t="shared" si="12"/>
        <v>100</v>
      </c>
      <c r="T40" s="711" t="s">
        <v>17</v>
      </c>
      <c r="U40" s="712">
        <f t="shared" si="13"/>
        <v>100</v>
      </c>
      <c r="V40" s="711" t="s">
        <v>17</v>
      </c>
      <c r="W40" s="712">
        <f t="shared" si="14"/>
        <v>100</v>
      </c>
      <c r="X40" s="1504"/>
      <c r="Y40" s="3766"/>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764"/>
      <c r="Q41" s="1501" t="str">
        <f t="shared" si="11"/>
        <v>层高</v>
      </c>
      <c r="R41" s="711" t="s">
        <v>17</v>
      </c>
      <c r="S41" s="712">
        <f t="shared" si="12"/>
        <v>100</v>
      </c>
      <c r="T41" s="711" t="s">
        <v>17</v>
      </c>
      <c r="U41" s="712">
        <f t="shared" si="13"/>
        <v>100</v>
      </c>
      <c r="V41" s="711" t="s">
        <v>17</v>
      </c>
      <c r="W41" s="712">
        <f t="shared" si="14"/>
        <v>100</v>
      </c>
      <c r="X41" s="1504"/>
      <c r="Y41" s="3766"/>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764"/>
      <c r="Q42" s="713" t="str">
        <f t="shared" si="11"/>
        <v>单套建筑面积</v>
      </c>
      <c r="R42" s="714" t="s">
        <v>17</v>
      </c>
      <c r="S42" s="715">
        <f t="shared" si="12"/>
        <v>100</v>
      </c>
      <c r="T42" s="714" t="s">
        <v>17</v>
      </c>
      <c r="U42" s="715">
        <f t="shared" si="13"/>
        <v>100</v>
      </c>
      <c r="V42" s="714" t="s">
        <v>17</v>
      </c>
      <c r="W42" s="715">
        <f t="shared" si="14"/>
        <v>100</v>
      </c>
      <c r="X42" s="716"/>
      <c r="Y42" s="3766"/>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764"/>
      <c r="Q43" s="1501" t="str">
        <f t="shared" si="11"/>
        <v>内部装修</v>
      </c>
      <c r="R43" s="711" t="s">
        <v>17</v>
      </c>
      <c r="S43" s="712">
        <f t="shared" si="12"/>
        <v>100</v>
      </c>
      <c r="T43" s="711" t="s">
        <v>17</v>
      </c>
      <c r="U43" s="712">
        <f t="shared" si="13"/>
        <v>100</v>
      </c>
      <c r="V43" s="711" t="s">
        <v>17</v>
      </c>
      <c r="W43" s="712">
        <f t="shared" si="14"/>
        <v>100</v>
      </c>
      <c r="X43" s="1504"/>
      <c r="Y43" s="3766"/>
      <c r="Z43" s="1505" t="str">
        <f t="shared" si="15"/>
        <v>内部装修</v>
      </c>
      <c r="AA43" s="1502">
        <f t="shared" si="3"/>
        <v>1</v>
      </c>
      <c r="AB43" s="1502">
        <f t="shared" si="4"/>
        <v>1</v>
      </c>
      <c r="AC43" s="2113">
        <f t="shared" si="5"/>
        <v>1</v>
      </c>
    </row>
    <row r="44" spans="1:29" ht="28.8">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764"/>
      <c r="Q44" s="1501" t="str">
        <f t="shared" si="11"/>
        <v>内部装修维护情况</v>
      </c>
      <c r="R44" s="711" t="s">
        <v>17</v>
      </c>
      <c r="S44" s="712">
        <f t="shared" si="12"/>
        <v>100</v>
      </c>
      <c r="T44" s="711" t="s">
        <v>17</v>
      </c>
      <c r="U44" s="712">
        <f t="shared" si="13"/>
        <v>100</v>
      </c>
      <c r="V44" s="711" t="s">
        <v>17</v>
      </c>
      <c r="W44" s="712">
        <f t="shared" si="14"/>
        <v>100</v>
      </c>
      <c r="X44" s="1504"/>
      <c r="Y44" s="3766"/>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764"/>
      <c r="Q45" s="1492">
        <f t="shared" si="11"/>
        <v>111</v>
      </c>
      <c r="R45" s="707" t="s">
        <v>17</v>
      </c>
      <c r="S45" s="708">
        <f t="shared" si="12"/>
        <v>100</v>
      </c>
      <c r="T45" s="707" t="s">
        <v>17</v>
      </c>
      <c r="U45" s="708">
        <f t="shared" si="13"/>
        <v>100</v>
      </c>
      <c r="V45" s="707" t="s">
        <v>17</v>
      </c>
      <c r="W45" s="708">
        <f t="shared" si="14"/>
        <v>100</v>
      </c>
      <c r="X45" s="709"/>
      <c r="Y45" s="3766"/>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764"/>
      <c r="Q46" s="1501">
        <f t="shared" si="11"/>
        <v>111</v>
      </c>
      <c r="R46" s="711" t="s">
        <v>17</v>
      </c>
      <c r="S46" s="712">
        <f t="shared" si="12"/>
        <v>100</v>
      </c>
      <c r="T46" s="711" t="s">
        <v>17</v>
      </c>
      <c r="U46" s="712">
        <f t="shared" si="13"/>
        <v>100</v>
      </c>
      <c r="V46" s="711" t="s">
        <v>17</v>
      </c>
      <c r="W46" s="712">
        <f t="shared" si="14"/>
        <v>100</v>
      </c>
      <c r="X46" s="1504"/>
      <c r="Y46" s="3766"/>
      <c r="Z46" s="1505">
        <f t="shared" si="15"/>
        <v>111</v>
      </c>
      <c r="AA46" s="1502">
        <f t="shared" si="3"/>
        <v>1</v>
      </c>
      <c r="AB46" s="1502">
        <f t="shared" si="4"/>
        <v>1</v>
      </c>
      <c r="AC46" s="2113">
        <f t="shared" si="5"/>
        <v>1</v>
      </c>
    </row>
    <row r="47" spans="1:29" ht="15.6"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765"/>
      <c r="Q47" s="1501">
        <f t="shared" si="11"/>
        <v>111</v>
      </c>
      <c r="R47" s="711" t="s">
        <v>17</v>
      </c>
      <c r="S47" s="712">
        <f t="shared" si="12"/>
        <v>100</v>
      </c>
      <c r="T47" s="711" t="s">
        <v>17</v>
      </c>
      <c r="U47" s="712">
        <f t="shared" si="13"/>
        <v>100</v>
      </c>
      <c r="V47" s="711" t="s">
        <v>17</v>
      </c>
      <c r="W47" s="712">
        <f t="shared" si="14"/>
        <v>100</v>
      </c>
      <c r="X47" s="1504"/>
      <c r="Y47" s="3767"/>
      <c r="Z47" s="1505">
        <f t="shared" si="15"/>
        <v>111</v>
      </c>
      <c r="AA47" s="1502">
        <f t="shared" si="3"/>
        <v>1</v>
      </c>
      <c r="AB47" s="1502">
        <f t="shared" si="4"/>
        <v>1</v>
      </c>
      <c r="AC47" s="2113">
        <f t="shared" si="5"/>
        <v>1</v>
      </c>
    </row>
    <row r="48" spans="1:29" ht="14.4">
      <c r="A48" s="436" t="s">
        <v>2338</v>
      </c>
      <c r="B48" s="437"/>
      <c r="C48" s="1283" t="s">
        <v>1</v>
      </c>
      <c r="D48" s="1284"/>
      <c r="E48" s="1285"/>
      <c r="F48" s="1286"/>
      <c r="G48" s="1287"/>
      <c r="H48" s="1288"/>
      <c r="I48" s="1285"/>
      <c r="J48" s="442"/>
      <c r="K48" s="720"/>
      <c r="L48" s="2916"/>
      <c r="M48" s="2908"/>
      <c r="N48" s="2908"/>
      <c r="O48" s="2908"/>
      <c r="P48" s="3770" t="str">
        <f>A48</f>
        <v>成交单价（元/平方米）</v>
      </c>
      <c r="Q48" s="3759"/>
      <c r="R48" s="3760">
        <f>E48</f>
        <v>0</v>
      </c>
      <c r="S48" s="3760"/>
      <c r="T48" s="3760">
        <f>G48</f>
        <v>0</v>
      </c>
      <c r="U48" s="3760"/>
      <c r="V48" s="3760">
        <f>I48</f>
        <v>0</v>
      </c>
      <c r="W48" s="3760"/>
      <c r="X48" s="403"/>
      <c r="Y48" s="718"/>
      <c r="Z48" s="403"/>
      <c r="AA48" s="403"/>
      <c r="AB48" s="403"/>
      <c r="AC48" s="584"/>
    </row>
    <row r="49" spans="1:29" ht="1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770"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403"/>
      <c r="Y49" s="403"/>
      <c r="Z49" s="403"/>
      <c r="AA49" s="403"/>
      <c r="AB49" s="403"/>
      <c r="AC49" s="584"/>
    </row>
    <row r="50" spans="1:29" ht="15" thickBot="1">
      <c r="A50" s="447" t="s">
        <v>2431</v>
      </c>
      <c r="B50" s="448"/>
      <c r="C50" s="1292" t="e">
        <f>R50</f>
        <v>#DIV/0!</v>
      </c>
      <c r="D50" s="1292"/>
      <c r="E50" s="1292"/>
      <c r="F50" s="1292"/>
      <c r="G50" s="1292"/>
      <c r="H50" s="1292"/>
      <c r="I50" s="1292"/>
      <c r="J50" s="449"/>
      <c r="K50" s="721"/>
      <c r="L50" s="2916"/>
      <c r="M50" s="2908"/>
      <c r="N50" s="2908"/>
      <c r="O50" s="2908"/>
      <c r="P50" s="3803" t="str">
        <f>A50</f>
        <v>估价对象XX用房的比较价值（楼面单价，元/平方米）</v>
      </c>
      <c r="Q50" s="3804"/>
      <c r="R50" s="3805" t="e">
        <f>IF(F1="售价",ROUND(IF(D49="简单平均",AVERAGE(R49:V49),R49*F49+T49*H49+V49*J49),0),ROUND(IF(D49="简单平均",AVERAGE(R49:V49),R49*F49+T49*H49+V49*J49),1))</f>
        <v>#DIV/0!</v>
      </c>
      <c r="S50" s="3805"/>
      <c r="T50" s="3805"/>
      <c r="U50" s="3805"/>
      <c r="V50" s="3805"/>
      <c r="W50" s="3805"/>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2.2"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4.4">
      <c r="A59" s="460" t="s">
        <v>2309</v>
      </c>
      <c r="B59" s="461"/>
      <c r="C59" s="1313" t="str">
        <f>YEAR(C7)&amp;"-"&amp;MONTH(C7)</f>
        <v>2018-6</v>
      </c>
      <c r="D59" s="1314">
        <f>EDATE(C59,-1)</f>
        <v>43221</v>
      </c>
      <c r="E59" s="1314">
        <f>EDATE(D59,-1)</f>
        <v>43191</v>
      </c>
      <c r="F59" s="1314">
        <f t="shared" ref="F59:O59" si="16">EDATE(E59,-1)</f>
        <v>43160</v>
      </c>
      <c r="G59" s="1314">
        <f t="shared" si="16"/>
        <v>43132</v>
      </c>
      <c r="H59" s="1314">
        <f t="shared" si="16"/>
        <v>43101</v>
      </c>
      <c r="I59" s="1314">
        <f t="shared" si="16"/>
        <v>43070</v>
      </c>
      <c r="J59" s="1314">
        <f t="shared" si="16"/>
        <v>43040</v>
      </c>
      <c r="K59" s="1314">
        <f t="shared" si="16"/>
        <v>43009</v>
      </c>
      <c r="L59" s="1314">
        <f t="shared" si="16"/>
        <v>42979</v>
      </c>
      <c r="M59" s="1314">
        <f t="shared" si="16"/>
        <v>42948</v>
      </c>
      <c r="N59" s="1314">
        <f t="shared" si="16"/>
        <v>42917</v>
      </c>
      <c r="O59" s="1314">
        <f t="shared" si="16"/>
        <v>42887</v>
      </c>
      <c r="P59" s="2951"/>
      <c r="Q59" s="2933"/>
      <c r="R59" s="2933"/>
      <c r="S59" s="2933"/>
      <c r="T59" s="2933"/>
      <c r="U59" s="2933"/>
      <c r="V59" s="2933"/>
      <c r="W59" s="2933"/>
      <c r="X59" s="2933"/>
      <c r="Y59" s="2933"/>
      <c r="Z59" s="2933"/>
      <c r="AA59" s="2933"/>
      <c r="AB59" s="2933"/>
      <c r="AC59" s="2933"/>
    </row>
    <row r="60" spans="1:29" s="111" customFormat="1">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4.4">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4.4"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ht="14.4">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4.4"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9.4"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4.4"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4.4"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4.4"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4.4"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4.4"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4.4"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4.4"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4.4"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ht="14.4">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4.4"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4.4"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4.4"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4.4"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9.4"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4.4"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4.4"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4.4"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4.4"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4.4"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4.4"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4.4"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4.4"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4.4"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4.4"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ht="14.4">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4.4"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4.4"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4.4"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4.4"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4.4"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4.4"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4.4"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4.4"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29.4"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4.4"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4.4"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4.4"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4.4"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4.4"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4.4"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50449</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4.4">
      <c r="A4" s="359" t="s">
        <v>2406</v>
      </c>
      <c r="B4" s="360"/>
      <c r="C4" s="3775" t="s">
        <v>2407</v>
      </c>
      <c r="D4" s="3776"/>
      <c r="E4" s="3777" t="s">
        <v>2408</v>
      </c>
      <c r="F4" s="3778"/>
      <c r="G4" s="3775" t="s">
        <v>2409</v>
      </c>
      <c r="H4" s="3776"/>
      <c r="I4" s="3775" t="s">
        <v>2410</v>
      </c>
      <c r="J4" s="3776"/>
      <c r="K4" s="565" t="s">
        <v>2411</v>
      </c>
      <c r="L4" s="1041"/>
      <c r="M4" s="1042"/>
      <c r="N4" s="1042"/>
      <c r="O4" s="1042"/>
      <c r="P4" s="3779" t="s">
        <v>2412</v>
      </c>
      <c r="Q4" s="3780"/>
      <c r="R4" s="3785" t="s">
        <v>2408</v>
      </c>
      <c r="S4" s="3786"/>
      <c r="T4" s="3785" t="s">
        <v>2409</v>
      </c>
      <c r="U4" s="3786"/>
      <c r="V4" s="3791" t="s">
        <v>2410</v>
      </c>
      <c r="W4" s="3791"/>
      <c r="X4" s="1504"/>
      <c r="Y4" s="3785" t="s">
        <v>2412</v>
      </c>
      <c r="Z4" s="3786"/>
      <c r="AA4" s="3772" t="s">
        <v>2408</v>
      </c>
      <c r="AB4" s="3773" t="s">
        <v>2409</v>
      </c>
      <c r="AC4" s="3772" t="s">
        <v>2410</v>
      </c>
    </row>
    <row r="5" spans="1:29">
      <c r="A5" s="362"/>
      <c r="B5" s="363"/>
      <c r="C5" s="3794" t="s">
        <v>2303</v>
      </c>
      <c r="D5" s="3795"/>
      <c r="E5" s="3801" t="s">
        <v>2304</v>
      </c>
      <c r="F5" s="3802"/>
      <c r="G5" s="3794" t="s">
        <v>2305</v>
      </c>
      <c r="H5" s="3795"/>
      <c r="I5" s="3794" t="s">
        <v>2306</v>
      </c>
      <c r="J5" s="3795"/>
      <c r="K5" s="565"/>
      <c r="L5" s="1041"/>
      <c r="M5" s="1042"/>
      <c r="N5" s="1042"/>
      <c r="O5" s="1042"/>
      <c r="P5" s="3781"/>
      <c r="Q5" s="3782"/>
      <c r="R5" s="3787"/>
      <c r="S5" s="3788"/>
      <c r="T5" s="3787"/>
      <c r="U5" s="3788"/>
      <c r="V5" s="3791"/>
      <c r="W5" s="3791"/>
      <c r="X5" s="1504"/>
      <c r="Y5" s="3787"/>
      <c r="Z5" s="3788"/>
      <c r="AA5" s="3773"/>
      <c r="AB5" s="3773"/>
      <c r="AC5" s="3773"/>
    </row>
    <row r="6" spans="1:29" ht="15" thickBot="1">
      <c r="A6" s="364"/>
      <c r="B6" s="365"/>
      <c r="C6" s="3792" t="s">
        <v>2307</v>
      </c>
      <c r="D6" s="3793"/>
      <c r="E6" s="3799" t="s">
        <v>2307</v>
      </c>
      <c r="F6" s="3800"/>
      <c r="G6" s="3792" t="s">
        <v>2307</v>
      </c>
      <c r="H6" s="3793"/>
      <c r="I6" s="3792" t="s">
        <v>2307</v>
      </c>
      <c r="J6" s="3793"/>
      <c r="K6" s="565" t="s">
        <v>2308</v>
      </c>
      <c r="L6" s="1041"/>
      <c r="M6" s="1042"/>
      <c r="N6" s="1042"/>
      <c r="O6" s="1042"/>
      <c r="P6" s="3783"/>
      <c r="Q6" s="3784"/>
      <c r="R6" s="3787"/>
      <c r="S6" s="3788"/>
      <c r="T6" s="3789"/>
      <c r="U6" s="3790"/>
      <c r="V6" s="3791"/>
      <c r="W6" s="3791"/>
      <c r="X6" s="1504"/>
      <c r="Y6" s="3789"/>
      <c r="Z6" s="3790"/>
      <c r="AA6" s="3774"/>
      <c r="AB6" s="3774"/>
      <c r="AC6" s="3774"/>
    </row>
    <row r="7" spans="1:29" s="111" customFormat="1" ht="15" thickBot="1">
      <c r="A7" s="366" t="s">
        <v>2309</v>
      </c>
      <c r="B7" s="367"/>
      <c r="C7" s="368">
        <f>'数据-取费表'!B2</f>
        <v>43252</v>
      </c>
      <c r="D7" s="369">
        <v>100</v>
      </c>
      <c r="E7" s="370"/>
      <c r="F7" s="371">
        <f>SUMIF(52:52,YEAR(E7)&amp;"-"&amp;MONTH(E7),53:53)</f>
        <v>0</v>
      </c>
      <c r="G7" s="370"/>
      <c r="H7" s="369">
        <f>SUMIF(52:52,YEAR(G7)&amp;"-"&amp;MONTH(G7),53:53)</f>
        <v>0</v>
      </c>
      <c r="I7" s="370"/>
      <c r="J7" s="369">
        <f>SUMIF(52:52,YEAR(I7)&amp;"-"&amp;MONTH(I7),53:53)</f>
        <v>0</v>
      </c>
      <c r="K7" s="566"/>
      <c r="L7" s="1043"/>
      <c r="M7" s="1044"/>
      <c r="N7" s="1044"/>
      <c r="O7" s="1044"/>
      <c r="P7" s="3796" t="s">
        <v>2310</v>
      </c>
      <c r="Q7" s="3798"/>
      <c r="R7" s="707" t="s">
        <v>17</v>
      </c>
      <c r="S7" s="708">
        <f t="shared" ref="S7:S15" si="0">F7</f>
        <v>0</v>
      </c>
      <c r="T7" s="707" t="s">
        <v>17</v>
      </c>
      <c r="U7" s="708">
        <f t="shared" ref="U7:U15" si="1">H7</f>
        <v>0</v>
      </c>
      <c r="V7" s="707" t="s">
        <v>17</v>
      </c>
      <c r="W7" s="708">
        <f t="shared" ref="W7:W15" si="2">J7</f>
        <v>0</v>
      </c>
      <c r="X7" s="709"/>
      <c r="Y7" s="3796" t="s">
        <v>2310</v>
      </c>
      <c r="Z7" s="3797"/>
      <c r="AA7" s="710" t="e">
        <f>D7/F7</f>
        <v>#DIV/0!</v>
      </c>
      <c r="AB7" s="710" t="e">
        <f>D7/H7</f>
        <v>#DIV/0!</v>
      </c>
      <c r="AC7" s="710" t="e">
        <f>D7/J7</f>
        <v>#DIV/0!</v>
      </c>
    </row>
    <row r="8" spans="1:29" s="111" customFormat="1" ht="1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796" t="s">
        <v>2313</v>
      </c>
      <c r="Q8" s="3797"/>
      <c r="R8" s="707" t="s">
        <v>17</v>
      </c>
      <c r="S8" s="708">
        <f t="shared" si="0"/>
        <v>0</v>
      </c>
      <c r="T8" s="707" t="s">
        <v>17</v>
      </c>
      <c r="U8" s="708">
        <f t="shared" si="1"/>
        <v>0</v>
      </c>
      <c r="V8" s="707" t="s">
        <v>17</v>
      </c>
      <c r="W8" s="708">
        <f t="shared" si="2"/>
        <v>0</v>
      </c>
      <c r="X8" s="709"/>
      <c r="Y8" s="3796" t="s">
        <v>2313</v>
      </c>
      <c r="Z8" s="3797"/>
      <c r="AA8" s="710" t="e">
        <f t="shared" ref="AA8:AA40" si="3">D8/F8</f>
        <v>#DIV/0!</v>
      </c>
      <c r="AB8" s="710" t="e">
        <f t="shared" ref="AB8:AB40" si="4">D8/H8</f>
        <v>#DIV/0!</v>
      </c>
      <c r="AC8" s="710" t="e">
        <f t="shared" ref="AC8:AC40" si="5">D8/J8</f>
        <v>#DIV/0!</v>
      </c>
    </row>
    <row r="9" spans="1:29" s="111" customFormat="1" ht="14.4">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759" t="s">
        <v>2316</v>
      </c>
      <c r="Q9" s="1492" t="str">
        <f t="shared" ref="Q9:Q15" si="6">B9</f>
        <v>用途</v>
      </c>
      <c r="R9" s="707" t="s">
        <v>17</v>
      </c>
      <c r="S9" s="708">
        <f t="shared" si="0"/>
        <v>100</v>
      </c>
      <c r="T9" s="707" t="s">
        <v>17</v>
      </c>
      <c r="U9" s="708">
        <f t="shared" si="1"/>
        <v>100</v>
      </c>
      <c r="V9" s="707" t="s">
        <v>17</v>
      </c>
      <c r="W9" s="708">
        <f t="shared" si="2"/>
        <v>100</v>
      </c>
      <c r="X9" s="709"/>
      <c r="Y9" s="3771" t="s">
        <v>2317</v>
      </c>
      <c r="Z9" s="55" t="str">
        <f t="shared" ref="Z9:Z15" si="7">Q9</f>
        <v>用途</v>
      </c>
      <c r="AA9" s="710">
        <f t="shared" si="3"/>
        <v>1</v>
      </c>
      <c r="AB9" s="710">
        <f t="shared" si="4"/>
        <v>1</v>
      </c>
      <c r="AC9" s="710">
        <f t="shared" si="5"/>
        <v>1</v>
      </c>
    </row>
    <row r="10" spans="1:29" s="384" customFormat="1" ht="28.8">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759"/>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759"/>
      <c r="Q11" s="1492" t="str">
        <f t="shared" si="6"/>
        <v>容积率</v>
      </c>
      <c r="R11" s="707" t="s">
        <v>17</v>
      </c>
      <c r="S11" s="708" t="e">
        <f t="shared" si="0"/>
        <v>#N/A</v>
      </c>
      <c r="T11" s="707" t="s">
        <v>17</v>
      </c>
      <c r="U11" s="708" t="e">
        <f t="shared" si="1"/>
        <v>#N/A</v>
      </c>
      <c r="V11" s="707" t="s">
        <v>17</v>
      </c>
      <c r="W11" s="708" t="e">
        <f t="shared" si="2"/>
        <v>#N/A</v>
      </c>
      <c r="X11" s="709"/>
      <c r="Y11" s="3771"/>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759"/>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759"/>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710">
        <f t="shared" si="5"/>
        <v>1</v>
      </c>
    </row>
    <row r="14" spans="1:29" ht="15.6"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759"/>
      <c r="Q14" s="1492">
        <f t="shared" si="6"/>
        <v>111</v>
      </c>
      <c r="R14" s="707" t="s">
        <v>17</v>
      </c>
      <c r="S14" s="708">
        <f t="shared" si="0"/>
        <v>100</v>
      </c>
      <c r="T14" s="707" t="s">
        <v>17</v>
      </c>
      <c r="U14" s="708">
        <f t="shared" si="1"/>
        <v>100</v>
      </c>
      <c r="V14" s="707" t="s">
        <v>17</v>
      </c>
      <c r="W14" s="708">
        <f t="shared" si="2"/>
        <v>100</v>
      </c>
      <c r="X14" s="709"/>
      <c r="Y14" s="3771"/>
      <c r="Z14" s="55">
        <f t="shared" si="7"/>
        <v>111</v>
      </c>
      <c r="AA14" s="710">
        <f t="shared" si="3"/>
        <v>1</v>
      </c>
      <c r="AB14" s="710">
        <f t="shared" si="4"/>
        <v>1</v>
      </c>
      <c r="AC14" s="710">
        <f t="shared" si="5"/>
        <v>1</v>
      </c>
    </row>
    <row r="15" spans="1:29" ht="69">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761" t="s">
        <v>2321</v>
      </c>
      <c r="Q15" s="1501" t="str">
        <f t="shared" si="6"/>
        <v>产业集聚程度</v>
      </c>
      <c r="R15" s="711" t="s">
        <v>17</v>
      </c>
      <c r="S15" s="712">
        <f t="shared" si="0"/>
        <v>100</v>
      </c>
      <c r="T15" s="711" t="s">
        <v>17</v>
      </c>
      <c r="U15" s="712">
        <f t="shared" si="1"/>
        <v>100</v>
      </c>
      <c r="V15" s="711" t="s">
        <v>17</v>
      </c>
      <c r="W15" s="712">
        <f t="shared" si="2"/>
        <v>100</v>
      </c>
      <c r="X15" s="1504"/>
      <c r="Y15" s="3761"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762"/>
      <c r="Q16" s="1501"/>
      <c r="R16" s="711"/>
      <c r="S16" s="712"/>
      <c r="T16" s="711"/>
      <c r="U16" s="712"/>
      <c r="V16" s="711"/>
      <c r="W16" s="712"/>
      <c r="X16" s="1504"/>
      <c r="Y16" s="3762"/>
      <c r="Z16" s="1505"/>
      <c r="AA16" s="1502">
        <v>1</v>
      </c>
      <c r="AB16" s="1502">
        <v>1</v>
      </c>
      <c r="AC16" s="1502">
        <v>1</v>
      </c>
    </row>
    <row r="17" spans="1:29" ht="96.6">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762"/>
      <c r="Q17" s="1501" t="str">
        <f>B17</f>
        <v>交通便捷度</v>
      </c>
      <c r="R17" s="711" t="s">
        <v>17</v>
      </c>
      <c r="S17" s="712">
        <f>F17</f>
        <v>100</v>
      </c>
      <c r="T17" s="711" t="s">
        <v>17</v>
      </c>
      <c r="U17" s="712">
        <f>H17</f>
        <v>100</v>
      </c>
      <c r="V17" s="711" t="s">
        <v>17</v>
      </c>
      <c r="W17" s="712">
        <f>J17</f>
        <v>100</v>
      </c>
      <c r="X17" s="1504"/>
      <c r="Y17" s="3762"/>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762"/>
      <c r="Q18" s="1501"/>
      <c r="R18" s="711"/>
      <c r="S18" s="712"/>
      <c r="T18" s="711"/>
      <c r="U18" s="712"/>
      <c r="V18" s="711"/>
      <c r="W18" s="712"/>
      <c r="X18" s="1504"/>
      <c r="Y18" s="3762"/>
      <c r="Z18" s="1505"/>
      <c r="AA18" s="1502">
        <v>1</v>
      </c>
      <c r="AB18" s="1502">
        <v>1</v>
      </c>
      <c r="AC18" s="1502">
        <v>1</v>
      </c>
    </row>
    <row r="19" spans="1:29" ht="41.4">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762"/>
      <c r="Q19" s="1501" t="str">
        <f>B19</f>
        <v>公共配套设施</v>
      </c>
      <c r="R19" s="711" t="s">
        <v>17</v>
      </c>
      <c r="S19" s="712">
        <f>F19</f>
        <v>100</v>
      </c>
      <c r="T19" s="711" t="s">
        <v>17</v>
      </c>
      <c r="U19" s="712">
        <f>H19</f>
        <v>100</v>
      </c>
      <c r="V19" s="711" t="s">
        <v>17</v>
      </c>
      <c r="W19" s="712">
        <f>J19</f>
        <v>100</v>
      </c>
      <c r="X19" s="1504"/>
      <c r="Y19" s="3762"/>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762"/>
      <c r="Q20" s="1501"/>
      <c r="R20" s="711"/>
      <c r="S20" s="712"/>
      <c r="T20" s="711"/>
      <c r="U20" s="712"/>
      <c r="V20" s="711"/>
      <c r="W20" s="712"/>
      <c r="X20" s="1504"/>
      <c r="Y20" s="3762"/>
      <c r="Z20" s="1505"/>
      <c r="AA20" s="1502">
        <v>1</v>
      </c>
      <c r="AB20" s="1502">
        <v>1</v>
      </c>
      <c r="AC20" s="1502">
        <v>1</v>
      </c>
    </row>
    <row r="21" spans="1:29" ht="41.4">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762"/>
      <c r="Q21" s="1501" t="str">
        <f>B21</f>
        <v>基础设施水平</v>
      </c>
      <c r="R21" s="711" t="s">
        <v>17</v>
      </c>
      <c r="S21" s="712">
        <f>F21</f>
        <v>100</v>
      </c>
      <c r="T21" s="711" t="s">
        <v>17</v>
      </c>
      <c r="U21" s="712">
        <f>H21</f>
        <v>100</v>
      </c>
      <c r="V21" s="711" t="s">
        <v>17</v>
      </c>
      <c r="W21" s="712">
        <f>J21</f>
        <v>100</v>
      </c>
      <c r="X21" s="1504"/>
      <c r="Y21" s="3762"/>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762"/>
      <c r="Q22" s="1501"/>
      <c r="R22" s="711"/>
      <c r="S22" s="712"/>
      <c r="T22" s="711"/>
      <c r="U22" s="712"/>
      <c r="V22" s="711"/>
      <c r="W22" s="712"/>
      <c r="X22" s="1504"/>
      <c r="Y22" s="3762"/>
      <c r="Z22" s="1505"/>
      <c r="AA22" s="1502">
        <v>1</v>
      </c>
      <c r="AB22" s="1502">
        <v>1</v>
      </c>
      <c r="AC22" s="1502">
        <v>1</v>
      </c>
    </row>
    <row r="23" spans="1:29" ht="82.8">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762"/>
      <c r="Q23" s="1501" t="str">
        <f>B23</f>
        <v>环境质量</v>
      </c>
      <c r="R23" s="711" t="s">
        <v>17</v>
      </c>
      <c r="S23" s="712">
        <f>F23</f>
        <v>100</v>
      </c>
      <c r="T23" s="711" t="s">
        <v>17</v>
      </c>
      <c r="U23" s="712">
        <f>H23</f>
        <v>100</v>
      </c>
      <c r="V23" s="711" t="s">
        <v>17</v>
      </c>
      <c r="W23" s="712">
        <f>J23</f>
        <v>100</v>
      </c>
      <c r="X23" s="1504"/>
      <c r="Y23" s="3762"/>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762"/>
      <c r="Q24" s="1501"/>
      <c r="R24" s="711"/>
      <c r="S24" s="712"/>
      <c r="T24" s="711"/>
      <c r="U24" s="712"/>
      <c r="V24" s="711"/>
      <c r="W24" s="712"/>
      <c r="X24" s="1504"/>
      <c r="Y24" s="3762"/>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762"/>
      <c r="Q25" s="1501">
        <f>B25</f>
        <v>111</v>
      </c>
      <c r="R25" s="711" t="s">
        <v>17</v>
      </c>
      <c r="S25" s="712">
        <f>F25</f>
        <v>100</v>
      </c>
      <c r="T25" s="711" t="s">
        <v>17</v>
      </c>
      <c r="U25" s="712">
        <f>H25</f>
        <v>100</v>
      </c>
      <c r="V25" s="711" t="s">
        <v>17</v>
      </c>
      <c r="W25" s="712">
        <f>J25</f>
        <v>100</v>
      </c>
      <c r="X25" s="1504"/>
      <c r="Y25" s="3762"/>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762"/>
      <c r="Q26" s="1501">
        <f t="shared" ref="Q26:Q40" si="11">B26</f>
        <v>111</v>
      </c>
      <c r="R26" s="711" t="s">
        <v>17</v>
      </c>
      <c r="S26" s="712">
        <f>F26</f>
        <v>100</v>
      </c>
      <c r="T26" s="711" t="s">
        <v>17</v>
      </c>
      <c r="U26" s="712">
        <f>H26</f>
        <v>100</v>
      </c>
      <c r="V26" s="711" t="s">
        <v>17</v>
      </c>
      <c r="W26" s="712">
        <f>J26</f>
        <v>100</v>
      </c>
      <c r="X26" s="1504"/>
      <c r="Y26" s="3762"/>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762"/>
      <c r="Q27" s="1492">
        <f t="shared" si="11"/>
        <v>111</v>
      </c>
      <c r="R27" s="707" t="s">
        <v>17</v>
      </c>
      <c r="S27" s="708">
        <f>F27</f>
        <v>100</v>
      </c>
      <c r="T27" s="707" t="s">
        <v>17</v>
      </c>
      <c r="U27" s="708">
        <f>H27</f>
        <v>100</v>
      </c>
      <c r="V27" s="707" t="s">
        <v>17</v>
      </c>
      <c r="W27" s="708">
        <f>J27</f>
        <v>100</v>
      </c>
      <c r="X27" s="709"/>
      <c r="Y27" s="3762"/>
      <c r="Z27" s="55">
        <f>Q27</f>
        <v>111</v>
      </c>
      <c r="AA27" s="1502">
        <f>D27/F27</f>
        <v>1</v>
      </c>
      <c r="AB27" s="1502">
        <f>D27/H27</f>
        <v>1</v>
      </c>
      <c r="AC27" s="1502">
        <f>D27/J27</f>
        <v>1</v>
      </c>
    </row>
    <row r="28" spans="1:29" ht="15.6"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762"/>
      <c r="Q28" s="1501">
        <f t="shared" si="11"/>
        <v>111</v>
      </c>
      <c r="R28" s="711" t="s">
        <v>17</v>
      </c>
      <c r="S28" s="712">
        <f t="shared" ref="S28:S40" si="12">F28</f>
        <v>100</v>
      </c>
      <c r="T28" s="711" t="s">
        <v>17</v>
      </c>
      <c r="U28" s="712">
        <f t="shared" ref="U28:U40" si="13">H28</f>
        <v>100</v>
      </c>
      <c r="V28" s="711" t="s">
        <v>17</v>
      </c>
      <c r="W28" s="712">
        <f t="shared" ref="W28:W40" si="14">J28</f>
        <v>100</v>
      </c>
      <c r="X28" s="1504"/>
      <c r="Y28" s="3762"/>
      <c r="Z28" s="1505">
        <f t="shared" ref="Z28:Z40" si="15">Q28</f>
        <v>111</v>
      </c>
      <c r="AA28" s="1502">
        <f t="shared" si="3"/>
        <v>1</v>
      </c>
      <c r="AB28" s="1502">
        <f t="shared" si="4"/>
        <v>1</v>
      </c>
      <c r="AC28" s="1502">
        <f t="shared" si="5"/>
        <v>1</v>
      </c>
    </row>
    <row r="29" spans="1:29" ht="30">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818" t="s">
        <v>2326</v>
      </c>
      <c r="Q29" s="1501" t="str">
        <f t="shared" si="11"/>
        <v>建筑类型</v>
      </c>
      <c r="R29" s="711" t="s">
        <v>17</v>
      </c>
      <c r="S29" s="712">
        <f t="shared" si="12"/>
        <v>100</v>
      </c>
      <c r="T29" s="711" t="s">
        <v>17</v>
      </c>
      <c r="U29" s="712">
        <f t="shared" si="13"/>
        <v>100</v>
      </c>
      <c r="V29" s="711" t="s">
        <v>17</v>
      </c>
      <c r="W29" s="712">
        <f t="shared" si="14"/>
        <v>100</v>
      </c>
      <c r="X29" s="1504"/>
      <c r="Y29" s="3766"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766"/>
      <c r="Q30" s="713" t="str">
        <f t="shared" si="11"/>
        <v>项目建筑规模</v>
      </c>
      <c r="R30" s="714" t="s">
        <v>17</v>
      </c>
      <c r="S30" s="715" t="e">
        <f t="shared" si="12"/>
        <v>#N/A</v>
      </c>
      <c r="T30" s="714" t="s">
        <v>17</v>
      </c>
      <c r="U30" s="715" t="e">
        <f t="shared" si="13"/>
        <v>#N/A</v>
      </c>
      <c r="V30" s="714" t="s">
        <v>17</v>
      </c>
      <c r="W30" s="715" t="e">
        <f t="shared" si="14"/>
        <v>#N/A</v>
      </c>
      <c r="X30" s="716"/>
      <c r="Y30" s="3766"/>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766"/>
      <c r="Q31" s="1501" t="str">
        <f t="shared" si="11"/>
        <v>建筑结构</v>
      </c>
      <c r="R31" s="711" t="s">
        <v>17</v>
      </c>
      <c r="S31" s="712">
        <f t="shared" si="12"/>
        <v>100</v>
      </c>
      <c r="T31" s="711" t="s">
        <v>17</v>
      </c>
      <c r="U31" s="712">
        <f t="shared" si="13"/>
        <v>100</v>
      </c>
      <c r="V31" s="711" t="s">
        <v>17</v>
      </c>
      <c r="W31" s="712">
        <f t="shared" si="14"/>
        <v>100</v>
      </c>
      <c r="X31" s="1504"/>
      <c r="Y31" s="3766"/>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766"/>
      <c r="Q32" s="1501" t="str">
        <f t="shared" si="11"/>
        <v>公共部分装修</v>
      </c>
      <c r="R32" s="711" t="s">
        <v>17</v>
      </c>
      <c r="S32" s="712">
        <f t="shared" si="12"/>
        <v>100</v>
      </c>
      <c r="T32" s="711" t="s">
        <v>17</v>
      </c>
      <c r="U32" s="712">
        <f t="shared" si="13"/>
        <v>100</v>
      </c>
      <c r="V32" s="711" t="s">
        <v>17</v>
      </c>
      <c r="W32" s="712">
        <f t="shared" si="14"/>
        <v>100</v>
      </c>
      <c r="X32" s="1504"/>
      <c r="Y32" s="3766"/>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766"/>
      <c r="Q33" s="1501" t="str">
        <f t="shared" si="11"/>
        <v>成新度</v>
      </c>
      <c r="R33" s="711" t="s">
        <v>17</v>
      </c>
      <c r="S33" s="712" t="e">
        <f t="shared" si="12"/>
        <v>#N/A</v>
      </c>
      <c r="T33" s="711" t="s">
        <v>17</v>
      </c>
      <c r="U33" s="712" t="e">
        <f t="shared" si="13"/>
        <v>#N/A</v>
      </c>
      <c r="V33" s="711" t="s">
        <v>17</v>
      </c>
      <c r="W33" s="712" t="e">
        <f t="shared" si="14"/>
        <v>#N/A</v>
      </c>
      <c r="X33" s="1504"/>
      <c r="Y33" s="3766"/>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766"/>
      <c r="Q34" s="1492" t="str">
        <f t="shared" si="11"/>
        <v>物业管理</v>
      </c>
      <c r="R34" s="707" t="s">
        <v>17</v>
      </c>
      <c r="S34" s="708">
        <f t="shared" si="12"/>
        <v>100</v>
      </c>
      <c r="T34" s="707" t="s">
        <v>17</v>
      </c>
      <c r="U34" s="708">
        <f t="shared" si="13"/>
        <v>100</v>
      </c>
      <c r="V34" s="707" t="s">
        <v>17</v>
      </c>
      <c r="W34" s="708">
        <f t="shared" si="14"/>
        <v>100</v>
      </c>
      <c r="X34" s="709"/>
      <c r="Y34" s="3766"/>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766" t="s">
        <v>2326</v>
      </c>
      <c r="Q35" s="1501" t="str">
        <f t="shared" si="11"/>
        <v>市政基础设施</v>
      </c>
      <c r="R35" s="711" t="s">
        <v>17</v>
      </c>
      <c r="S35" s="712">
        <f t="shared" si="12"/>
        <v>100</v>
      </c>
      <c r="T35" s="711" t="s">
        <v>17</v>
      </c>
      <c r="U35" s="712">
        <f t="shared" si="13"/>
        <v>100</v>
      </c>
      <c r="V35" s="711" t="s">
        <v>17</v>
      </c>
      <c r="W35" s="712">
        <f t="shared" si="14"/>
        <v>100</v>
      </c>
      <c r="X35" s="1504"/>
      <c r="Y35" s="3766"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766"/>
      <c r="Q36" s="1501" t="str">
        <f t="shared" si="11"/>
        <v>内部装修</v>
      </c>
      <c r="R36" s="711" t="s">
        <v>17</v>
      </c>
      <c r="S36" s="712">
        <f t="shared" si="12"/>
        <v>100</v>
      </c>
      <c r="T36" s="711" t="s">
        <v>17</v>
      </c>
      <c r="U36" s="712">
        <f t="shared" si="13"/>
        <v>100</v>
      </c>
      <c r="V36" s="711" t="s">
        <v>17</v>
      </c>
      <c r="W36" s="712">
        <f t="shared" si="14"/>
        <v>100</v>
      </c>
      <c r="X36" s="1504"/>
      <c r="Y36" s="3766"/>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766"/>
      <c r="Q37" s="1501" t="str">
        <f t="shared" si="11"/>
        <v>内部装修状况</v>
      </c>
      <c r="R37" s="711" t="s">
        <v>17</v>
      </c>
      <c r="S37" s="712">
        <f t="shared" si="12"/>
        <v>100</v>
      </c>
      <c r="T37" s="711" t="s">
        <v>17</v>
      </c>
      <c r="U37" s="712">
        <f t="shared" si="13"/>
        <v>100</v>
      </c>
      <c r="V37" s="711" t="s">
        <v>17</v>
      </c>
      <c r="W37" s="712">
        <f t="shared" si="14"/>
        <v>100</v>
      </c>
      <c r="X37" s="1504"/>
      <c r="Y37" s="3766"/>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766"/>
      <c r="Q38" s="713">
        <f t="shared" si="11"/>
        <v>111</v>
      </c>
      <c r="R38" s="714" t="s">
        <v>17</v>
      </c>
      <c r="S38" s="715">
        <f t="shared" si="12"/>
        <v>100</v>
      </c>
      <c r="T38" s="714" t="s">
        <v>17</v>
      </c>
      <c r="U38" s="715">
        <f t="shared" si="13"/>
        <v>100</v>
      </c>
      <c r="V38" s="714" t="s">
        <v>17</v>
      </c>
      <c r="W38" s="715">
        <f t="shared" si="14"/>
        <v>100</v>
      </c>
      <c r="X38" s="716"/>
      <c r="Y38" s="3766"/>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766"/>
      <c r="Q39" s="1501">
        <f t="shared" si="11"/>
        <v>111</v>
      </c>
      <c r="R39" s="711" t="s">
        <v>17</v>
      </c>
      <c r="S39" s="712">
        <f t="shared" si="12"/>
        <v>100</v>
      </c>
      <c r="T39" s="711" t="s">
        <v>17</v>
      </c>
      <c r="U39" s="712">
        <f t="shared" si="13"/>
        <v>100</v>
      </c>
      <c r="V39" s="711" t="s">
        <v>17</v>
      </c>
      <c r="W39" s="712">
        <f t="shared" si="14"/>
        <v>100</v>
      </c>
      <c r="X39" s="1504"/>
      <c r="Y39" s="3766"/>
      <c r="Z39" s="1505">
        <f t="shared" si="15"/>
        <v>111</v>
      </c>
      <c r="AA39" s="1502">
        <f t="shared" si="3"/>
        <v>1</v>
      </c>
      <c r="AB39" s="1502">
        <f t="shared" si="4"/>
        <v>1</v>
      </c>
      <c r="AC39" s="1502">
        <f t="shared" si="5"/>
        <v>1</v>
      </c>
    </row>
    <row r="40" spans="1:29" ht="15.6"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767"/>
      <c r="Q40" s="1501">
        <f t="shared" si="11"/>
        <v>111</v>
      </c>
      <c r="R40" s="711" t="s">
        <v>17</v>
      </c>
      <c r="S40" s="712">
        <f t="shared" si="12"/>
        <v>100</v>
      </c>
      <c r="T40" s="711" t="s">
        <v>17</v>
      </c>
      <c r="U40" s="712">
        <f t="shared" si="13"/>
        <v>100</v>
      </c>
      <c r="V40" s="711" t="s">
        <v>17</v>
      </c>
      <c r="W40" s="712">
        <f t="shared" si="14"/>
        <v>100</v>
      </c>
      <c r="X40" s="1504"/>
      <c r="Y40" s="3767"/>
      <c r="Z40" s="1505">
        <f t="shared" si="15"/>
        <v>111</v>
      </c>
      <c r="AA40" s="1502">
        <f t="shared" si="3"/>
        <v>1</v>
      </c>
      <c r="AB40" s="1502">
        <f t="shared" si="4"/>
        <v>1</v>
      </c>
      <c r="AC40" s="1502">
        <f t="shared" si="5"/>
        <v>1</v>
      </c>
    </row>
    <row r="41" spans="1:29" ht="14.4">
      <c r="A41" s="436" t="s">
        <v>2338</v>
      </c>
      <c r="B41" s="437"/>
      <c r="C41" s="1283" t="s">
        <v>1</v>
      </c>
      <c r="D41" s="1284"/>
      <c r="E41" s="1285"/>
      <c r="F41" s="1286"/>
      <c r="G41" s="1287"/>
      <c r="H41" s="1288"/>
      <c r="I41" s="1285"/>
      <c r="J41" s="1288"/>
      <c r="K41" s="720"/>
      <c r="L41" s="1054"/>
      <c r="M41" s="1055"/>
      <c r="N41" s="1042"/>
      <c r="O41" s="1055"/>
      <c r="P41" s="3759" t="str">
        <f>A41</f>
        <v>成交单价（元/平方米）</v>
      </c>
      <c r="Q41" s="3759"/>
      <c r="R41" s="3760">
        <f>E41</f>
        <v>0</v>
      </c>
      <c r="S41" s="3760"/>
      <c r="T41" s="3760">
        <f>G41</f>
        <v>0</v>
      </c>
      <c r="U41" s="3760"/>
      <c r="V41" s="3760">
        <f>I41</f>
        <v>0</v>
      </c>
      <c r="W41" s="3760"/>
      <c r="X41" s="696"/>
      <c r="Y41" s="718"/>
      <c r="Z41" s="696"/>
      <c r="AA41" s="696"/>
      <c r="AB41" s="696"/>
      <c r="AC41" s="696"/>
    </row>
    <row r="42" spans="1:29" ht="1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6"/>
      <c r="Y42" s="696"/>
      <c r="Z42" s="696"/>
      <c r="AA42" s="696"/>
      <c r="AB42" s="696"/>
      <c r="AC42" s="696"/>
    </row>
    <row r="43" spans="1:29" ht="15" thickBot="1">
      <c r="A43" s="447" t="s">
        <v>2431</v>
      </c>
      <c r="B43" s="448"/>
      <c r="C43" s="1292" t="e">
        <f>R43</f>
        <v>#DIV/0!</v>
      </c>
      <c r="D43" s="1292"/>
      <c r="E43" s="1292"/>
      <c r="F43" s="1292"/>
      <c r="G43" s="1292"/>
      <c r="H43" s="1292"/>
      <c r="I43" s="1292"/>
      <c r="J43" s="1292"/>
      <c r="K43" s="721"/>
      <c r="L43" s="1054"/>
      <c r="M43" s="1055"/>
      <c r="N43" s="1055"/>
      <c r="O43" s="1055"/>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2.2" thickBot="1">
      <c r="A51" s="700" t="s">
        <v>2435</v>
      </c>
      <c r="B51" s="696"/>
      <c r="C51" s="701"/>
      <c r="D51" s="701"/>
      <c r="E51" s="701"/>
      <c r="F51" s="702"/>
      <c r="G51" s="702"/>
      <c r="H51" s="701"/>
      <c r="I51" s="701"/>
      <c r="J51" s="701"/>
      <c r="K51" s="1069"/>
      <c r="L51" s="1070"/>
      <c r="M51" s="1068"/>
      <c r="N51" s="1068"/>
      <c r="O51" s="1068"/>
      <c r="P51" s="458"/>
      <c r="Q51" s="459"/>
    </row>
    <row r="52" spans="1:17" s="463" customFormat="1" ht="14.4">
      <c r="A52" s="460" t="s">
        <v>2309</v>
      </c>
      <c r="B52" s="461"/>
      <c r="C52" s="1313" t="str">
        <f>YEAR(C7)&amp;"-"&amp;MONTH(C7)</f>
        <v>2018-6</v>
      </c>
      <c r="D52" s="1314">
        <f>EDATE(C52,-1)</f>
        <v>43221</v>
      </c>
      <c r="E52" s="1314">
        <f t="shared" ref="E52:O52" si="16">EDATE(D52,-1)</f>
        <v>43191</v>
      </c>
      <c r="F52" s="1314">
        <f t="shared" si="16"/>
        <v>43160</v>
      </c>
      <c r="G52" s="1314">
        <f t="shared" si="16"/>
        <v>43132</v>
      </c>
      <c r="H52" s="1314">
        <f t="shared" si="16"/>
        <v>43101</v>
      </c>
      <c r="I52" s="1314">
        <f t="shared" si="16"/>
        <v>43070</v>
      </c>
      <c r="J52" s="1314">
        <f t="shared" si="16"/>
        <v>43040</v>
      </c>
      <c r="K52" s="1314">
        <f t="shared" si="16"/>
        <v>43009</v>
      </c>
      <c r="L52" s="1314">
        <f t="shared" si="16"/>
        <v>42979</v>
      </c>
      <c r="M52" s="1314">
        <f t="shared" si="16"/>
        <v>42948</v>
      </c>
      <c r="N52" s="1314">
        <f t="shared" si="16"/>
        <v>42917</v>
      </c>
      <c r="O52" s="1314">
        <f t="shared" si="16"/>
        <v>42887</v>
      </c>
      <c r="P52" s="462"/>
    </row>
    <row r="53" spans="1:17" s="111" customFormat="1">
      <c r="A53" s="464"/>
      <c r="B53" s="465"/>
      <c r="C53" s="1312">
        <v>100</v>
      </c>
      <c r="D53" s="467"/>
      <c r="E53" s="467"/>
      <c r="F53" s="467"/>
      <c r="G53" s="467"/>
      <c r="H53" s="467"/>
      <c r="I53" s="467"/>
      <c r="J53" s="467"/>
      <c r="K53" s="467"/>
      <c r="L53" s="467"/>
      <c r="M53" s="468"/>
      <c r="N53" s="467"/>
      <c r="O53" s="469"/>
      <c r="P53" s="459"/>
    </row>
    <row r="54" spans="1:17" s="111" customFormat="1" ht="15" thickBot="1">
      <c r="A54" s="470" t="s">
        <v>2346</v>
      </c>
      <c r="B54" s="471"/>
      <c r="C54" s="472"/>
      <c r="D54" s="473"/>
      <c r="E54" s="473"/>
      <c r="F54" s="473"/>
      <c r="G54" s="473"/>
      <c r="H54" s="473"/>
      <c r="I54" s="473"/>
      <c r="J54" s="473"/>
      <c r="K54" s="473"/>
      <c r="L54" s="473"/>
      <c r="M54" s="474"/>
      <c r="N54" s="2962"/>
      <c r="O54" s="2963"/>
      <c r="P54" s="459"/>
      <c r="Q54" s="459"/>
    </row>
    <row r="55" spans="1:17" s="111" customFormat="1" ht="14.4">
      <c r="A55" s="476" t="s">
        <v>2311</v>
      </c>
      <c r="B55" s="465"/>
      <c r="C55" s="477" t="s">
        <v>2413</v>
      </c>
      <c r="D55" s="478"/>
      <c r="E55" s="478"/>
      <c r="F55" s="478"/>
      <c r="G55" s="478"/>
      <c r="H55" s="478"/>
      <c r="I55" s="478"/>
      <c r="J55" s="478"/>
      <c r="K55" s="478"/>
      <c r="L55" s="479"/>
      <c r="M55" s="480"/>
      <c r="N55" s="1060"/>
      <c r="O55" s="1060"/>
      <c r="P55" s="481"/>
      <c r="Q55" s="459"/>
    </row>
    <row r="56" spans="1:17" s="111" customFormat="1" ht="14.4" thickBot="1">
      <c r="A56" s="476"/>
      <c r="B56" s="465"/>
      <c r="C56" s="593">
        <v>100</v>
      </c>
      <c r="D56" s="467"/>
      <c r="E56" s="467"/>
      <c r="F56" s="467"/>
      <c r="G56" s="467"/>
      <c r="H56" s="467"/>
      <c r="I56" s="467"/>
      <c r="J56" s="467"/>
      <c r="K56" s="467"/>
      <c r="L56" s="467"/>
      <c r="M56" s="469"/>
      <c r="N56" s="1060"/>
      <c r="O56" s="1060"/>
      <c r="P56" s="459"/>
      <c r="Q56" s="459"/>
    </row>
    <row r="57" spans="1:17" ht="14.4">
      <c r="A57" s="482" t="s">
        <v>2349</v>
      </c>
      <c r="B57" s="483" t="s">
        <v>2315</v>
      </c>
      <c r="C57" s="484">
        <f>C9</f>
        <v>0</v>
      </c>
      <c r="D57" s="485"/>
      <c r="E57" s="485"/>
      <c r="F57" s="485"/>
      <c r="G57" s="485"/>
      <c r="H57" s="485"/>
      <c r="I57" s="485"/>
      <c r="J57" s="485"/>
      <c r="K57" s="486"/>
      <c r="L57" s="487"/>
      <c r="M57" s="488"/>
      <c r="N57" s="1061"/>
      <c r="O57" s="1061"/>
      <c r="P57" s="45"/>
      <c r="Q57" s="459"/>
    </row>
    <row r="58" spans="1:17" ht="14.4" thickBot="1">
      <c r="A58" s="489"/>
      <c r="B58" s="490"/>
      <c r="C58" s="491">
        <v>100</v>
      </c>
      <c r="D58" s="491"/>
      <c r="E58" s="491"/>
      <c r="F58" s="491"/>
      <c r="G58" s="491"/>
      <c r="H58" s="491"/>
      <c r="I58" s="491"/>
      <c r="J58" s="491"/>
      <c r="K58" s="491"/>
      <c r="L58" s="491"/>
      <c r="M58" s="492"/>
      <c r="N58" s="1062"/>
      <c r="O58" s="1062"/>
      <c r="P58" s="45"/>
      <c r="Q58" s="459"/>
    </row>
    <row r="59" spans="1:17" ht="29.4"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4.4"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c r="A62" s="489"/>
      <c r="B62" s="503"/>
      <c r="C62" s="504"/>
      <c r="D62" s="504"/>
      <c r="E62" s="504"/>
      <c r="F62" s="504"/>
      <c r="G62" s="504"/>
      <c r="H62" s="504"/>
      <c r="I62" s="504"/>
      <c r="J62" s="504"/>
      <c r="K62" s="505"/>
      <c r="L62" s="506"/>
      <c r="M62" s="507"/>
      <c r="N62" s="1061"/>
      <c r="O62" s="1061"/>
      <c r="P62" s="45"/>
      <c r="Q62" s="459"/>
    </row>
    <row r="63" spans="1:17" ht="14.4"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4.4" thickTop="1">
      <c r="A64" s="508"/>
      <c r="B64" s="493">
        <f>B12</f>
        <v>111</v>
      </c>
      <c r="C64" s="509"/>
      <c r="D64" s="509"/>
      <c r="E64" s="509"/>
      <c r="F64" s="509"/>
      <c r="G64" s="509"/>
      <c r="H64" s="510"/>
      <c r="I64" s="510"/>
      <c r="J64" s="510"/>
      <c r="K64" s="510"/>
      <c r="L64" s="511"/>
      <c r="M64" s="512"/>
      <c r="N64" s="1063"/>
      <c r="O64" s="1063"/>
      <c r="P64" s="513"/>
      <c r="Q64" s="514"/>
    </row>
    <row r="65" spans="1:17" s="428" customFormat="1" ht="14.4" thickBot="1">
      <c r="A65" s="508"/>
      <c r="B65" s="498"/>
      <c r="C65" s="515"/>
      <c r="D65" s="491"/>
      <c r="E65" s="491"/>
      <c r="F65" s="491"/>
      <c r="G65" s="491"/>
      <c r="H65" s="491"/>
      <c r="I65" s="491"/>
      <c r="J65" s="491"/>
      <c r="K65" s="491"/>
      <c r="L65" s="491"/>
      <c r="M65" s="492"/>
      <c r="N65" s="1062"/>
      <c r="O65" s="1062"/>
      <c r="P65" s="513"/>
      <c r="Q65" s="514"/>
    </row>
    <row r="66" spans="1:17" s="428" customFormat="1" ht="14.4" thickTop="1">
      <c r="A66" s="508"/>
      <c r="B66" s="493">
        <f>B13</f>
        <v>111</v>
      </c>
      <c r="C66" s="509"/>
      <c r="D66" s="509"/>
      <c r="E66" s="509"/>
      <c r="F66" s="509"/>
      <c r="G66" s="509"/>
      <c r="H66" s="510"/>
      <c r="I66" s="510"/>
      <c r="J66" s="510"/>
      <c r="K66" s="510"/>
      <c r="L66" s="511"/>
      <c r="M66" s="512"/>
      <c r="N66" s="1063"/>
      <c r="O66" s="1063"/>
      <c r="P66" s="427"/>
      <c r="Q66" s="516"/>
    </row>
    <row r="67" spans="1:17" s="428" customFormat="1" ht="14.4" thickBot="1">
      <c r="A67" s="508"/>
      <c r="B67" s="498"/>
      <c r="C67" s="515"/>
      <c r="D67" s="491"/>
      <c r="E67" s="491"/>
      <c r="F67" s="491"/>
      <c r="G67" s="515"/>
      <c r="H67" s="517"/>
      <c r="I67" s="517"/>
      <c r="J67" s="517"/>
      <c r="K67" s="517"/>
      <c r="L67" s="517"/>
      <c r="M67" s="518"/>
      <c r="N67" s="1063"/>
      <c r="O67" s="1063"/>
      <c r="P67" s="513"/>
      <c r="Q67" s="514"/>
    </row>
    <row r="68" spans="1:17" s="428" customFormat="1" ht="14.4" thickTop="1">
      <c r="A68" s="508"/>
      <c r="B68" s="501">
        <f>B14</f>
        <v>111</v>
      </c>
      <c r="C68" s="478"/>
      <c r="D68" s="478"/>
      <c r="E68" s="478"/>
      <c r="F68" s="478"/>
      <c r="G68" s="478"/>
      <c r="H68" s="519"/>
      <c r="I68" s="519"/>
      <c r="J68" s="519"/>
      <c r="K68" s="519"/>
      <c r="L68" s="520"/>
      <c r="M68" s="521"/>
      <c r="N68" s="1063"/>
      <c r="O68" s="1063"/>
      <c r="P68" s="522"/>
      <c r="Q68" s="514"/>
    </row>
    <row r="69" spans="1:17" s="428" customFormat="1" ht="14.4" thickBot="1">
      <c r="A69" s="523"/>
      <c r="B69" s="524"/>
      <c r="C69" s="525"/>
      <c r="D69" s="525"/>
      <c r="E69" s="525"/>
      <c r="F69" s="525"/>
      <c r="G69" s="525"/>
      <c r="H69" s="526"/>
      <c r="I69" s="526"/>
      <c r="J69" s="526"/>
      <c r="K69" s="526"/>
      <c r="L69" s="526"/>
      <c r="M69" s="527"/>
      <c r="N69" s="1063"/>
      <c r="O69" s="1063"/>
      <c r="P69" s="513"/>
      <c r="Q69" s="514"/>
    </row>
    <row r="70" spans="1:17" ht="14.4">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4.4"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4.4"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4.4"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4.4"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4.4"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4.4" thickTop="1">
      <c r="A80" s="534"/>
      <c r="B80" s="493">
        <f>B25</f>
        <v>111</v>
      </c>
      <c r="C80" s="509"/>
      <c r="D80" s="509"/>
      <c r="E80" s="509"/>
      <c r="F80" s="509"/>
      <c r="G80" s="509"/>
      <c r="H80" s="509"/>
      <c r="I80" s="509"/>
      <c r="J80" s="509"/>
      <c r="K80" s="509"/>
      <c r="L80" s="535"/>
      <c r="M80" s="536"/>
      <c r="N80" s="1060"/>
      <c r="O80" s="1060"/>
      <c r="P80" s="45"/>
      <c r="Q80" s="459"/>
    </row>
    <row r="81" spans="1:17" s="111" customFormat="1" ht="14.4" thickBot="1">
      <c r="A81" s="534"/>
      <c r="B81" s="498"/>
      <c r="C81" s="515"/>
      <c r="D81" s="491"/>
      <c r="E81" s="491"/>
      <c r="F81" s="491"/>
      <c r="G81" s="491"/>
      <c r="H81" s="491"/>
      <c r="I81" s="491"/>
      <c r="J81" s="491"/>
      <c r="K81" s="491"/>
      <c r="L81" s="491"/>
      <c r="M81" s="492"/>
      <c r="N81" s="1062"/>
      <c r="O81" s="1062"/>
      <c r="P81" s="45"/>
      <c r="Q81" s="459"/>
    </row>
    <row r="82" spans="1:17" s="111" customFormat="1" ht="14.4" thickTop="1">
      <c r="A82" s="534"/>
      <c r="B82" s="493">
        <f>B26</f>
        <v>111</v>
      </c>
      <c r="C82" s="509"/>
      <c r="D82" s="509"/>
      <c r="E82" s="509"/>
      <c r="F82" s="509"/>
      <c r="G82" s="509"/>
      <c r="H82" s="509"/>
      <c r="I82" s="509"/>
      <c r="J82" s="509"/>
      <c r="K82" s="509"/>
      <c r="L82" s="535"/>
      <c r="M82" s="536"/>
      <c r="N82" s="1060"/>
      <c r="O82" s="1060"/>
      <c r="P82" s="45"/>
      <c r="Q82" s="459"/>
    </row>
    <row r="83" spans="1:17" s="111" customFormat="1" ht="14.4" thickBot="1">
      <c r="A83" s="534"/>
      <c r="B83" s="498"/>
      <c r="C83" s="515"/>
      <c r="D83" s="491"/>
      <c r="E83" s="491"/>
      <c r="F83" s="491"/>
      <c r="G83" s="491"/>
      <c r="H83" s="491"/>
      <c r="I83" s="491"/>
      <c r="J83" s="491"/>
      <c r="K83" s="491"/>
      <c r="L83" s="491"/>
      <c r="M83" s="492"/>
      <c r="N83" s="1062"/>
      <c r="O83" s="1062"/>
      <c r="P83" s="45"/>
      <c r="Q83" s="459"/>
    </row>
    <row r="84" spans="1:17" s="428" customFormat="1" ht="14.4" thickTop="1">
      <c r="A84" s="508"/>
      <c r="B84" s="493">
        <f>B27</f>
        <v>111</v>
      </c>
      <c r="C84" s="509"/>
      <c r="D84" s="509"/>
      <c r="E84" s="509"/>
      <c r="F84" s="509"/>
      <c r="G84" s="509"/>
      <c r="H84" s="509"/>
      <c r="I84" s="509"/>
      <c r="J84" s="509"/>
      <c r="K84" s="509"/>
      <c r="L84" s="535"/>
      <c r="M84" s="536"/>
      <c r="N84" s="1063"/>
      <c r="O84" s="1063"/>
      <c r="P84" s="513"/>
      <c r="Q84" s="514"/>
    </row>
    <row r="85" spans="1:17" s="428" customFormat="1" ht="14.4" thickBot="1">
      <c r="A85" s="508"/>
      <c r="B85" s="498"/>
      <c r="C85" s="515"/>
      <c r="D85" s="491"/>
      <c r="E85" s="491"/>
      <c r="F85" s="491"/>
      <c r="G85" s="491"/>
      <c r="H85" s="491"/>
      <c r="I85" s="491"/>
      <c r="J85" s="491"/>
      <c r="K85" s="491"/>
      <c r="L85" s="491"/>
      <c r="M85" s="492"/>
      <c r="N85" s="1063"/>
      <c r="O85" s="1063"/>
      <c r="P85" s="513"/>
      <c r="Q85" s="514"/>
    </row>
    <row r="86" spans="1:17" ht="14.4" thickTop="1">
      <c r="A86" s="489"/>
      <c r="B86" s="501">
        <f>B28</f>
        <v>111</v>
      </c>
      <c r="C86" s="478"/>
      <c r="D86" s="478"/>
      <c r="E86" s="478"/>
      <c r="F86" s="478"/>
      <c r="G86" s="542"/>
      <c r="H86" s="542"/>
      <c r="I86" s="542"/>
      <c r="J86" s="542"/>
      <c r="K86" s="543"/>
      <c r="L86" s="544"/>
      <c r="M86" s="545"/>
      <c r="N86" s="1061"/>
      <c r="O86" s="1061"/>
      <c r="P86" s="45"/>
      <c r="Q86" s="459"/>
    </row>
    <row r="87" spans="1:17" ht="14.4" thickBot="1">
      <c r="A87" s="2079"/>
      <c r="B87" s="524"/>
      <c r="C87" s="525"/>
      <c r="D87" s="525"/>
      <c r="E87" s="525"/>
      <c r="F87" s="525"/>
      <c r="G87" s="546"/>
      <c r="H87" s="546"/>
      <c r="I87" s="546"/>
      <c r="J87" s="546"/>
      <c r="K87" s="546"/>
      <c r="L87" s="546"/>
      <c r="M87" s="547"/>
      <c r="N87" s="1062"/>
      <c r="O87" s="1062"/>
      <c r="P87" s="45"/>
      <c r="Q87" s="459"/>
    </row>
    <row r="88" spans="1:17" ht="14.4">
      <c r="A88" s="482" t="s">
        <v>2324</v>
      </c>
      <c r="B88" s="483" t="s">
        <v>2373</v>
      </c>
      <c r="C88" s="485"/>
      <c r="D88" s="485"/>
      <c r="E88" s="485"/>
      <c r="F88" s="485"/>
      <c r="G88" s="485"/>
      <c r="H88" s="485"/>
      <c r="I88" s="485"/>
      <c r="J88" s="485"/>
      <c r="K88" s="486"/>
      <c r="L88" s="487"/>
      <c r="M88" s="488"/>
      <c r="N88" s="1061"/>
      <c r="O88" s="1061"/>
      <c r="P88" s="45"/>
      <c r="Q88" s="459"/>
    </row>
    <row r="89" spans="1:17" ht="14.4"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4.4"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4.4"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4.4"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4.4"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4.4"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4.4"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4.4"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29.4"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4.4"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4.4"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4.4" thickBot="1">
      <c r="A109" s="508"/>
      <c r="B109" s="490"/>
      <c r="C109" s="515"/>
      <c r="D109" s="491"/>
      <c r="E109" s="491"/>
      <c r="F109" s="491"/>
      <c r="G109" s="515"/>
      <c r="H109" s="517"/>
      <c r="I109" s="517"/>
      <c r="J109" s="517"/>
      <c r="K109" s="517"/>
      <c r="L109" s="517"/>
      <c r="M109" s="518"/>
      <c r="N109" s="1063"/>
      <c r="O109" s="1063"/>
      <c r="P109" s="513"/>
      <c r="Q109" s="514"/>
    </row>
    <row r="110" spans="1:17" ht="14.4" thickTop="1">
      <c r="A110" s="554"/>
      <c r="B110" s="493">
        <f>B39</f>
        <v>111</v>
      </c>
      <c r="C110" s="509"/>
      <c r="D110" s="509"/>
      <c r="E110" s="509"/>
      <c r="F110" s="509"/>
      <c r="G110" s="509"/>
      <c r="H110" s="510"/>
      <c r="I110" s="510"/>
      <c r="J110" s="510"/>
      <c r="K110" s="510"/>
      <c r="L110" s="511"/>
      <c r="M110" s="512"/>
      <c r="N110" s="1061"/>
      <c r="O110" s="1061"/>
      <c r="P110" s="45"/>
      <c r="Q110" s="459"/>
    </row>
    <row r="111" spans="1:17" ht="14.4" thickBot="1">
      <c r="A111" s="489"/>
      <c r="B111" s="498"/>
      <c r="C111" s="515"/>
      <c r="D111" s="491"/>
      <c r="E111" s="491"/>
      <c r="F111" s="491"/>
      <c r="G111" s="515"/>
      <c r="H111" s="517"/>
      <c r="I111" s="517"/>
      <c r="J111" s="517"/>
      <c r="K111" s="517"/>
      <c r="L111" s="517"/>
      <c r="M111" s="518"/>
      <c r="N111" s="1062"/>
      <c r="O111" s="1062"/>
      <c r="P111" s="45"/>
      <c r="Q111" s="459"/>
    </row>
    <row r="112" spans="1:17" ht="14.4" thickTop="1">
      <c r="A112" s="554"/>
      <c r="B112" s="501">
        <f>B40</f>
        <v>111</v>
      </c>
      <c r="C112" s="478"/>
      <c r="D112" s="478"/>
      <c r="E112" s="478"/>
      <c r="F112" s="478"/>
      <c r="G112" s="542"/>
      <c r="H112" s="542"/>
      <c r="I112" s="542"/>
      <c r="J112" s="542"/>
      <c r="K112" s="478"/>
      <c r="L112" s="479"/>
      <c r="M112" s="545"/>
      <c r="N112" s="1061"/>
      <c r="O112" s="1061"/>
      <c r="P112" s="45"/>
      <c r="Q112" s="459"/>
    </row>
    <row r="113" spans="1:17" ht="14.4"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5.44140625" style="361" customWidth="1"/>
    <col min="10" max="10" width="12.21875" style="361" customWidth="1"/>
    <col min="11" max="11" width="12.21875" style="450" customWidth="1"/>
    <col min="12" max="12" width="12.21875" style="451" customWidth="1"/>
    <col min="13" max="15" width="12.21875" style="361" customWidth="1"/>
    <col min="16" max="16" width="4.77734375" style="1034"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4.4">
      <c r="A4" s="359" t="s">
        <v>2406</v>
      </c>
      <c r="B4" s="360"/>
      <c r="C4" s="3775" t="s">
        <v>2407</v>
      </c>
      <c r="D4" s="3776"/>
      <c r="E4" s="3777" t="s">
        <v>2408</v>
      </c>
      <c r="F4" s="3778"/>
      <c r="G4" s="3775" t="s">
        <v>2409</v>
      </c>
      <c r="H4" s="3776"/>
      <c r="I4" s="3775" t="s">
        <v>2410</v>
      </c>
      <c r="J4" s="3776"/>
      <c r="K4" s="565" t="s">
        <v>2411</v>
      </c>
      <c r="L4" s="2907"/>
      <c r="M4" s="2908"/>
      <c r="N4" s="2908"/>
      <c r="O4" s="2908"/>
      <c r="P4" s="3779" t="s">
        <v>2412</v>
      </c>
      <c r="Q4" s="3780"/>
      <c r="R4" s="3785" t="s">
        <v>2408</v>
      </c>
      <c r="S4" s="3786"/>
      <c r="T4" s="3785" t="s">
        <v>2409</v>
      </c>
      <c r="U4" s="3786"/>
      <c r="V4" s="3791" t="s">
        <v>2410</v>
      </c>
      <c r="W4" s="3791"/>
      <c r="X4" s="1504"/>
      <c r="Y4" s="3785" t="s">
        <v>2412</v>
      </c>
      <c r="Z4" s="3786"/>
      <c r="AA4" s="3772" t="s">
        <v>2408</v>
      </c>
      <c r="AB4" s="3773" t="s">
        <v>2409</v>
      </c>
      <c r="AC4" s="3772" t="s">
        <v>2410</v>
      </c>
    </row>
    <row r="5" spans="1:29">
      <c r="A5" s="362"/>
      <c r="B5" s="363"/>
      <c r="C5" s="3794" t="s">
        <v>2303</v>
      </c>
      <c r="D5" s="3795"/>
      <c r="E5" s="3801" t="s">
        <v>2304</v>
      </c>
      <c r="F5" s="3802"/>
      <c r="G5" s="3794" t="s">
        <v>2305</v>
      </c>
      <c r="H5" s="3795"/>
      <c r="I5" s="3794" t="s">
        <v>2306</v>
      </c>
      <c r="J5" s="3795"/>
      <c r="K5" s="565"/>
      <c r="L5" s="2907"/>
      <c r="M5" s="2908"/>
      <c r="N5" s="2908"/>
      <c r="O5" s="2908"/>
      <c r="P5" s="3781"/>
      <c r="Q5" s="3782"/>
      <c r="R5" s="3787"/>
      <c r="S5" s="3788"/>
      <c r="T5" s="3787"/>
      <c r="U5" s="3788"/>
      <c r="V5" s="3791"/>
      <c r="W5" s="3791"/>
      <c r="X5" s="1504"/>
      <c r="Y5" s="3787"/>
      <c r="Z5" s="3788"/>
      <c r="AA5" s="3773"/>
      <c r="AB5" s="3773"/>
      <c r="AC5" s="3773"/>
    </row>
    <row r="6" spans="1:29" ht="15" thickBot="1">
      <c r="A6" s="364"/>
      <c r="B6" s="365"/>
      <c r="C6" s="3792" t="s">
        <v>2307</v>
      </c>
      <c r="D6" s="3793"/>
      <c r="E6" s="3799" t="s">
        <v>2307</v>
      </c>
      <c r="F6" s="3800"/>
      <c r="G6" s="3792" t="s">
        <v>2307</v>
      </c>
      <c r="H6" s="3793"/>
      <c r="I6" s="3792" t="s">
        <v>2307</v>
      </c>
      <c r="J6" s="3793"/>
      <c r="K6" s="565" t="s">
        <v>2308</v>
      </c>
      <c r="L6" s="2907"/>
      <c r="M6" s="2908"/>
      <c r="N6" s="2908"/>
      <c r="O6" s="2908"/>
      <c r="P6" s="3783"/>
      <c r="Q6" s="3784"/>
      <c r="R6" s="3787"/>
      <c r="S6" s="3788"/>
      <c r="T6" s="3789"/>
      <c r="U6" s="3790"/>
      <c r="V6" s="3791"/>
      <c r="W6" s="3791"/>
      <c r="X6" s="1504"/>
      <c r="Y6" s="3789"/>
      <c r="Z6" s="3790"/>
      <c r="AA6" s="3774"/>
      <c r="AB6" s="3774"/>
      <c r="AC6" s="3774"/>
    </row>
    <row r="7" spans="1:29" s="111" customFormat="1" ht="15" thickBot="1">
      <c r="A7" s="366" t="s">
        <v>2309</v>
      </c>
      <c r="B7" s="367"/>
      <c r="C7" s="368">
        <f>'数据-取费表'!B2</f>
        <v>43252</v>
      </c>
      <c r="D7" s="369">
        <v>100</v>
      </c>
      <c r="E7" s="370"/>
      <c r="F7" s="371">
        <f>SUMIF(48:48,YEAR(E7)&amp;"-"&amp;MONTH(E7),49:49)</f>
        <v>0</v>
      </c>
      <c r="G7" s="370"/>
      <c r="H7" s="369">
        <f>SUMIF(48:48,YEAR(G7)&amp;"-"&amp;MONTH(G7),49:49)</f>
        <v>0</v>
      </c>
      <c r="I7" s="370"/>
      <c r="J7" s="369">
        <f>SUMIF(48:48,YEAR(I7)&amp;"-"&amp;MONTH(I7),49:49)</f>
        <v>0</v>
      </c>
      <c r="K7" s="566"/>
      <c r="L7" s="2909"/>
      <c r="M7" s="2910"/>
      <c r="N7" s="2910"/>
      <c r="O7" s="2910"/>
      <c r="P7" s="3796" t="s">
        <v>2310</v>
      </c>
      <c r="Q7" s="3798"/>
      <c r="R7" s="707" t="s">
        <v>17</v>
      </c>
      <c r="S7" s="708">
        <f t="shared" ref="S7:S14" si="0">F7</f>
        <v>0</v>
      </c>
      <c r="T7" s="707" t="s">
        <v>17</v>
      </c>
      <c r="U7" s="708">
        <f t="shared" ref="U7:U14" si="1">H7</f>
        <v>0</v>
      </c>
      <c r="V7" s="707" t="s">
        <v>17</v>
      </c>
      <c r="W7" s="708">
        <f t="shared" ref="W7:W14" si="2">J7</f>
        <v>0</v>
      </c>
      <c r="X7" s="709"/>
      <c r="Y7" s="3796" t="s">
        <v>2310</v>
      </c>
      <c r="Z7" s="3797"/>
      <c r="AA7" s="710" t="e">
        <f>D7/F7</f>
        <v>#DIV/0!</v>
      </c>
      <c r="AB7" s="710" t="e">
        <f>D7/H7</f>
        <v>#DIV/0!</v>
      </c>
      <c r="AC7" s="710" t="e">
        <f>D7/J7</f>
        <v>#DIV/0!</v>
      </c>
    </row>
    <row r="8" spans="1:29" s="111" customFormat="1" ht="1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796" t="s">
        <v>2313</v>
      </c>
      <c r="Q8" s="3797"/>
      <c r="R8" s="707" t="s">
        <v>17</v>
      </c>
      <c r="S8" s="708">
        <f t="shared" si="0"/>
        <v>0</v>
      </c>
      <c r="T8" s="707" t="s">
        <v>17</v>
      </c>
      <c r="U8" s="708">
        <f t="shared" si="1"/>
        <v>0</v>
      </c>
      <c r="V8" s="707" t="s">
        <v>17</v>
      </c>
      <c r="W8" s="708">
        <f t="shared" si="2"/>
        <v>0</v>
      </c>
      <c r="X8" s="709"/>
      <c r="Y8" s="3796" t="s">
        <v>2313</v>
      </c>
      <c r="Z8" s="3797"/>
      <c r="AA8" s="710" t="e">
        <f t="shared" ref="AA8:AA36" si="3">D8/F8</f>
        <v>#DIV/0!</v>
      </c>
      <c r="AB8" s="710" t="e">
        <f t="shared" ref="AB8:AB36" si="4">D8/H8</f>
        <v>#DIV/0!</v>
      </c>
      <c r="AC8" s="710" t="e">
        <f t="shared" ref="AC8:AC36" si="5">D8/J8</f>
        <v>#DIV/0!</v>
      </c>
    </row>
    <row r="9" spans="1:29" s="111" customFormat="1" ht="14.4">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759" t="s">
        <v>2316</v>
      </c>
      <c r="Q9" s="1492" t="str">
        <f t="shared" ref="Q9:Q14" si="6">B9</f>
        <v>用途</v>
      </c>
      <c r="R9" s="707" t="s">
        <v>17</v>
      </c>
      <c r="S9" s="708">
        <f t="shared" si="0"/>
        <v>100</v>
      </c>
      <c r="T9" s="707" t="s">
        <v>17</v>
      </c>
      <c r="U9" s="708">
        <f t="shared" si="1"/>
        <v>100</v>
      </c>
      <c r="V9" s="707" t="s">
        <v>17</v>
      </c>
      <c r="W9" s="708">
        <f t="shared" si="2"/>
        <v>100</v>
      </c>
      <c r="X9" s="709"/>
      <c r="Y9" s="3771" t="s">
        <v>2317</v>
      </c>
      <c r="Z9" s="55" t="str">
        <f t="shared" ref="Z9:Z14" si="7">Q9</f>
        <v>用途</v>
      </c>
      <c r="AA9" s="710">
        <f t="shared" si="3"/>
        <v>1</v>
      </c>
      <c r="AB9" s="710">
        <f t="shared" si="4"/>
        <v>1</v>
      </c>
      <c r="AC9" s="710">
        <f t="shared" si="5"/>
        <v>1</v>
      </c>
    </row>
    <row r="10" spans="1:29" s="384" customFormat="1" ht="28.8">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759"/>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759"/>
      <c r="Q11" s="1492">
        <f t="shared" si="6"/>
        <v>111</v>
      </c>
      <c r="R11" s="707" t="s">
        <v>17</v>
      </c>
      <c r="S11" s="708">
        <f t="shared" si="0"/>
        <v>100</v>
      </c>
      <c r="T11" s="707" t="s">
        <v>17</v>
      </c>
      <c r="U11" s="708">
        <f t="shared" si="1"/>
        <v>100</v>
      </c>
      <c r="V11" s="707" t="s">
        <v>17</v>
      </c>
      <c r="W11" s="708">
        <f t="shared" si="2"/>
        <v>100</v>
      </c>
      <c r="X11" s="709"/>
      <c r="Y11" s="3771"/>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759"/>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710">
        <f>D12/J12</f>
        <v>1</v>
      </c>
    </row>
    <row r="13" spans="1:29" ht="15.6"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759"/>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710">
        <f t="shared" si="5"/>
        <v>1</v>
      </c>
    </row>
    <row r="14" spans="1:29" ht="96.6">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761" t="s">
        <v>2321</v>
      </c>
      <c r="Q14" s="1501" t="str">
        <f t="shared" si="6"/>
        <v>交通便捷度</v>
      </c>
      <c r="R14" s="711" t="s">
        <v>17</v>
      </c>
      <c r="S14" s="712">
        <f t="shared" si="0"/>
        <v>100</v>
      </c>
      <c r="T14" s="711" t="s">
        <v>17</v>
      </c>
      <c r="U14" s="712">
        <f t="shared" si="1"/>
        <v>100</v>
      </c>
      <c r="V14" s="711" t="s">
        <v>17</v>
      </c>
      <c r="W14" s="712">
        <f t="shared" si="2"/>
        <v>100</v>
      </c>
      <c r="X14" s="1504"/>
      <c r="Y14" s="3761"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762"/>
      <c r="Q15" s="1501"/>
      <c r="R15" s="711"/>
      <c r="S15" s="712"/>
      <c r="T15" s="711"/>
      <c r="U15" s="712"/>
      <c r="V15" s="711"/>
      <c r="W15" s="712"/>
      <c r="X15" s="1504"/>
      <c r="Y15" s="3762"/>
      <c r="Z15" s="1505"/>
      <c r="AA15" s="1502">
        <v>1</v>
      </c>
      <c r="AB15" s="1502">
        <v>1</v>
      </c>
      <c r="AC15" s="1502">
        <v>1</v>
      </c>
    </row>
    <row r="16" spans="1:29" ht="41.4">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762"/>
      <c r="Q16" s="1501" t="str">
        <f>B16</f>
        <v>公共配套设施</v>
      </c>
      <c r="R16" s="711" t="s">
        <v>17</v>
      </c>
      <c r="S16" s="712">
        <f>F16</f>
        <v>100</v>
      </c>
      <c r="T16" s="711" t="s">
        <v>17</v>
      </c>
      <c r="U16" s="712">
        <f>H16</f>
        <v>100</v>
      </c>
      <c r="V16" s="711" t="s">
        <v>17</v>
      </c>
      <c r="W16" s="712">
        <f>J16</f>
        <v>100</v>
      </c>
      <c r="X16" s="1504"/>
      <c r="Y16" s="3762"/>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762"/>
      <c r="Q17" s="1501"/>
      <c r="R17" s="711"/>
      <c r="S17" s="712"/>
      <c r="T17" s="711"/>
      <c r="U17" s="712"/>
      <c r="V17" s="711"/>
      <c r="W17" s="712"/>
      <c r="X17" s="1504"/>
      <c r="Y17" s="3762"/>
      <c r="Z17" s="1505"/>
      <c r="AA17" s="1502">
        <v>1</v>
      </c>
      <c r="AB17" s="1502">
        <v>1</v>
      </c>
      <c r="AC17" s="1502">
        <v>1</v>
      </c>
    </row>
    <row r="18" spans="1:29" ht="41.4">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762"/>
      <c r="Q18" s="1501" t="str">
        <f>B18</f>
        <v>基础设施水平</v>
      </c>
      <c r="R18" s="711" t="s">
        <v>17</v>
      </c>
      <c r="S18" s="712">
        <f>F18</f>
        <v>100</v>
      </c>
      <c r="T18" s="711" t="s">
        <v>17</v>
      </c>
      <c r="U18" s="712">
        <f>H18</f>
        <v>100</v>
      </c>
      <c r="V18" s="711" t="s">
        <v>17</v>
      </c>
      <c r="W18" s="712">
        <f>J18</f>
        <v>100</v>
      </c>
      <c r="X18" s="1504"/>
      <c r="Y18" s="3762"/>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762"/>
      <c r="Q19" s="1501"/>
      <c r="R19" s="711"/>
      <c r="S19" s="712"/>
      <c r="T19" s="711"/>
      <c r="U19" s="712"/>
      <c r="V19" s="711"/>
      <c r="W19" s="712"/>
      <c r="X19" s="1504"/>
      <c r="Y19" s="3762"/>
      <c r="Z19" s="1505"/>
      <c r="AA19" s="1502">
        <v>1</v>
      </c>
      <c r="AB19" s="1502">
        <v>1</v>
      </c>
      <c r="AC19" s="1502">
        <v>1</v>
      </c>
    </row>
    <row r="20" spans="1:29" ht="55.2">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762"/>
      <c r="Q20" s="1501" t="str">
        <f>B20</f>
        <v>自然及人文环境</v>
      </c>
      <c r="R20" s="711" t="s">
        <v>17</v>
      </c>
      <c r="S20" s="712">
        <f>F20</f>
        <v>100</v>
      </c>
      <c r="T20" s="711" t="s">
        <v>17</v>
      </c>
      <c r="U20" s="712">
        <f>H20</f>
        <v>100</v>
      </c>
      <c r="V20" s="711" t="s">
        <v>17</v>
      </c>
      <c r="W20" s="712">
        <f>J20</f>
        <v>100</v>
      </c>
      <c r="X20" s="1504"/>
      <c r="Y20" s="3762"/>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762"/>
      <c r="Q21" s="1501"/>
      <c r="R21" s="711"/>
      <c r="S21" s="712"/>
      <c r="T21" s="711"/>
      <c r="U21" s="712"/>
      <c r="V21" s="711"/>
      <c r="W21" s="712"/>
      <c r="X21" s="1504"/>
      <c r="Y21" s="3762"/>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762"/>
      <c r="Q22" s="1501" t="str">
        <f>B22</f>
        <v>楼层</v>
      </c>
      <c r="R22" s="711" t="s">
        <v>17</v>
      </c>
      <c r="S22" s="712">
        <f>F22</f>
        <v>100</v>
      </c>
      <c r="T22" s="711" t="s">
        <v>17</v>
      </c>
      <c r="U22" s="712">
        <f>H22</f>
        <v>100</v>
      </c>
      <c r="V22" s="711" t="s">
        <v>17</v>
      </c>
      <c r="W22" s="712">
        <f>J22</f>
        <v>100</v>
      </c>
      <c r="X22" s="1504"/>
      <c r="Y22" s="3762"/>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762"/>
      <c r="Q23" s="1501">
        <f>B23</f>
        <v>111</v>
      </c>
      <c r="R23" s="711" t="s">
        <v>17</v>
      </c>
      <c r="S23" s="712">
        <f>F23</f>
        <v>100</v>
      </c>
      <c r="T23" s="711" t="s">
        <v>17</v>
      </c>
      <c r="U23" s="712">
        <f>H23</f>
        <v>100</v>
      </c>
      <c r="V23" s="711" t="s">
        <v>17</v>
      </c>
      <c r="W23" s="712">
        <f>J23</f>
        <v>100</v>
      </c>
      <c r="X23" s="1504"/>
      <c r="Y23" s="3762"/>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762"/>
      <c r="Q24" s="1501">
        <f t="shared" ref="Q24:Q36" si="11">B24</f>
        <v>111</v>
      </c>
      <c r="R24" s="711" t="s">
        <v>17</v>
      </c>
      <c r="S24" s="712">
        <f>F24</f>
        <v>100</v>
      </c>
      <c r="T24" s="711" t="s">
        <v>17</v>
      </c>
      <c r="U24" s="712">
        <f>H24</f>
        <v>100</v>
      </c>
      <c r="V24" s="711" t="s">
        <v>17</v>
      </c>
      <c r="W24" s="712">
        <f>J24</f>
        <v>100</v>
      </c>
      <c r="X24" s="1504"/>
      <c r="Y24" s="3762"/>
      <c r="Z24" s="1505">
        <f>Q24</f>
        <v>111</v>
      </c>
      <c r="AA24" s="1502">
        <f t="shared" si="3"/>
        <v>1</v>
      </c>
      <c r="AB24" s="1502">
        <f t="shared" si="4"/>
        <v>1</v>
      </c>
      <c r="AC24" s="1502">
        <f t="shared" si="5"/>
        <v>1</v>
      </c>
    </row>
    <row r="25" spans="1:29" s="111" customFormat="1" ht="15.6"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762"/>
      <c r="Q25" s="1492">
        <f t="shared" si="11"/>
        <v>111</v>
      </c>
      <c r="R25" s="707" t="s">
        <v>17</v>
      </c>
      <c r="S25" s="708">
        <f>F25</f>
        <v>100</v>
      </c>
      <c r="T25" s="707" t="s">
        <v>17</v>
      </c>
      <c r="U25" s="708">
        <f>H25</f>
        <v>100</v>
      </c>
      <c r="V25" s="707" t="s">
        <v>17</v>
      </c>
      <c r="W25" s="708">
        <f>J25</f>
        <v>100</v>
      </c>
      <c r="X25" s="709"/>
      <c r="Y25" s="3762"/>
      <c r="Z25" s="55">
        <f>Q25</f>
        <v>111</v>
      </c>
      <c r="AA25" s="1502">
        <f>D25/F25</f>
        <v>1</v>
      </c>
      <c r="AB25" s="1502">
        <f>D25/H25</f>
        <v>1</v>
      </c>
      <c r="AC25" s="1502">
        <f>D25/J25</f>
        <v>1</v>
      </c>
    </row>
    <row r="26" spans="1:29" ht="30">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818"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766"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766"/>
      <c r="Q27" s="713" t="str">
        <f t="shared" si="11"/>
        <v>项目停车位配比</v>
      </c>
      <c r="R27" s="714" t="s">
        <v>17</v>
      </c>
      <c r="S27" s="715">
        <f t="shared" si="12"/>
        <v>100</v>
      </c>
      <c r="T27" s="714" t="s">
        <v>17</v>
      </c>
      <c r="U27" s="715">
        <f t="shared" si="13"/>
        <v>100</v>
      </c>
      <c r="V27" s="714" t="s">
        <v>17</v>
      </c>
      <c r="W27" s="715">
        <f t="shared" si="14"/>
        <v>100</v>
      </c>
      <c r="X27" s="716"/>
      <c r="Y27" s="3766"/>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766"/>
      <c r="Q28" s="1501" t="str">
        <f t="shared" si="11"/>
        <v>公共部分装修</v>
      </c>
      <c r="R28" s="711" t="s">
        <v>17</v>
      </c>
      <c r="S28" s="712">
        <f t="shared" si="12"/>
        <v>100</v>
      </c>
      <c r="T28" s="711" t="s">
        <v>17</v>
      </c>
      <c r="U28" s="712">
        <f t="shared" si="13"/>
        <v>100</v>
      </c>
      <c r="V28" s="711" t="s">
        <v>17</v>
      </c>
      <c r="W28" s="712">
        <f t="shared" si="14"/>
        <v>100</v>
      </c>
      <c r="X28" s="1504"/>
      <c r="Y28" s="3766"/>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766"/>
      <c r="Q29" s="1501" t="str">
        <f t="shared" si="11"/>
        <v>成新率</v>
      </c>
      <c r="R29" s="711" t="s">
        <v>17</v>
      </c>
      <c r="S29" s="712" t="e">
        <f t="shared" si="12"/>
        <v>#N/A</v>
      </c>
      <c r="T29" s="711" t="s">
        <v>17</v>
      </c>
      <c r="U29" s="712" t="e">
        <f t="shared" si="13"/>
        <v>#N/A</v>
      </c>
      <c r="V29" s="711" t="s">
        <v>17</v>
      </c>
      <c r="W29" s="712" t="e">
        <f t="shared" si="14"/>
        <v>#N/A</v>
      </c>
      <c r="X29" s="1504"/>
      <c r="Y29" s="3766"/>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766"/>
      <c r="Q30" s="1501" t="str">
        <f t="shared" si="11"/>
        <v>物业等级</v>
      </c>
      <c r="R30" s="711" t="s">
        <v>17</v>
      </c>
      <c r="S30" s="712">
        <f t="shared" si="12"/>
        <v>100</v>
      </c>
      <c r="T30" s="711" t="s">
        <v>17</v>
      </c>
      <c r="U30" s="712">
        <f t="shared" si="13"/>
        <v>100</v>
      </c>
      <c r="V30" s="711" t="s">
        <v>17</v>
      </c>
      <c r="W30" s="712">
        <f t="shared" si="14"/>
        <v>100</v>
      </c>
      <c r="X30" s="1504"/>
      <c r="Y30" s="3766"/>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766"/>
      <c r="Q31" s="1492" t="str">
        <f t="shared" si="11"/>
        <v>停车位面积</v>
      </c>
      <c r="R31" s="707" t="s">
        <v>17</v>
      </c>
      <c r="S31" s="708" t="e">
        <f t="shared" si="12"/>
        <v>#N/A</v>
      </c>
      <c r="T31" s="707" t="s">
        <v>17</v>
      </c>
      <c r="U31" s="708" t="e">
        <f t="shared" si="13"/>
        <v>#N/A</v>
      </c>
      <c r="V31" s="707" t="s">
        <v>17</v>
      </c>
      <c r="W31" s="708" t="e">
        <f t="shared" si="14"/>
        <v>#N/A</v>
      </c>
      <c r="X31" s="709"/>
      <c r="Y31" s="3766"/>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766" t="s">
        <v>2326</v>
      </c>
      <c r="Q32" s="1501" t="str">
        <f t="shared" si="11"/>
        <v>车位类型</v>
      </c>
      <c r="R32" s="711" t="s">
        <v>17</v>
      </c>
      <c r="S32" s="712">
        <f t="shared" si="12"/>
        <v>100</v>
      </c>
      <c r="T32" s="711" t="s">
        <v>17</v>
      </c>
      <c r="U32" s="712">
        <f t="shared" si="13"/>
        <v>100</v>
      </c>
      <c r="V32" s="711" t="s">
        <v>17</v>
      </c>
      <c r="W32" s="712">
        <f t="shared" si="14"/>
        <v>100</v>
      </c>
      <c r="X32" s="1504"/>
      <c r="Y32" s="3766"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766"/>
      <c r="Q33" s="1501" t="str">
        <f t="shared" si="11"/>
        <v>是否直接入户</v>
      </c>
      <c r="R33" s="711" t="s">
        <v>17</v>
      </c>
      <c r="S33" s="712">
        <f t="shared" si="12"/>
        <v>100</v>
      </c>
      <c r="T33" s="711" t="s">
        <v>17</v>
      </c>
      <c r="U33" s="712">
        <f t="shared" si="13"/>
        <v>100</v>
      </c>
      <c r="V33" s="711" t="s">
        <v>17</v>
      </c>
      <c r="W33" s="712">
        <f t="shared" si="14"/>
        <v>100</v>
      </c>
      <c r="X33" s="1504"/>
      <c r="Y33" s="3766"/>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766"/>
      <c r="Q34" s="1501">
        <f t="shared" si="11"/>
        <v>111</v>
      </c>
      <c r="R34" s="711" t="s">
        <v>17</v>
      </c>
      <c r="S34" s="712">
        <f t="shared" si="12"/>
        <v>100</v>
      </c>
      <c r="T34" s="711" t="s">
        <v>17</v>
      </c>
      <c r="U34" s="712">
        <f t="shared" si="13"/>
        <v>100</v>
      </c>
      <c r="V34" s="711" t="s">
        <v>17</v>
      </c>
      <c r="W34" s="712">
        <f t="shared" si="14"/>
        <v>100</v>
      </c>
      <c r="X34" s="1504"/>
      <c r="Y34" s="3766"/>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766"/>
      <c r="Q35" s="713">
        <f t="shared" si="11"/>
        <v>111</v>
      </c>
      <c r="R35" s="714" t="s">
        <v>17</v>
      </c>
      <c r="S35" s="715">
        <f t="shared" si="12"/>
        <v>100</v>
      </c>
      <c r="T35" s="714" t="s">
        <v>17</v>
      </c>
      <c r="U35" s="715">
        <f t="shared" si="13"/>
        <v>100</v>
      </c>
      <c r="V35" s="714" t="s">
        <v>17</v>
      </c>
      <c r="W35" s="715">
        <f t="shared" si="14"/>
        <v>100</v>
      </c>
      <c r="X35" s="716"/>
      <c r="Y35" s="3766"/>
      <c r="Z35" s="717">
        <f t="shared" si="15"/>
        <v>111</v>
      </c>
      <c r="AA35" s="1502">
        <f t="shared" si="3"/>
        <v>1</v>
      </c>
      <c r="AB35" s="1502">
        <f t="shared" si="4"/>
        <v>1</v>
      </c>
      <c r="AC35" s="1502">
        <f t="shared" si="5"/>
        <v>1</v>
      </c>
    </row>
    <row r="36" spans="1:29" ht="15.6"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766"/>
      <c r="Q36" s="1501">
        <f t="shared" si="11"/>
        <v>111</v>
      </c>
      <c r="R36" s="711" t="s">
        <v>17</v>
      </c>
      <c r="S36" s="712">
        <f t="shared" si="12"/>
        <v>100</v>
      </c>
      <c r="T36" s="711" t="s">
        <v>17</v>
      </c>
      <c r="U36" s="712">
        <f t="shared" si="13"/>
        <v>100</v>
      </c>
      <c r="V36" s="711" t="s">
        <v>17</v>
      </c>
      <c r="W36" s="712">
        <f t="shared" si="14"/>
        <v>100</v>
      </c>
      <c r="X36" s="1504"/>
      <c r="Y36" s="3766"/>
      <c r="Z36" s="1505">
        <f t="shared" si="15"/>
        <v>111</v>
      </c>
      <c r="AA36" s="1502">
        <f t="shared" si="3"/>
        <v>1</v>
      </c>
      <c r="AB36" s="1502">
        <f t="shared" si="4"/>
        <v>1</v>
      </c>
      <c r="AC36" s="1502">
        <f t="shared" si="5"/>
        <v>1</v>
      </c>
    </row>
    <row r="37" spans="1:29" ht="14.4">
      <c r="A37" s="436" t="s">
        <v>2481</v>
      </c>
      <c r="B37" s="2124" t="s">
        <v>2482</v>
      </c>
      <c r="C37" s="1283" t="s">
        <v>1</v>
      </c>
      <c r="D37" s="1284"/>
      <c r="E37" s="1285"/>
      <c r="F37" s="1286"/>
      <c r="G37" s="1287"/>
      <c r="H37" s="1288"/>
      <c r="I37" s="1285"/>
      <c r="J37" s="1288"/>
      <c r="K37" s="574"/>
      <c r="L37" s="2916"/>
      <c r="M37" s="2917"/>
      <c r="N37" s="2908"/>
      <c r="O37" s="2917"/>
      <c r="P37" s="3759" t="str">
        <f>A37</f>
        <v>成交单价</v>
      </c>
      <c r="Q37" s="3759"/>
      <c r="R37" s="3760">
        <f>E37</f>
        <v>0</v>
      </c>
      <c r="S37" s="3760"/>
      <c r="T37" s="3760">
        <f>G37</f>
        <v>0</v>
      </c>
      <c r="U37" s="3760"/>
      <c r="V37" s="3760">
        <f>I37</f>
        <v>0</v>
      </c>
      <c r="W37" s="3760"/>
      <c r="X37" s="696"/>
      <c r="Y37" s="718"/>
      <c r="Z37" s="696"/>
      <c r="AA37" s="696"/>
      <c r="AB37" s="696"/>
      <c r="AC37" s="696"/>
    </row>
    <row r="38" spans="1:29" ht="1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6"/>
      <c r="Y38" s="696"/>
      <c r="Z38" s="696"/>
      <c r="AA38" s="696"/>
      <c r="AB38" s="696"/>
      <c r="AC38" s="696"/>
    </row>
    <row r="39" spans="1:29" ht="15" thickBot="1">
      <c r="A39" s="447" t="s">
        <v>2484</v>
      </c>
      <c r="B39" s="448"/>
      <c r="C39" s="1292" t="e">
        <f>R39</f>
        <v>#DIV/0!</v>
      </c>
      <c r="D39" s="1292"/>
      <c r="E39" s="1292"/>
      <c r="F39" s="1292"/>
      <c r="G39" s="1292"/>
      <c r="H39" s="1292"/>
      <c r="I39" s="1292"/>
      <c r="J39" s="1292"/>
      <c r="K39" s="575"/>
      <c r="L39" s="2916"/>
      <c r="M39" s="2917"/>
      <c r="N39" s="2917"/>
      <c r="O39" s="2917"/>
      <c r="P39" s="3756" t="str">
        <f>A39</f>
        <v>估价对象XX用房的比较价值（楼面单价，元/平方米）</v>
      </c>
      <c r="Q39" s="3757"/>
      <c r="R39" s="3819" t="e">
        <f>IF(F1="售价",ROUND(IF(D38="简单平均",AVERAGE(R38:W38),R38*F38+T38*H38+V38*J38),0),ROUND(IF(D38="简单平均",AVERAGE(R38:V38),R38*F38+T38*H38+V38*J38),1))</f>
        <v>#DIV/0!</v>
      </c>
      <c r="S39" s="3819"/>
      <c r="T39" s="3819"/>
      <c r="U39" s="3819"/>
      <c r="V39" s="3819"/>
      <c r="W39" s="3819"/>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2.2"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4.4">
      <c r="A48" s="460" t="s">
        <v>2489</v>
      </c>
      <c r="B48" s="461"/>
      <c r="C48" s="1313" t="str">
        <f>YEAR(C7)&amp;"-"&amp;MONTH(C7)</f>
        <v>2018-6</v>
      </c>
      <c r="D48" s="1314">
        <f>EDATE(C48,-1)</f>
        <v>43221</v>
      </c>
      <c r="E48" s="1314">
        <f t="shared" ref="E48:O48" si="16">EDATE(D48,-1)</f>
        <v>43191</v>
      </c>
      <c r="F48" s="1314">
        <f t="shared" si="16"/>
        <v>43160</v>
      </c>
      <c r="G48" s="1314">
        <f t="shared" si="16"/>
        <v>43132</v>
      </c>
      <c r="H48" s="1314">
        <f t="shared" si="16"/>
        <v>43101</v>
      </c>
      <c r="I48" s="1314">
        <f t="shared" si="16"/>
        <v>43070</v>
      </c>
      <c r="J48" s="1314">
        <f t="shared" si="16"/>
        <v>43040</v>
      </c>
      <c r="K48" s="1314">
        <f t="shared" si="16"/>
        <v>43009</v>
      </c>
      <c r="L48" s="1314">
        <f t="shared" si="16"/>
        <v>42979</v>
      </c>
      <c r="M48" s="1314">
        <f t="shared" si="16"/>
        <v>42948</v>
      </c>
      <c r="N48" s="1314">
        <f t="shared" si="16"/>
        <v>42917</v>
      </c>
      <c r="O48" s="1314">
        <f t="shared" si="16"/>
        <v>42887</v>
      </c>
      <c r="P48" s="2951"/>
      <c r="Q48" s="2933"/>
      <c r="R48" s="2933"/>
      <c r="S48" s="2933"/>
      <c r="T48" s="2933"/>
      <c r="U48" s="2933"/>
      <c r="V48" s="2933"/>
      <c r="W48" s="2933"/>
      <c r="X48" s="2933"/>
      <c r="Y48" s="2933"/>
      <c r="Z48" s="2933"/>
      <c r="AA48" s="2933"/>
      <c r="AB48" s="2933"/>
      <c r="AC48" s="2933"/>
    </row>
    <row r="49" spans="1:29" s="111" customFormat="1">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4.4">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4.4"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ht="14.4">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4.4"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9.4"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4.4"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4.4"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4.4"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4.4"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4.4"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4.4"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4.4"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4.4"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4.4"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4.4"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4.4"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4.4"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4.4"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4.4"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4.4"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4.4"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4.4"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4.4"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9.4"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4.4"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4.4"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4.4"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4.4"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4.4"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4.4"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4.4"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4.4"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4.4"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4.4"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4.4"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4.4"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4.4"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4.4"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4.4"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5" t="s">
        <v>2407</v>
      </c>
      <c r="D4" s="3776"/>
      <c r="E4" s="3777" t="s">
        <v>2408</v>
      </c>
      <c r="F4" s="3778"/>
      <c r="G4" s="3775" t="s">
        <v>2409</v>
      </c>
      <c r="H4" s="3776"/>
      <c r="I4" s="3775" t="s">
        <v>2410</v>
      </c>
      <c r="J4" s="3776"/>
      <c r="K4" s="565" t="s">
        <v>2411</v>
      </c>
      <c r="L4" s="2907"/>
      <c r="M4" s="2908"/>
      <c r="N4" s="2908"/>
      <c r="O4" s="2908"/>
      <c r="P4" s="3779" t="s">
        <v>2412</v>
      </c>
      <c r="Q4" s="3780"/>
      <c r="R4" s="3785" t="s">
        <v>2408</v>
      </c>
      <c r="S4" s="3786"/>
      <c r="T4" s="3785" t="s">
        <v>2409</v>
      </c>
      <c r="U4" s="3786"/>
      <c r="V4" s="3791" t="s">
        <v>2410</v>
      </c>
      <c r="W4" s="3791"/>
      <c r="X4" s="1504"/>
      <c r="Y4" s="3785" t="s">
        <v>2412</v>
      </c>
      <c r="Z4" s="3786"/>
      <c r="AA4" s="3772" t="s">
        <v>2408</v>
      </c>
      <c r="AB4" s="3773" t="s">
        <v>2409</v>
      </c>
      <c r="AC4" s="3772" t="s">
        <v>2410</v>
      </c>
    </row>
    <row r="5" spans="1:29">
      <c r="A5" s="362"/>
      <c r="B5" s="363"/>
      <c r="C5" s="3794" t="s">
        <v>2303</v>
      </c>
      <c r="D5" s="3795"/>
      <c r="E5" s="3801" t="s">
        <v>2304</v>
      </c>
      <c r="F5" s="3802"/>
      <c r="G5" s="3794" t="s">
        <v>2305</v>
      </c>
      <c r="H5" s="3795"/>
      <c r="I5" s="3794" t="s">
        <v>2306</v>
      </c>
      <c r="J5" s="3795"/>
      <c r="K5" s="565"/>
      <c r="L5" s="2907"/>
      <c r="M5" s="2908"/>
      <c r="N5" s="2908"/>
      <c r="O5" s="2908"/>
      <c r="P5" s="3781"/>
      <c r="Q5" s="3782"/>
      <c r="R5" s="3787"/>
      <c r="S5" s="3788"/>
      <c r="T5" s="3787"/>
      <c r="U5" s="3788"/>
      <c r="V5" s="3791"/>
      <c r="W5" s="3791"/>
      <c r="X5" s="1504"/>
      <c r="Y5" s="3787"/>
      <c r="Z5" s="3788"/>
      <c r="AA5" s="3773"/>
      <c r="AB5" s="3773"/>
      <c r="AC5" s="3773"/>
    </row>
    <row r="6" spans="1:29" ht="15" thickBot="1">
      <c r="A6" s="364"/>
      <c r="B6" s="365"/>
      <c r="C6" s="3792" t="s">
        <v>2307</v>
      </c>
      <c r="D6" s="3793"/>
      <c r="E6" s="3799" t="s">
        <v>2307</v>
      </c>
      <c r="F6" s="3800"/>
      <c r="G6" s="3792" t="s">
        <v>2307</v>
      </c>
      <c r="H6" s="3793"/>
      <c r="I6" s="3792" t="s">
        <v>2307</v>
      </c>
      <c r="J6" s="3793"/>
      <c r="K6" s="565" t="s">
        <v>2308</v>
      </c>
      <c r="L6" s="2907"/>
      <c r="M6" s="2908"/>
      <c r="N6" s="2908"/>
      <c r="O6" s="2908"/>
      <c r="P6" s="3783"/>
      <c r="Q6" s="3784"/>
      <c r="R6" s="3787"/>
      <c r="S6" s="3788"/>
      <c r="T6" s="3789"/>
      <c r="U6" s="3790"/>
      <c r="V6" s="3791"/>
      <c r="W6" s="3791"/>
      <c r="X6" s="1504"/>
      <c r="Y6" s="3789"/>
      <c r="Z6" s="3790"/>
      <c r="AA6" s="3774"/>
      <c r="AB6" s="3774"/>
      <c r="AC6" s="3774"/>
    </row>
    <row r="7" spans="1:29" s="111" customFormat="1" ht="15" thickBot="1">
      <c r="A7" s="366" t="s">
        <v>2309</v>
      </c>
      <c r="B7" s="367"/>
      <c r="C7" s="368">
        <f>'数据-取费表'!B2</f>
        <v>43252</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796" t="s">
        <v>2310</v>
      </c>
      <c r="Q7" s="3798"/>
      <c r="R7" s="707" t="s">
        <v>17</v>
      </c>
      <c r="S7" s="708">
        <f t="shared" ref="S7:S14" si="0">F7</f>
        <v>0</v>
      </c>
      <c r="T7" s="707" t="s">
        <v>17</v>
      </c>
      <c r="U7" s="708">
        <f t="shared" ref="U7:U14" si="1">H7</f>
        <v>0</v>
      </c>
      <c r="V7" s="707" t="s">
        <v>17</v>
      </c>
      <c r="W7" s="708">
        <f t="shared" ref="W7:W14" si="2">J7</f>
        <v>0</v>
      </c>
      <c r="X7" s="709"/>
      <c r="Y7" s="3796" t="s">
        <v>2310</v>
      </c>
      <c r="Z7" s="3797"/>
      <c r="AA7" s="710" t="e">
        <f>D7/F7</f>
        <v>#DIV/0!</v>
      </c>
      <c r="AB7" s="710" t="e">
        <f>D7/H7</f>
        <v>#DIV/0!</v>
      </c>
      <c r="AC7" s="710" t="e">
        <f>D7/J7</f>
        <v>#DIV/0!</v>
      </c>
    </row>
    <row r="8" spans="1:29" s="111" customFormat="1" ht="1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796" t="s">
        <v>2313</v>
      </c>
      <c r="Q8" s="3797"/>
      <c r="R8" s="707" t="s">
        <v>17</v>
      </c>
      <c r="S8" s="708">
        <f t="shared" si="0"/>
        <v>0</v>
      </c>
      <c r="T8" s="707" t="s">
        <v>17</v>
      </c>
      <c r="U8" s="708">
        <f t="shared" si="1"/>
        <v>0</v>
      </c>
      <c r="V8" s="707" t="s">
        <v>17</v>
      </c>
      <c r="W8" s="708">
        <f t="shared" si="2"/>
        <v>0</v>
      </c>
      <c r="X8" s="709"/>
      <c r="Y8" s="3796" t="s">
        <v>2313</v>
      </c>
      <c r="Z8" s="3797"/>
      <c r="AA8" s="710" t="e">
        <f t="shared" ref="AA8:AA34" si="3">D8/F8</f>
        <v>#DIV/0!</v>
      </c>
      <c r="AB8" s="710" t="e">
        <f t="shared" ref="AB8:AB34" si="4">D8/H8</f>
        <v>#DIV/0!</v>
      </c>
      <c r="AC8" s="710" t="e">
        <f t="shared" ref="AC8:AC34" si="5">D8/J8</f>
        <v>#DIV/0!</v>
      </c>
    </row>
    <row r="9" spans="1:29" s="111" customFormat="1" ht="14.4">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759" t="s">
        <v>2316</v>
      </c>
      <c r="Q9" s="1492" t="str">
        <f t="shared" ref="Q9:Q14" si="6">B9</f>
        <v>用途</v>
      </c>
      <c r="R9" s="707" t="s">
        <v>17</v>
      </c>
      <c r="S9" s="708">
        <f t="shared" si="0"/>
        <v>100</v>
      </c>
      <c r="T9" s="707" t="s">
        <v>17</v>
      </c>
      <c r="U9" s="708">
        <f t="shared" si="1"/>
        <v>100</v>
      </c>
      <c r="V9" s="707" t="s">
        <v>17</v>
      </c>
      <c r="W9" s="708">
        <f t="shared" si="2"/>
        <v>100</v>
      </c>
      <c r="X9" s="709"/>
      <c r="Y9" s="3771" t="s">
        <v>2317</v>
      </c>
      <c r="Z9" s="55" t="str">
        <f t="shared" ref="Z9:Z14" si="7">Q9</f>
        <v>用途</v>
      </c>
      <c r="AA9" s="710">
        <f t="shared" si="3"/>
        <v>1</v>
      </c>
      <c r="AB9" s="710">
        <f t="shared" si="4"/>
        <v>1</v>
      </c>
      <c r="AC9" s="710">
        <f t="shared" si="5"/>
        <v>1</v>
      </c>
    </row>
    <row r="10" spans="1:29" s="384" customFormat="1" ht="28.8">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759"/>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759"/>
      <c r="Q11" s="1492">
        <f t="shared" si="6"/>
        <v>111</v>
      </c>
      <c r="R11" s="707" t="s">
        <v>17</v>
      </c>
      <c r="S11" s="708">
        <f t="shared" si="0"/>
        <v>100</v>
      </c>
      <c r="T11" s="707" t="s">
        <v>17</v>
      </c>
      <c r="U11" s="708">
        <f t="shared" si="1"/>
        <v>100</v>
      </c>
      <c r="V11" s="707" t="s">
        <v>17</v>
      </c>
      <c r="W11" s="708">
        <f t="shared" si="2"/>
        <v>100</v>
      </c>
      <c r="X11" s="709"/>
      <c r="Y11" s="3771"/>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759"/>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710">
        <f>D12/J12</f>
        <v>1</v>
      </c>
    </row>
    <row r="13" spans="1:29" ht="15.6"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759"/>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710">
        <f t="shared" si="5"/>
        <v>1</v>
      </c>
    </row>
    <row r="14" spans="1:29" ht="96.6">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761" t="s">
        <v>2321</v>
      </c>
      <c r="Q14" s="1501" t="str">
        <f t="shared" si="6"/>
        <v>交通便捷度</v>
      </c>
      <c r="R14" s="711" t="s">
        <v>17</v>
      </c>
      <c r="S14" s="712">
        <f t="shared" si="0"/>
        <v>100</v>
      </c>
      <c r="T14" s="711" t="s">
        <v>17</v>
      </c>
      <c r="U14" s="712">
        <f t="shared" si="1"/>
        <v>100</v>
      </c>
      <c r="V14" s="711" t="s">
        <v>17</v>
      </c>
      <c r="W14" s="712">
        <f t="shared" si="2"/>
        <v>100</v>
      </c>
      <c r="X14" s="1504"/>
      <c r="Y14" s="3761"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762"/>
      <c r="Q15" s="1501"/>
      <c r="R15" s="711"/>
      <c r="S15" s="712"/>
      <c r="T15" s="711"/>
      <c r="U15" s="712"/>
      <c r="V15" s="711"/>
      <c r="W15" s="712"/>
      <c r="X15" s="1504"/>
      <c r="Y15" s="3762"/>
      <c r="Z15" s="1505"/>
      <c r="AA15" s="1502">
        <v>1</v>
      </c>
      <c r="AB15" s="1502">
        <v>1</v>
      </c>
      <c r="AC15" s="1502">
        <v>1</v>
      </c>
    </row>
    <row r="16" spans="1:29" ht="41.4">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762"/>
      <c r="Q16" s="1501" t="str">
        <f>B16</f>
        <v>公共配套设施</v>
      </c>
      <c r="R16" s="711" t="s">
        <v>17</v>
      </c>
      <c r="S16" s="712">
        <f>F16</f>
        <v>100</v>
      </c>
      <c r="T16" s="711" t="s">
        <v>17</v>
      </c>
      <c r="U16" s="712">
        <f>H16</f>
        <v>100</v>
      </c>
      <c r="V16" s="711" t="s">
        <v>17</v>
      </c>
      <c r="W16" s="712">
        <f>J16</f>
        <v>100</v>
      </c>
      <c r="X16" s="1504"/>
      <c r="Y16" s="3762"/>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762"/>
      <c r="Q17" s="1501"/>
      <c r="R17" s="711"/>
      <c r="S17" s="712"/>
      <c r="T17" s="711"/>
      <c r="U17" s="712"/>
      <c r="V17" s="711"/>
      <c r="W17" s="712"/>
      <c r="X17" s="1504"/>
      <c r="Y17" s="3762"/>
      <c r="Z17" s="1505"/>
      <c r="AA17" s="1502">
        <v>1</v>
      </c>
      <c r="AB17" s="1502">
        <v>1</v>
      </c>
      <c r="AC17" s="1502">
        <v>1</v>
      </c>
    </row>
    <row r="18" spans="1:29" ht="41.4">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762"/>
      <c r="Q18" s="1501" t="str">
        <f>B18</f>
        <v>基础设施水平</v>
      </c>
      <c r="R18" s="711" t="s">
        <v>17</v>
      </c>
      <c r="S18" s="712">
        <f>F18</f>
        <v>100</v>
      </c>
      <c r="T18" s="711" t="s">
        <v>17</v>
      </c>
      <c r="U18" s="712">
        <f>H18</f>
        <v>100</v>
      </c>
      <c r="V18" s="711" t="s">
        <v>17</v>
      </c>
      <c r="W18" s="712">
        <f>J18</f>
        <v>100</v>
      </c>
      <c r="X18" s="1504"/>
      <c r="Y18" s="3762"/>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762"/>
      <c r="Q19" s="1501"/>
      <c r="R19" s="711"/>
      <c r="S19" s="712"/>
      <c r="T19" s="711"/>
      <c r="U19" s="712"/>
      <c r="V19" s="711"/>
      <c r="W19" s="712"/>
      <c r="X19" s="1504"/>
      <c r="Y19" s="3762"/>
      <c r="Z19" s="1505"/>
      <c r="AA19" s="1502">
        <v>1</v>
      </c>
      <c r="AB19" s="1502">
        <v>1</v>
      </c>
      <c r="AC19" s="1502">
        <v>1</v>
      </c>
    </row>
    <row r="20" spans="1:29" ht="55.2">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762"/>
      <c r="Q20" s="1501" t="str">
        <f>B20</f>
        <v>自然及人文环境</v>
      </c>
      <c r="R20" s="711" t="s">
        <v>17</v>
      </c>
      <c r="S20" s="712">
        <f>F20</f>
        <v>100</v>
      </c>
      <c r="T20" s="711" t="s">
        <v>17</v>
      </c>
      <c r="U20" s="712">
        <f>H20</f>
        <v>100</v>
      </c>
      <c r="V20" s="711" t="s">
        <v>17</v>
      </c>
      <c r="W20" s="712">
        <f>J20</f>
        <v>100</v>
      </c>
      <c r="X20" s="1504"/>
      <c r="Y20" s="3762"/>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762"/>
      <c r="Q21" s="1501"/>
      <c r="R21" s="711"/>
      <c r="S21" s="712"/>
      <c r="T21" s="711"/>
      <c r="U21" s="712"/>
      <c r="V21" s="711"/>
      <c r="W21" s="712"/>
      <c r="X21" s="1504"/>
      <c r="Y21" s="3762"/>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762"/>
      <c r="Q22" s="1501" t="str">
        <f>B22</f>
        <v>楼层</v>
      </c>
      <c r="R22" s="711" t="s">
        <v>17</v>
      </c>
      <c r="S22" s="712">
        <f>F22</f>
        <v>100</v>
      </c>
      <c r="T22" s="711" t="s">
        <v>17</v>
      </c>
      <c r="U22" s="712">
        <f>H22</f>
        <v>100</v>
      </c>
      <c r="V22" s="711" t="s">
        <v>17</v>
      </c>
      <c r="W22" s="712">
        <f>J22</f>
        <v>100</v>
      </c>
      <c r="X22" s="1504"/>
      <c r="Y22" s="3762"/>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762"/>
      <c r="Q23" s="1501">
        <f>B23</f>
        <v>111</v>
      </c>
      <c r="R23" s="711" t="s">
        <v>17</v>
      </c>
      <c r="S23" s="712">
        <f>F23</f>
        <v>100</v>
      </c>
      <c r="T23" s="711" t="s">
        <v>17</v>
      </c>
      <c r="U23" s="712">
        <f>H23</f>
        <v>100</v>
      </c>
      <c r="V23" s="711" t="s">
        <v>17</v>
      </c>
      <c r="W23" s="712">
        <f>J23</f>
        <v>100</v>
      </c>
      <c r="X23" s="1504"/>
      <c r="Y23" s="3762"/>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762"/>
      <c r="Q24" s="1501">
        <f t="shared" ref="Q24:Q34" si="11">B24</f>
        <v>111</v>
      </c>
      <c r="R24" s="711" t="s">
        <v>17</v>
      </c>
      <c r="S24" s="712">
        <f>F24</f>
        <v>100</v>
      </c>
      <c r="T24" s="711" t="s">
        <v>17</v>
      </c>
      <c r="U24" s="712">
        <f>H24</f>
        <v>100</v>
      </c>
      <c r="V24" s="711" t="s">
        <v>17</v>
      </c>
      <c r="W24" s="712">
        <f>J24</f>
        <v>100</v>
      </c>
      <c r="X24" s="1504"/>
      <c r="Y24" s="3762"/>
      <c r="Z24" s="1505">
        <f>Q24</f>
        <v>111</v>
      </c>
      <c r="AA24" s="1502">
        <f t="shared" si="3"/>
        <v>1</v>
      </c>
      <c r="AB24" s="1502">
        <f t="shared" si="4"/>
        <v>1</v>
      </c>
      <c r="AC24" s="1502">
        <f t="shared" si="5"/>
        <v>1</v>
      </c>
    </row>
    <row r="25" spans="1:29" s="111" customFormat="1" ht="15.6"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762"/>
      <c r="Q25" s="1492">
        <f t="shared" si="11"/>
        <v>111</v>
      </c>
      <c r="R25" s="707" t="s">
        <v>17</v>
      </c>
      <c r="S25" s="708">
        <f>F25</f>
        <v>100</v>
      </c>
      <c r="T25" s="707" t="s">
        <v>17</v>
      </c>
      <c r="U25" s="708">
        <f>H25</f>
        <v>100</v>
      </c>
      <c r="V25" s="707" t="s">
        <v>17</v>
      </c>
      <c r="W25" s="708">
        <f>J25</f>
        <v>100</v>
      </c>
      <c r="X25" s="709"/>
      <c r="Y25" s="3762"/>
      <c r="Z25" s="55">
        <f>Q25</f>
        <v>111</v>
      </c>
      <c r="AA25" s="1502">
        <f>D25/F25</f>
        <v>1</v>
      </c>
      <c r="AB25" s="1502">
        <f>D25/H25</f>
        <v>1</v>
      </c>
      <c r="AC25" s="1502">
        <f>D25/J25</f>
        <v>1</v>
      </c>
    </row>
    <row r="26" spans="1:29" ht="30">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818"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766"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766"/>
      <c r="Q27" s="713" t="str">
        <f t="shared" si="11"/>
        <v>成新率</v>
      </c>
      <c r="R27" s="714" t="s">
        <v>17</v>
      </c>
      <c r="S27" s="715" t="e">
        <f t="shared" si="12"/>
        <v>#N/A</v>
      </c>
      <c r="T27" s="714" t="s">
        <v>17</v>
      </c>
      <c r="U27" s="715" t="e">
        <f t="shared" si="13"/>
        <v>#N/A</v>
      </c>
      <c r="V27" s="714" t="s">
        <v>17</v>
      </c>
      <c r="W27" s="715" t="e">
        <f t="shared" si="14"/>
        <v>#N/A</v>
      </c>
      <c r="X27" s="716"/>
      <c r="Y27" s="3766"/>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766"/>
      <c r="Q28" s="1501" t="str">
        <f t="shared" si="11"/>
        <v>物业等级</v>
      </c>
      <c r="R28" s="711" t="s">
        <v>17</v>
      </c>
      <c r="S28" s="712">
        <f t="shared" si="12"/>
        <v>100</v>
      </c>
      <c r="T28" s="711" t="s">
        <v>17</v>
      </c>
      <c r="U28" s="712">
        <f t="shared" si="13"/>
        <v>100</v>
      </c>
      <c r="V28" s="711" t="s">
        <v>17</v>
      </c>
      <c r="W28" s="712">
        <f t="shared" si="14"/>
        <v>100</v>
      </c>
      <c r="X28" s="1504"/>
      <c r="Y28" s="3766"/>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766"/>
      <c r="Q29" s="1501" t="str">
        <f t="shared" si="11"/>
        <v>有无电梯</v>
      </c>
      <c r="R29" s="711" t="s">
        <v>17</v>
      </c>
      <c r="S29" s="712">
        <f t="shared" si="12"/>
        <v>100</v>
      </c>
      <c r="T29" s="711" t="s">
        <v>17</v>
      </c>
      <c r="U29" s="712">
        <f t="shared" si="13"/>
        <v>100</v>
      </c>
      <c r="V29" s="711" t="s">
        <v>17</v>
      </c>
      <c r="W29" s="712">
        <f t="shared" si="14"/>
        <v>100</v>
      </c>
      <c r="X29" s="1504"/>
      <c r="Y29" s="3766"/>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766"/>
      <c r="Q30" s="1501" t="str">
        <f t="shared" si="11"/>
        <v>建筑面积</v>
      </c>
      <c r="R30" s="711" t="s">
        <v>17</v>
      </c>
      <c r="S30" s="712" t="e">
        <f t="shared" si="12"/>
        <v>#N/A</v>
      </c>
      <c r="T30" s="711" t="s">
        <v>17</v>
      </c>
      <c r="U30" s="712" t="e">
        <f t="shared" si="13"/>
        <v>#N/A</v>
      </c>
      <c r="V30" s="711" t="s">
        <v>17</v>
      </c>
      <c r="W30" s="712" t="e">
        <f t="shared" si="14"/>
        <v>#N/A</v>
      </c>
      <c r="X30" s="1504"/>
      <c r="Y30" s="3766"/>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766"/>
      <c r="Q31" s="1492" t="str">
        <f t="shared" si="11"/>
        <v>是否封闭</v>
      </c>
      <c r="R31" s="707" t="s">
        <v>17</v>
      </c>
      <c r="S31" s="708">
        <f t="shared" si="12"/>
        <v>100</v>
      </c>
      <c r="T31" s="707" t="s">
        <v>17</v>
      </c>
      <c r="U31" s="708">
        <f t="shared" si="13"/>
        <v>100</v>
      </c>
      <c r="V31" s="707" t="s">
        <v>17</v>
      </c>
      <c r="W31" s="708">
        <f t="shared" si="14"/>
        <v>100</v>
      </c>
      <c r="X31" s="709"/>
      <c r="Y31" s="3766"/>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766" t="s">
        <v>2326</v>
      </c>
      <c r="Q32" s="1501">
        <f t="shared" si="11"/>
        <v>111</v>
      </c>
      <c r="R32" s="711" t="s">
        <v>17</v>
      </c>
      <c r="S32" s="712">
        <f t="shared" si="12"/>
        <v>100</v>
      </c>
      <c r="T32" s="711" t="s">
        <v>17</v>
      </c>
      <c r="U32" s="712">
        <f t="shared" si="13"/>
        <v>100</v>
      </c>
      <c r="V32" s="711" t="s">
        <v>17</v>
      </c>
      <c r="W32" s="712">
        <f t="shared" si="14"/>
        <v>100</v>
      </c>
      <c r="X32" s="1504"/>
      <c r="Y32" s="3766"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766"/>
      <c r="Q33" s="1501">
        <f t="shared" si="11"/>
        <v>111</v>
      </c>
      <c r="R33" s="711" t="s">
        <v>17</v>
      </c>
      <c r="S33" s="712">
        <f t="shared" si="12"/>
        <v>100</v>
      </c>
      <c r="T33" s="711" t="s">
        <v>17</v>
      </c>
      <c r="U33" s="712">
        <f t="shared" si="13"/>
        <v>100</v>
      </c>
      <c r="V33" s="711" t="s">
        <v>17</v>
      </c>
      <c r="W33" s="712">
        <f t="shared" si="14"/>
        <v>100</v>
      </c>
      <c r="X33" s="1504"/>
      <c r="Y33" s="3766"/>
      <c r="Z33" s="1505">
        <f t="shared" si="15"/>
        <v>111</v>
      </c>
      <c r="AA33" s="1502">
        <f t="shared" si="3"/>
        <v>1</v>
      </c>
      <c r="AB33" s="1502">
        <f t="shared" si="4"/>
        <v>1</v>
      </c>
      <c r="AC33" s="1502">
        <f t="shared" si="5"/>
        <v>1</v>
      </c>
    </row>
    <row r="34" spans="1:30" ht="15.6"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766"/>
      <c r="Q34" s="1501">
        <f t="shared" si="11"/>
        <v>111</v>
      </c>
      <c r="R34" s="711" t="s">
        <v>17</v>
      </c>
      <c r="S34" s="712">
        <f t="shared" si="12"/>
        <v>100</v>
      </c>
      <c r="T34" s="711" t="s">
        <v>17</v>
      </c>
      <c r="U34" s="712">
        <f t="shared" si="13"/>
        <v>100</v>
      </c>
      <c r="V34" s="711" t="s">
        <v>17</v>
      </c>
      <c r="W34" s="712">
        <f t="shared" si="14"/>
        <v>100</v>
      </c>
      <c r="X34" s="1504"/>
      <c r="Y34" s="3766"/>
      <c r="Z34" s="1505">
        <f t="shared" si="15"/>
        <v>111</v>
      </c>
      <c r="AA34" s="1502">
        <f t="shared" si="3"/>
        <v>1</v>
      </c>
      <c r="AB34" s="1502">
        <f t="shared" si="4"/>
        <v>1</v>
      </c>
      <c r="AC34" s="1502">
        <f t="shared" si="5"/>
        <v>1</v>
      </c>
    </row>
    <row r="35" spans="1:30" ht="14.4">
      <c r="A35" s="436" t="s">
        <v>2338</v>
      </c>
      <c r="B35" s="437"/>
      <c r="C35" s="1283" t="s">
        <v>1</v>
      </c>
      <c r="D35" s="1284"/>
      <c r="E35" s="1285"/>
      <c r="F35" s="1286"/>
      <c r="G35" s="1287"/>
      <c r="H35" s="1288"/>
      <c r="I35" s="1285"/>
      <c r="J35" s="1288"/>
      <c r="K35" s="720"/>
      <c r="L35" s="2916"/>
      <c r="M35" s="2917"/>
      <c r="N35" s="2908"/>
      <c r="O35" s="2917"/>
      <c r="P35" s="3759" t="str">
        <f>A35</f>
        <v>成交单价（元/平方米）</v>
      </c>
      <c r="Q35" s="3759"/>
      <c r="R35" s="3760">
        <f>E35</f>
        <v>0</v>
      </c>
      <c r="S35" s="3760"/>
      <c r="T35" s="3760">
        <f>G35</f>
        <v>0</v>
      </c>
      <c r="U35" s="3760"/>
      <c r="V35" s="3760">
        <f>I35</f>
        <v>0</v>
      </c>
      <c r="W35" s="3760"/>
      <c r="X35" s="696"/>
      <c r="Y35" s="718"/>
      <c r="Z35" s="696"/>
      <c r="AA35" s="696"/>
      <c r="AB35" s="696"/>
      <c r="AC35" s="696"/>
    </row>
    <row r="36" spans="1:30" ht="1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6"/>
      <c r="Y36" s="696"/>
      <c r="Z36" s="696"/>
      <c r="AA36" s="696"/>
      <c r="AB36" s="696"/>
      <c r="AC36" s="696"/>
    </row>
    <row r="37" spans="1:30" ht="15" thickBot="1">
      <c r="A37" s="447" t="s">
        <v>2431</v>
      </c>
      <c r="B37" s="448"/>
      <c r="C37" s="1292" t="e">
        <f>R37</f>
        <v>#DIV/0!</v>
      </c>
      <c r="D37" s="1292"/>
      <c r="E37" s="1292"/>
      <c r="F37" s="1292"/>
      <c r="G37" s="1292"/>
      <c r="H37" s="1292"/>
      <c r="I37" s="1292"/>
      <c r="J37" s="1292"/>
      <c r="K37" s="721"/>
      <c r="L37" s="2916"/>
      <c r="M37" s="2917"/>
      <c r="N37" s="2917"/>
      <c r="O37" s="2917"/>
      <c r="P37" s="3756" t="str">
        <f>A37</f>
        <v>估价对象XX用房的比较价值（楼面单价，元/平方米）</v>
      </c>
      <c r="Q37" s="3757"/>
      <c r="R37" s="3819" t="e">
        <f>IF(F1="售价",ROUND(IF(D36="简单平均",AVERAGE(R36:W36),R36*F36+T36*H36+V36*J36),0),ROUND(IF(D36="简单平均",AVERAGE(R36:V36),R36*F36+T36*H36+V36*J36),1))</f>
        <v>#DIV/0!</v>
      </c>
      <c r="S37" s="3819"/>
      <c r="T37" s="3819"/>
      <c r="U37" s="3819"/>
      <c r="V37" s="3819"/>
      <c r="W37" s="3819"/>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2.2"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4.4">
      <c r="A46" s="460" t="s">
        <v>2309</v>
      </c>
      <c r="B46" s="461"/>
      <c r="C46" s="1313" t="str">
        <f>YEAR(C7)&amp;"-"&amp;MONTH(C7)</f>
        <v>2018-6</v>
      </c>
      <c r="D46" s="1314">
        <f>EDATE(C46,-1)</f>
        <v>43221</v>
      </c>
      <c r="E46" s="1314">
        <f t="shared" ref="E46:O46" si="16">EDATE(D46,-1)</f>
        <v>43191</v>
      </c>
      <c r="F46" s="1314">
        <f t="shared" si="16"/>
        <v>43160</v>
      </c>
      <c r="G46" s="1314">
        <f t="shared" si="16"/>
        <v>43132</v>
      </c>
      <c r="H46" s="1314">
        <f t="shared" si="16"/>
        <v>43101</v>
      </c>
      <c r="I46" s="1314">
        <f t="shared" si="16"/>
        <v>43070</v>
      </c>
      <c r="J46" s="1314">
        <f t="shared" si="16"/>
        <v>43040</v>
      </c>
      <c r="K46" s="1314">
        <f t="shared" si="16"/>
        <v>43009</v>
      </c>
      <c r="L46" s="1314">
        <f t="shared" si="16"/>
        <v>42979</v>
      </c>
      <c r="M46" s="1314">
        <f t="shared" si="16"/>
        <v>42948</v>
      </c>
      <c r="N46" s="1314">
        <f t="shared" si="16"/>
        <v>42917</v>
      </c>
      <c r="O46" s="1314">
        <f t="shared" si="16"/>
        <v>42887</v>
      </c>
      <c r="P46" s="2968"/>
      <c r="Q46" s="2933"/>
      <c r="R46" s="2933"/>
      <c r="S46" s="2933"/>
      <c r="T46" s="2933"/>
      <c r="U46" s="2933"/>
      <c r="V46" s="2933"/>
      <c r="W46" s="2933"/>
      <c r="X46" s="2933"/>
      <c r="Y46" s="2933"/>
      <c r="Z46" s="2933"/>
      <c r="AA46" s="2933"/>
      <c r="AB46" s="2933"/>
      <c r="AC46" s="2933"/>
      <c r="AD46" s="2933"/>
    </row>
    <row r="47" spans="1:30" s="111" customFormat="1">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4.4">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4.4"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ht="14.4">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4.4"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9.4"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4.4"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4.4"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4.4"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4.4"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4.4"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4.4"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4.4"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4.4"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9.4"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4.4"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4.4"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4.4"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4.4"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4.4"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4.4"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4.4"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4.4"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4.4"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4.4"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4.4"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4.4"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4.4"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4.4"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4.4"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4.4"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4.4"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4.4"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4.4"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4.4"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4.4"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4.4"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4.4"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C70" sqref="C70:C78"/>
    </sheetView>
  </sheetViews>
  <sheetFormatPr defaultColWidth="12" defaultRowHeight="13.2"/>
  <cols>
    <col min="1" max="1" width="9.77734375" style="2215" customWidth="1"/>
    <col min="2" max="2" width="19.21875" style="2317" customWidth="1"/>
    <col min="3" max="4" width="12" style="2149"/>
    <col min="5" max="5" width="14.6640625" style="2149" customWidth="1"/>
    <col min="6" max="8" width="12" style="2149"/>
    <col min="9" max="9" width="12.21875" style="2149" bestFit="1" customWidth="1"/>
    <col min="10" max="10" width="12" style="2149"/>
    <col min="11" max="11" width="8.109375" style="2210" customWidth="1"/>
    <col min="12" max="12" width="12" style="2149"/>
    <col min="13" max="13" width="8.44140625" style="2149" customWidth="1"/>
    <col min="14" max="14" width="9.77734375" style="2149" customWidth="1"/>
    <col min="15" max="25" width="12" style="2149"/>
    <col min="26" max="26" width="9.33203125" style="2215" customWidth="1"/>
    <col min="27" max="32" width="9.33203125" style="1249" customWidth="1"/>
    <col min="33" max="36" width="9.33203125" style="2215" customWidth="1"/>
    <col min="37" max="38" width="9.33203125" style="2149" customWidth="1"/>
    <col min="39" max="16384" width="12" style="2149"/>
  </cols>
  <sheetData>
    <row r="1" spans="1:36" ht="31.2">
      <c r="A1" s="200" t="s">
        <v>2564</v>
      </c>
      <c r="B1" s="201"/>
      <c r="C1" s="205" t="s">
        <v>2565</v>
      </c>
      <c r="D1" s="346">
        <f>SUM(D29:D30,D33:D39)</f>
        <v>46810</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6">
      <c r="A2" s="205" t="s">
        <v>2572</v>
      </c>
      <c r="B2" s="208">
        <f>C26</f>
        <v>161560</v>
      </c>
      <c r="C2" s="2150" t="s">
        <v>2573</v>
      </c>
      <c r="D2" s="2151" t="s">
        <v>2574</v>
      </c>
      <c r="E2" s="2152" t="s">
        <v>3130</v>
      </c>
      <c r="F2" s="2151" t="s">
        <v>2575</v>
      </c>
      <c r="G2" s="2153" t="str">
        <f>IF(E2="商业",项目基本情况!B37,IF(E2="办公",项目基本情况!C37,IF(E2="住宅",项目基本情况!D37,项目基本情况!E37)))</f>
        <v>三级</v>
      </c>
      <c r="H2" s="2151" t="s">
        <v>2576</v>
      </c>
      <c r="I2" s="2153" t="str">
        <f>IF(E2="商业",项目基本情况!B38,IF(E2="办公",项目基本情况!C38,IF(E2="住宅",项目基本情况!D38,项目基本情况!E38)))</f>
        <v>Ⅲ—11</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66850</v>
      </c>
      <c r="U2" s="1342"/>
      <c r="V2" s="1341">
        <f>ROUND(T2*U2/10000,0)</f>
        <v>0</v>
      </c>
      <c r="W2" s="1345"/>
      <c r="X2" s="1345"/>
      <c r="Y2" s="1345"/>
      <c r="Z2" s="1345"/>
      <c r="AA2" s="1345"/>
      <c r="AB2" s="1345"/>
      <c r="AC2" s="1346"/>
      <c r="AD2" s="1347"/>
      <c r="AE2" s="1347"/>
      <c r="AF2" s="1347"/>
      <c r="AG2" s="1347"/>
      <c r="AH2" s="1347"/>
      <c r="AI2" s="1347"/>
      <c r="AJ2" s="1348"/>
    </row>
    <row r="3" spans="1:36" ht="26.4">
      <c r="A3" s="207" t="s">
        <v>2578</v>
      </c>
      <c r="B3" s="208">
        <f>ROUND(B2*10000/D1,0)</f>
        <v>34514</v>
      </c>
      <c r="C3" s="2150" t="s">
        <v>2579</v>
      </c>
      <c r="D3" s="2151" t="s">
        <v>2580</v>
      </c>
      <c r="E3" s="2156" t="s">
        <v>3418</v>
      </c>
      <c r="F3" s="2157" t="s">
        <v>3431</v>
      </c>
      <c r="G3" s="852">
        <f>IF(F3="宗地容积率",'数据-汇总表'!I4,IF(F3="估价对象容积率",'数据-汇总表'!I6,'数据-汇总表'!I7))</f>
        <v>2.9</v>
      </c>
      <c r="H3" s="173" t="s">
        <v>2581</v>
      </c>
      <c r="I3" s="878">
        <v>0</v>
      </c>
      <c r="J3" s="2154" t="s">
        <v>2582</v>
      </c>
      <c r="K3" s="1247"/>
      <c r="L3" s="2155" t="s">
        <v>2583</v>
      </c>
      <c r="M3" s="992">
        <f>SUMPRODUCT((区片价!B29:B48=I2)*(区片价!C3:F3=E2)*(区片价!C29:F48))</f>
        <v>20230</v>
      </c>
      <c r="N3" s="994">
        <f>SUMPRODUCT((因素修正幅度!B29:B48=I2)*(因素修正幅度!C3:F3=E2)*(因素修正幅度!C29:F48))</f>
        <v>9.6000000000000002E-2</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47985</v>
      </c>
      <c r="U3" s="1342"/>
      <c r="V3" s="1341">
        <f t="shared" ref="V3:V16" si="1">ROUND(T3*U3/10000,0)</f>
        <v>0</v>
      </c>
      <c r="W3" s="1345"/>
      <c r="X3" s="1345"/>
      <c r="Y3" s="1345"/>
      <c r="Z3" s="1345"/>
      <c r="AA3" s="1345"/>
      <c r="AB3" s="1345"/>
      <c r="AC3" s="1346"/>
      <c r="AD3" s="1347"/>
      <c r="AE3" s="1347"/>
      <c r="AF3" s="1347"/>
      <c r="AG3" s="1347"/>
      <c r="AH3" s="1347"/>
      <c r="AI3" s="1347"/>
      <c r="AJ3" s="1348"/>
    </row>
    <row r="4" spans="1:36" ht="15.6">
      <c r="A4" s="3823"/>
      <c r="B4" s="3824"/>
      <c r="C4" s="3824"/>
      <c r="D4" s="3825"/>
      <c r="E4" s="3825"/>
      <c r="F4" s="3825"/>
      <c r="G4" s="3825"/>
      <c r="H4" s="3825"/>
      <c r="I4" s="3825"/>
      <c r="J4" s="3826"/>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38713</v>
      </c>
      <c r="U4" s="1342"/>
      <c r="V4" s="1341">
        <f t="shared" si="1"/>
        <v>0</v>
      </c>
      <c r="W4" s="1345"/>
      <c r="X4" s="1345"/>
      <c r="Y4" s="1345"/>
      <c r="Z4" s="1345"/>
      <c r="AA4" s="1345"/>
      <c r="AB4" s="1345"/>
      <c r="AC4" s="1346"/>
      <c r="AD4" s="1347"/>
      <c r="AE4" s="1347"/>
      <c r="AF4" s="1347"/>
      <c r="AG4" s="1347"/>
      <c r="AH4" s="1347"/>
      <c r="AI4" s="1347"/>
      <c r="AJ4" s="1348"/>
    </row>
    <row r="5" spans="1:36" s="2167" customFormat="1" ht="15.6" thickBot="1">
      <c r="A5" s="2158" t="s">
        <v>807</v>
      </c>
      <c r="B5" s="2159" t="s">
        <v>2585</v>
      </c>
      <c r="C5" s="853">
        <f>ROUND(IF(E2="商业",C6*C7+C16,(IF(E2="住宅",C6*C12+C16,C6+C16))),0)</f>
        <v>22253</v>
      </c>
      <c r="D5" s="1488">
        <f>ROUND(C6+C16,0)</f>
        <v>20230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31062</v>
      </c>
      <c r="U5" s="1342"/>
      <c r="V5" s="1341">
        <f t="shared" si="1"/>
        <v>0</v>
      </c>
      <c r="W5" s="1345"/>
      <c r="X5" s="1345"/>
      <c r="Y5" s="1345"/>
      <c r="Z5" s="1345"/>
      <c r="AA5" s="1345"/>
      <c r="AB5" s="1345"/>
      <c r="AC5" s="2164"/>
      <c r="AD5" s="2165"/>
      <c r="AE5" s="2165"/>
      <c r="AF5" s="2165"/>
      <c r="AG5" s="2165"/>
      <c r="AH5" s="2165"/>
      <c r="AI5" s="2165"/>
      <c r="AJ5" s="2166"/>
    </row>
    <row r="6" spans="1:36" ht="15.6" thickBot="1">
      <c r="A6" s="2168" t="s">
        <v>2587</v>
      </c>
      <c r="B6" s="2169" t="s">
        <v>2588</v>
      </c>
      <c r="C6" s="854">
        <f>SUMIF(L1:L12,G2,M1:M12)</f>
        <v>20230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26451</v>
      </c>
      <c r="U6" s="1342"/>
      <c r="V6" s="1341">
        <f t="shared" si="1"/>
        <v>0</v>
      </c>
      <c r="W6" s="1345"/>
      <c r="X6" s="1345"/>
      <c r="Y6" s="1345"/>
      <c r="Z6" s="1345"/>
      <c r="AA6" s="1345"/>
      <c r="AB6" s="1345"/>
      <c r="AC6" s="2164"/>
      <c r="AD6" s="2165"/>
      <c r="AE6" s="2165"/>
      <c r="AF6" s="2165"/>
      <c r="AG6" s="2165"/>
      <c r="AH6" s="2165"/>
      <c r="AI6" s="2165"/>
      <c r="AJ6" s="2166"/>
    </row>
    <row r="7" spans="1:36" ht="24">
      <c r="A7" s="3827"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0</v>
      </c>
      <c r="N7" s="994">
        <f>SUMPRODUCT((因素修正幅度!B158:B205=I2)*(因素修正幅度!C3:F3=E2)*(因素修正幅度!C158:F205))</f>
        <v>0</v>
      </c>
      <c r="O7" s="1247"/>
      <c r="P7" s="1247"/>
      <c r="Q7" s="1247"/>
      <c r="R7" s="1341">
        <v>6</v>
      </c>
      <c r="S7" s="1341">
        <f>ROUND(IF(G3&gt;1,IF(R7&lt;7,SUMPRODUCT((B93:B98=R7)*(C92:N92=G2)*(C93:N98)),SUMIF(C92:N92,G2,C100:N100)),IF(R7&lt;7,SUMPRODUCT((B102:B107=R7)*(C92:N92=G2)*(C102:N107)),SUMIF(C92:N92,G2,C109:N109))),4)</f>
        <v>0.6482</v>
      </c>
      <c r="T7" s="1341">
        <f t="shared" si="0"/>
        <v>23261</v>
      </c>
      <c r="U7" s="1342"/>
      <c r="V7" s="1341">
        <f t="shared" si="1"/>
        <v>0</v>
      </c>
      <c r="W7" s="1507" t="s">
        <v>2594</v>
      </c>
      <c r="X7" s="1343" t="str">
        <f>G2</f>
        <v>三级</v>
      </c>
      <c r="Y7" s="1343" t="s">
        <v>2595</v>
      </c>
      <c r="Z7" s="1344">
        <f>G3</f>
        <v>2.9</v>
      </c>
      <c r="AA7" s="1345"/>
      <c r="AB7" s="1345"/>
      <c r="AC7" s="1346"/>
      <c r="AD7" s="1347"/>
      <c r="AE7" s="1347"/>
      <c r="AF7" s="1347"/>
      <c r="AG7" s="1347"/>
      <c r="AH7" s="1347"/>
      <c r="AI7" s="1347"/>
      <c r="AJ7" s="1348"/>
    </row>
    <row r="8" spans="1:36" ht="26.4">
      <c r="A8" s="3828"/>
      <c r="B8" s="173" t="s">
        <v>2596</v>
      </c>
      <c r="C8" s="2179" t="s">
        <v>3474</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820" t="s">
        <v>2599</v>
      </c>
      <c r="X8" s="3821"/>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828"/>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822"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828"/>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822"/>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6" thickBot="1">
      <c r="A11" s="3828"/>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822" t="s">
        <v>2623</v>
      </c>
      <c r="X11" s="1353" t="s">
        <v>2624</v>
      </c>
      <c r="Y11" s="1354">
        <f>$G$3</f>
        <v>2.9</v>
      </c>
      <c r="Z11" s="1354">
        <f t="shared" ref="Z11:AJ11" si="3">$G$3</f>
        <v>2.9</v>
      </c>
      <c r="AA11" s="1354">
        <f t="shared" si="3"/>
        <v>2.9</v>
      </c>
      <c r="AB11" s="1354">
        <f t="shared" si="3"/>
        <v>2.9</v>
      </c>
      <c r="AC11" s="1354">
        <f t="shared" si="3"/>
        <v>2.9</v>
      </c>
      <c r="AD11" s="1354">
        <f t="shared" si="3"/>
        <v>2.9</v>
      </c>
      <c r="AE11" s="1354">
        <f t="shared" si="3"/>
        <v>2.9</v>
      </c>
      <c r="AF11" s="1354">
        <f t="shared" si="3"/>
        <v>2.9</v>
      </c>
      <c r="AG11" s="1354">
        <f t="shared" si="3"/>
        <v>2.9</v>
      </c>
      <c r="AH11" s="1354">
        <f t="shared" si="3"/>
        <v>2.9</v>
      </c>
      <c r="AI11" s="1354">
        <f t="shared" si="3"/>
        <v>2.9</v>
      </c>
      <c r="AJ11" s="1354">
        <f t="shared" si="3"/>
        <v>2.9</v>
      </c>
    </row>
    <row r="12" spans="1:36" ht="25.8" thickBot="1">
      <c r="A12" s="3827" t="s">
        <v>2625</v>
      </c>
      <c r="B12" s="2187" t="s">
        <v>2626</v>
      </c>
      <c r="C12" s="855">
        <f>ROUND(C15*D15*E15*F15*G15*H15*I15*J15,4)</f>
        <v>1.1000000000000001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822"/>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829"/>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822"/>
      <c r="X13" s="1355"/>
      <c r="Y13" s="1352">
        <f>(-0.163*(Y12^2)-0.59*Y12+7617)*(10^(-4))/Y11</f>
        <v>0.2626551724137931</v>
      </c>
      <c r="Z13" s="1352">
        <f t="shared" ref="Z13:AJ13" si="5">(-0.163*(Z12^2)-0.59*Z12+7617)*(10^(-4))/Z11</f>
        <v>0.2626551724137931</v>
      </c>
      <c r="AA13" s="1352">
        <f t="shared" si="5"/>
        <v>0.2626551724137931</v>
      </c>
      <c r="AB13" s="1352">
        <f t="shared" si="5"/>
        <v>0.2626551724137931</v>
      </c>
      <c r="AC13" s="1352">
        <f t="shared" si="5"/>
        <v>0.2626551724137931</v>
      </c>
      <c r="AD13" s="1352">
        <f t="shared" si="5"/>
        <v>0.2626551724137931</v>
      </c>
      <c r="AE13" s="1352">
        <f t="shared" si="5"/>
        <v>0.2626551724137931</v>
      </c>
      <c r="AF13" s="1352">
        <f t="shared" si="5"/>
        <v>0.2626551724137931</v>
      </c>
      <c r="AG13" s="1352">
        <f t="shared" si="5"/>
        <v>0.2626551724137931</v>
      </c>
      <c r="AH13" s="1352">
        <f t="shared" si="5"/>
        <v>0.2626551724137931</v>
      </c>
      <c r="AI13" s="1352">
        <f t="shared" si="5"/>
        <v>0.2626551724137931</v>
      </c>
      <c r="AJ13" s="1352">
        <f t="shared" si="5"/>
        <v>0.2626551724137931</v>
      </c>
    </row>
    <row r="14" spans="1:36" ht="15">
      <c r="A14" s="3829"/>
      <c r="B14" s="2197"/>
      <c r="C14" s="2198" t="s">
        <v>3419</v>
      </c>
      <c r="D14" s="2199" t="s">
        <v>3419</v>
      </c>
      <c r="E14" s="2199" t="s">
        <v>3419</v>
      </c>
      <c r="F14" s="2200" t="s">
        <v>3842</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6" thickBot="1">
      <c r="A15" s="3830"/>
      <c r="B15" s="2205" t="s">
        <v>2637</v>
      </c>
      <c r="C15" s="191">
        <f>IF(C14="有",1.1,1)</f>
        <v>1</v>
      </c>
      <c r="D15" s="191">
        <f>IF(D14="有",1.1,1)</f>
        <v>1</v>
      </c>
      <c r="E15" s="191">
        <f>IF(E14="有",1.1,1)</f>
        <v>1</v>
      </c>
      <c r="F15" s="191">
        <f>IF(F14="500米范围内",1.2,IF(F14="500-1000米",1.1,1))</f>
        <v>1.1000000000000001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827" t="s">
        <v>2642</v>
      </c>
      <c r="B16" s="2174" t="s">
        <v>2643</v>
      </c>
      <c r="C16" s="2335">
        <f>ROUND(IF(F17="与级别开发程度一致",0,(G17-E17)/C17),0)</f>
        <v>0</v>
      </c>
      <c r="D16" s="3844" t="s">
        <v>2647</v>
      </c>
      <c r="E16" s="3845"/>
      <c r="F16" s="3844" t="s">
        <v>2644</v>
      </c>
      <c r="G16" s="3845"/>
      <c r="H16" s="2206" t="s">
        <v>3421</v>
      </c>
      <c r="I16" s="2206" t="s">
        <v>3420</v>
      </c>
      <c r="J16" s="2339" t="s">
        <v>3422</v>
      </c>
      <c r="K16" s="2206" t="s">
        <v>3423</v>
      </c>
      <c r="L16" s="2206" t="s">
        <v>3424</v>
      </c>
      <c r="M16" s="2206" t="s">
        <v>3425</v>
      </c>
      <c r="N16" s="2206" t="s">
        <v>3426</v>
      </c>
      <c r="O16" s="2207" t="s">
        <v>3427</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7" thickBot="1">
      <c r="A17" s="3832"/>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3475</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4" thickBot="1">
      <c r="A19" s="2211" t="s">
        <v>809</v>
      </c>
      <c r="B19" s="2212" t="s">
        <v>2650</v>
      </c>
      <c r="C19" s="860">
        <f>ROUND(IF(H19="按公示增长率计算",SUMPRODUCT((地价!A3:A37=YEAR(G19)&amp;"-"&amp;ROUNDUP(MONTH(G19)/3,0))*(地价!X2:AB2=E2)*(地价!X3:AB37)),IF(H19="地价指数",M20/M19,(1+I19)^O19)),4)</f>
        <v>1.5306999999999999</v>
      </c>
      <c r="D19" s="2216" t="s">
        <v>2651</v>
      </c>
      <c r="E19" s="861">
        <v>41640</v>
      </c>
      <c r="F19" s="2216" t="s">
        <v>2652</v>
      </c>
      <c r="G19" s="862">
        <f>'数据-取费表'!B2</f>
        <v>43252</v>
      </c>
      <c r="H19" s="2217" t="s">
        <v>3428</v>
      </c>
      <c r="I19" s="863" t="str">
        <f>IF(H19="季度增幅（自定义）",SUMIF(N21:N24,E2,O21:O24),"")</f>
        <v/>
      </c>
      <c r="J19" s="2214"/>
      <c r="K19" s="1254"/>
      <c r="L19" s="2218" t="s">
        <v>2653</v>
      </c>
      <c r="M19" s="1463">
        <f>ROUND(SUMIF(地价!B2:F2,E2,地价!B37:F37),0)</f>
        <v>423</v>
      </c>
      <c r="N19" s="2219" t="s">
        <v>2654</v>
      </c>
      <c r="O19" s="864">
        <f>ROUNDDOWN(DATEDIF(E19,G19,"M")/3,0)</f>
        <v>17</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9.4"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647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4.4">
      <c r="A21" s="2228" t="s">
        <v>811</v>
      </c>
      <c r="B21" s="2229" t="s">
        <v>3429</v>
      </c>
      <c r="C21" s="873">
        <f>IF(B21="容积率修正",IF(G3&lt;=10,D22,J22),C23)</f>
        <v>0.96179999999999999</v>
      </c>
      <c r="D21" s="2230"/>
      <c r="E21" s="2230"/>
      <c r="F21" s="2230"/>
      <c r="G21" s="2230"/>
      <c r="H21" s="2230"/>
      <c r="I21" s="2230"/>
      <c r="J21" s="2231"/>
      <c r="K21" s="1254"/>
      <c r="L21" s="2982"/>
      <c r="M21" s="2982"/>
      <c r="N21" s="2232" t="s">
        <v>2662</v>
      </c>
      <c r="O21" s="1302"/>
      <c r="P21" s="1303">
        <f>SUMPRODUCT((地价!A3:A37=YEAR(G19)&amp;"-"&amp;ROUNDUP(MONTH(G19)/3,0))*(地价!AD2:AH2=N21)*(地价!AD3:AH37))</f>
        <v>1.6199999999999999E-2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4">
      <c r="A22" s="2106" t="s">
        <v>2663</v>
      </c>
      <c r="B22" s="2233" t="s">
        <v>2664</v>
      </c>
      <c r="C22" s="1501" t="s">
        <v>2665</v>
      </c>
      <c r="D22" s="1501">
        <f>IF(E22=G22,F22,IF(G3&lt;=10,ROUND(F22+(H22-F22)*(G3-E22)/(G22-E22),4),"——"))</f>
        <v>0.96179999999999999</v>
      </c>
      <c r="E22" s="852">
        <f>ROUNDDOWN(G3,1)</f>
        <v>2.9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0.96179999999999999</v>
      </c>
      <c r="G22" s="852">
        <f>ROUNDUP(G3,1)</f>
        <v>2.9</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501" t="s">
        <v>155</v>
      </c>
      <c r="J22" s="874" t="str">
        <f>IF(G3&gt;10,D113,"——")</f>
        <v>——</v>
      </c>
      <c r="K22" s="1254"/>
      <c r="L22" s="2982"/>
      <c r="M22" s="2982"/>
      <c r="N22" s="2232" t="s">
        <v>2666</v>
      </c>
      <c r="O22" s="1302"/>
      <c r="P22" s="1303">
        <f>SUMPRODUCT((地价!A3:A37=YEAR(G19)&amp;"-"&amp;ROUNDUP(MONTH(G19)/3,0))*(地价!AD2:AH2=N22)*(地价!AD3:AH37))</f>
        <v>1.6199999999999999E-2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9.4"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2.5899999999999999E-2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 thickBot="1">
      <c r="A24" s="2221" t="s">
        <v>812</v>
      </c>
      <c r="B24" s="2212" t="s">
        <v>2670</v>
      </c>
      <c r="C24" s="860">
        <f>SUMIF(A45:A88,E2,B45:B88)</f>
        <v>1.0535000000000001</v>
      </c>
      <c r="D24" s="2213"/>
      <c r="E24" s="2240"/>
      <c r="F24" s="2240"/>
      <c r="G24" s="2240"/>
      <c r="H24" s="2240"/>
      <c r="I24" s="2240"/>
      <c r="J24" s="2241"/>
      <c r="K24" s="1254"/>
      <c r="L24" s="2982"/>
      <c r="M24" s="2982"/>
      <c r="N24" s="2242" t="s">
        <v>2671</v>
      </c>
      <c r="O24" s="1304"/>
      <c r="P24" s="1305">
        <f>SUMPRODUCT((地价!A3:A37=YEAR(G19)&amp;"-"&amp;ROUNDUP(MONTH(G19)/3,0))*(地价!AD2:AH2=N24)*(地价!AD3:AH37))</f>
        <v>1.49E-2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2.35E-2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4.4">
      <c r="A26" s="2245"/>
      <c r="B26" s="2233" t="s">
        <v>2674</v>
      </c>
      <c r="C26" s="2506">
        <f>IF(B21="容积率修正",E29+SUM(E33:E39),SUM(V2:V16)+SUM(E33:E39))</f>
        <v>161560</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 thickBot="1">
      <c r="A27" s="2245"/>
      <c r="B27" s="2249" t="s">
        <v>2675</v>
      </c>
      <c r="C27" s="867">
        <f>E30+SUM(I33:I39)</f>
        <v>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34514</v>
      </c>
      <c r="D29" s="2261">
        <f>Sheet1!D10</f>
        <v>46810</v>
      </c>
      <c r="E29" s="876">
        <f>ROUND(C29*D29/10000,0)</f>
        <v>161560</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8" thickBot="1">
      <c r="A30" s="2265"/>
      <c r="B30" s="2266" t="s">
        <v>2682</v>
      </c>
      <c r="C30" s="191">
        <f>ROUND(IF(E2="工业",C29*M39,C29*M38),0)</f>
        <v>8629</v>
      </c>
      <c r="D30" s="2267"/>
      <c r="E30" s="876">
        <f>ROUND(C30*D30/10000,0)</f>
        <v>0</v>
      </c>
      <c r="F30" s="2268" t="s">
        <v>2683</v>
      </c>
      <c r="G30" s="2269"/>
      <c r="H30" s="2269"/>
      <c r="I30" s="2269"/>
      <c r="J30" s="2269"/>
      <c r="K30" s="3395"/>
      <c r="L30" s="3395" t="s">
        <v>3479</v>
      </c>
      <c r="M30" s="3395" t="s">
        <v>3477</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4">
      <c r="A31" s="2270"/>
      <c r="B31" s="2271" t="s">
        <v>2684</v>
      </c>
      <c r="C31" s="2272" t="s">
        <v>2685</v>
      </c>
      <c r="D31" s="2190"/>
      <c r="E31" s="2272"/>
      <c r="F31" s="2272"/>
      <c r="G31" s="2188" t="s">
        <v>2686</v>
      </c>
      <c r="H31" s="2190"/>
      <c r="I31" s="2273"/>
      <c r="J31" s="2190"/>
      <c r="K31" s="3395" t="s">
        <v>3476</v>
      </c>
      <c r="L31" s="3395">
        <f>ROUND(基准地价修正!C29*0.75*1.93,0)</f>
        <v>49959</v>
      </c>
      <c r="M31" s="3396">
        <v>0.55000000000000004</v>
      </c>
      <c r="N31" s="3831">
        <f>ROUND(L31*M31+L32*M32,0)</f>
        <v>37369</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36">
      <c r="A32" s="2259"/>
      <c r="B32" s="2274"/>
      <c r="C32" s="456" t="s">
        <v>2677</v>
      </c>
      <c r="D32" s="453" t="s">
        <v>2678</v>
      </c>
      <c r="E32" s="453" t="s">
        <v>2679</v>
      </c>
      <c r="F32" s="346" t="s">
        <v>2687</v>
      </c>
      <c r="G32" s="2275" t="s">
        <v>2677</v>
      </c>
      <c r="H32" s="2275" t="s">
        <v>2678</v>
      </c>
      <c r="I32" s="2275" t="s">
        <v>2679</v>
      </c>
      <c r="J32" s="3394"/>
      <c r="K32" s="3395" t="s">
        <v>3610</v>
      </c>
      <c r="L32" s="3395">
        <f>成本逼近法!B4</f>
        <v>21982</v>
      </c>
      <c r="M32" s="3396">
        <f>1-M31</f>
        <v>0.44999999999999996</v>
      </c>
      <c r="N32" s="3831"/>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841"/>
      <c r="B33" s="2276" t="s">
        <v>2688</v>
      </c>
      <c r="C33" s="178">
        <f>ROUND(D5*C19*C20*C24*F33,0)</f>
        <v>22836</v>
      </c>
      <c r="D33" s="2261"/>
      <c r="E33" s="174">
        <f>ROUND(C33*D33/10000,0)</f>
        <v>0</v>
      </c>
      <c r="F33" s="174">
        <f>SUMIF(修正!A45:A56,G2,修正!B45:B56)</f>
        <v>0.7</v>
      </c>
      <c r="G33" s="174">
        <f t="shared" ref="G33" si="6">ROUND(IF(E2="工业",C33*$M$39,C33*$M$38),0)</f>
        <v>5709</v>
      </c>
      <c r="H33" s="174">
        <f>D33</f>
        <v>0</v>
      </c>
      <c r="I33" s="174">
        <f>ROUND(G33*H33/10000,0)</f>
        <v>0</v>
      </c>
      <c r="J33" s="3846"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3.8">
      <c r="A34" s="3842"/>
      <c r="B34" s="2194" t="s">
        <v>2689</v>
      </c>
      <c r="C34" s="178">
        <f>ROUND(D5*C19*C20*C24*F34,0)</f>
        <v>13049</v>
      </c>
      <c r="D34" s="2261"/>
      <c r="E34" s="174">
        <f t="shared" ref="E34:E39" si="7">ROUND(C34*D34/10000,0)</f>
        <v>0</v>
      </c>
      <c r="F34" s="174">
        <f>SUMIF(修正!A45:A56,G2,修正!C45:C56)</f>
        <v>0.4</v>
      </c>
      <c r="G34" s="174">
        <f>ROUND(IF(E2="工业",C34*$M$39,C34*$M$38),0)</f>
        <v>3262</v>
      </c>
      <c r="H34" s="174">
        <f t="shared" ref="H34:H39" si="8">D34</f>
        <v>0</v>
      </c>
      <c r="I34" s="174">
        <f t="shared" ref="I34:I39" si="9">ROUND(G34*H34/10000,0)</f>
        <v>0</v>
      </c>
      <c r="J34" s="3842"/>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842"/>
      <c r="B35" s="2194" t="s">
        <v>2690</v>
      </c>
      <c r="C35" s="178">
        <f>ROUND(D5*C19*C20*C24*F35,0)</f>
        <v>9134</v>
      </c>
      <c r="D35" s="2261"/>
      <c r="E35" s="174">
        <f t="shared" si="7"/>
        <v>0</v>
      </c>
      <c r="F35" s="174">
        <f>SUMIF(修正!A45:A56,G2,修正!D45:D56)</f>
        <v>0.28000000000000003</v>
      </c>
      <c r="G35" s="174">
        <f>ROUND(IF(E2="工业",C35*$M$39,C35*$M$38),0)</f>
        <v>2284</v>
      </c>
      <c r="H35" s="174">
        <f t="shared" si="8"/>
        <v>0</v>
      </c>
      <c r="I35" s="174">
        <f t="shared" si="9"/>
        <v>0</v>
      </c>
      <c r="J35" s="3842"/>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8" thickBot="1">
      <c r="A36" s="3843"/>
      <c r="B36" s="2194" t="s">
        <v>2691</v>
      </c>
      <c r="C36" s="178">
        <f>ROUND(D5*C19*C20*C24*F36,0)</f>
        <v>8156</v>
      </c>
      <c r="D36" s="2261"/>
      <c r="E36" s="174">
        <f t="shared" si="7"/>
        <v>0</v>
      </c>
      <c r="F36" s="174">
        <f>SUMIF(修正!A45:A56,G2,修正!E45:E56)</f>
        <v>0.25</v>
      </c>
      <c r="G36" s="174">
        <f>ROUND(IF(E2="工业",C36*$M$39,C36*$M$38),0)</f>
        <v>2039</v>
      </c>
      <c r="H36" s="174">
        <f t="shared" si="8"/>
        <v>0</v>
      </c>
      <c r="I36" s="174">
        <f t="shared" si="9"/>
        <v>0</v>
      </c>
      <c r="J36" s="3843"/>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8156</v>
      </c>
      <c r="D37" s="2261"/>
      <c r="E37" s="174">
        <f t="shared" si="7"/>
        <v>0</v>
      </c>
      <c r="F37" s="178">
        <f>SUMIF(修正!A45:A56,G2,修正!F45:F56)</f>
        <v>0.25</v>
      </c>
      <c r="G37" s="174">
        <f>ROUND(IF(E2="工业",C37*$M$39,C37*$M$38),0)</f>
        <v>2039</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8156</v>
      </c>
      <c r="D38" s="2261"/>
      <c r="E38" s="174">
        <f t="shared" si="7"/>
        <v>0</v>
      </c>
      <c r="F38" s="178">
        <f>SUMIF(修正!A45:A56,G2,修正!G45:G56)</f>
        <v>0.25</v>
      </c>
      <c r="G38" s="174">
        <f>ROUND(IF(E2="工业",C38*$M$39,C38*$M$38),0)</f>
        <v>2039</v>
      </c>
      <c r="H38" s="174">
        <f t="shared" si="8"/>
        <v>0</v>
      </c>
      <c r="I38" s="174">
        <f t="shared" si="9"/>
        <v>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8" thickBot="1">
      <c r="A39" s="2265"/>
      <c r="B39" s="2282" t="s">
        <v>2696</v>
      </c>
      <c r="C39" s="191">
        <f>ROUND(D5*C19*C41*C24*F39,0)</f>
        <v>6525</v>
      </c>
      <c r="D39" s="2267"/>
      <c r="E39" s="191">
        <f t="shared" si="7"/>
        <v>0</v>
      </c>
      <c r="F39" s="868">
        <f>SUMIF(修正!A45:A56,G2,修正!H45:H56)</f>
        <v>0.2</v>
      </c>
      <c r="G39" s="191">
        <f>ROUND(IF(E2="工业",C39*$M$39,C39*$M$38),0)</f>
        <v>1631</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ht="24">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4.4">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5.2">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52.8">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66">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50.4">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36">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6.4">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6.4">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40.200000000000003"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4.4">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5.2">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52.8">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66">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50.4">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36">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6.4">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6.4">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40.200000000000003"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4.4">
      <c r="A68" s="2289" t="s">
        <v>2721</v>
      </c>
      <c r="B68" s="2290">
        <f>1+E70</f>
        <v>1.0535000000000001</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5.2">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66">
      <c r="A70" s="2293" t="s">
        <v>2722</v>
      </c>
      <c r="B70" s="2296" t="str">
        <f>估价对象房地状况!C15</f>
        <v>估价对象周边居住用地比例、居住小区规模和社区发展完善程度，综合评价居住社区成熟度一般</v>
      </c>
      <c r="C70" s="2199" t="s">
        <v>3401</v>
      </c>
      <c r="D70" s="1192">
        <f t="shared" ref="D70:D78" si="20">SUMIF($J$69:$N$69,C70,J70:N70)</f>
        <v>6.7000000000000002E-3</v>
      </c>
      <c r="E70" s="757">
        <f>ROUND(SUM(D70:D78),4)</f>
        <v>5.3499999999999999E-2</v>
      </c>
      <c r="F70" s="1965">
        <f>IF(E2="住宅",SUMIF(L1:L12,G2,N1:N12),"——")</f>
        <v>9.6000000000000002E-2</v>
      </c>
      <c r="G70" s="1190">
        <f>H70</f>
        <v>6.7000000000000002E-3</v>
      </c>
      <c r="H70" s="1194">
        <f t="shared" ref="H70:H78" si="21">IFERROR(ROUNDDOWN($F$70*I70/2,4),"——")</f>
        <v>6.7000000000000002E-3</v>
      </c>
      <c r="I70" s="756">
        <v>0.14000000000000001</v>
      </c>
      <c r="J70" s="1191">
        <f t="shared" ref="J70:J78" si="22">K70+$G70</f>
        <v>1.34E-2</v>
      </c>
      <c r="K70" s="1191">
        <f t="shared" ref="K70:K78" si="23">$L70+$G70</f>
        <v>6.7000000000000002E-3</v>
      </c>
      <c r="L70" s="1191">
        <v>0</v>
      </c>
      <c r="M70" s="1191">
        <f t="shared" ref="M70:N78" si="24">L70-$G70</f>
        <v>-6.7000000000000002E-3</v>
      </c>
      <c r="N70" s="1191">
        <f t="shared" si="24"/>
        <v>-1.34E-2</v>
      </c>
      <c r="AA70" s="1248"/>
      <c r="AB70" s="1248"/>
      <c r="AC70" s="1248"/>
      <c r="AD70" s="1248"/>
      <c r="AE70" s="1248"/>
      <c r="AF70" s="1248"/>
      <c r="AG70" s="1248"/>
      <c r="AH70" s="1248"/>
      <c r="AI70" s="1248"/>
      <c r="AJ70" s="1248"/>
      <c r="AK70" s="1248"/>
    </row>
    <row r="71" spans="1:37" s="1247" customFormat="1" ht="66">
      <c r="A71" s="2293" t="s">
        <v>2708</v>
      </c>
      <c r="B71" s="2297" t="str">
        <f>估价对象房地状况!C18</f>
        <v>估价对象周边道路状况、公共交通通达情况、停车便捷程度，综合评价交通便捷度较好</v>
      </c>
      <c r="C71" s="2199" t="s">
        <v>3401</v>
      </c>
      <c r="D71" s="1192">
        <f t="shared" si="20"/>
        <v>1.44E-2</v>
      </c>
      <c r="E71" s="762"/>
      <c r="F71" s="1965"/>
      <c r="G71" s="1190">
        <f t="shared" ref="G71:G78" si="25">H71</f>
        <v>1.44E-2</v>
      </c>
      <c r="H71" s="1194">
        <f t="shared" si="21"/>
        <v>1.44E-2</v>
      </c>
      <c r="I71" s="756">
        <v>0.3</v>
      </c>
      <c r="J71" s="1191">
        <f t="shared" si="22"/>
        <v>2.8799999999999999E-2</v>
      </c>
      <c r="K71" s="1191">
        <f t="shared" si="23"/>
        <v>1.44E-2</v>
      </c>
      <c r="L71" s="1191">
        <v>0</v>
      </c>
      <c r="M71" s="1191">
        <f t="shared" si="24"/>
        <v>-1.44E-2</v>
      </c>
      <c r="N71" s="1191">
        <f t="shared" si="24"/>
        <v>-2.8799999999999999E-2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3401</v>
      </c>
      <c r="D72" s="1192">
        <f t="shared" si="20"/>
        <v>3.8E-3</v>
      </c>
      <c r="E72" s="762"/>
      <c r="F72" s="1965"/>
      <c r="G72" s="1190">
        <f t="shared" si="25"/>
        <v>3.8E-3</v>
      </c>
      <c r="H72" s="1194">
        <f t="shared" si="21"/>
        <v>3.8E-3</v>
      </c>
      <c r="I72" s="756">
        <v>0.08</v>
      </c>
      <c r="J72" s="1191">
        <f t="shared" si="22"/>
        <v>7.6E-3</v>
      </c>
      <c r="K72" s="1191">
        <f t="shared" si="23"/>
        <v>3.8E-3</v>
      </c>
      <c r="L72" s="1191">
        <v>0</v>
      </c>
      <c r="M72" s="1191">
        <f t="shared" si="24"/>
        <v>-3.8E-3</v>
      </c>
      <c r="N72" s="1191">
        <f t="shared" si="24"/>
        <v>-7.6E-3</v>
      </c>
      <c r="AA72" s="1248"/>
      <c r="AB72" s="1248"/>
      <c r="AC72" s="1248"/>
      <c r="AD72" s="1248"/>
      <c r="AE72" s="1248"/>
      <c r="AF72" s="1248"/>
      <c r="AG72" s="1248"/>
      <c r="AH72" s="1248"/>
      <c r="AI72" s="1248"/>
      <c r="AJ72" s="1248"/>
      <c r="AK72" s="1248"/>
    </row>
    <row r="73" spans="1:37" s="1247" customFormat="1" ht="13.8">
      <c r="A73" s="2293" t="s">
        <v>2723</v>
      </c>
      <c r="B73" s="2297">
        <f>估价对象房地状况!C24</f>
        <v>0</v>
      </c>
      <c r="C73" s="2199" t="s">
        <v>3401</v>
      </c>
      <c r="D73" s="1192">
        <f t="shared" si="20"/>
        <v>1.9E-3</v>
      </c>
      <c r="E73" s="762"/>
      <c r="F73" s="1965"/>
      <c r="G73" s="1190">
        <f t="shared" si="25"/>
        <v>1.9E-3</v>
      </c>
      <c r="H73" s="1194">
        <f t="shared" si="21"/>
        <v>1.9E-3</v>
      </c>
      <c r="I73" s="756">
        <v>0.04</v>
      </c>
      <c r="J73" s="1191">
        <f t="shared" si="22"/>
        <v>3.8E-3</v>
      </c>
      <c r="K73" s="1191">
        <f t="shared" si="23"/>
        <v>1.9E-3</v>
      </c>
      <c r="L73" s="1191">
        <v>0</v>
      </c>
      <c r="M73" s="1191">
        <f t="shared" si="24"/>
        <v>-1.9E-3</v>
      </c>
      <c r="N73" s="1191">
        <f t="shared" si="24"/>
        <v>-3.8E-3</v>
      </c>
      <c r="AA73" s="1248"/>
      <c r="AB73" s="1248"/>
      <c r="AC73" s="1248"/>
      <c r="AD73" s="1248"/>
      <c r="AE73" s="1248"/>
      <c r="AF73" s="1248"/>
      <c r="AG73" s="1248"/>
      <c r="AH73" s="1248"/>
      <c r="AI73" s="1248"/>
      <c r="AJ73" s="1248"/>
      <c r="AK73" s="1248"/>
    </row>
    <row r="74" spans="1:37" s="1247" customFormat="1" ht="26.4">
      <c r="A74" s="2293" t="s">
        <v>2715</v>
      </c>
      <c r="B74" s="1461" t="str">
        <f>估价对象房地状况!C21</f>
        <v>估价对象所在区域公共配套设施齐备情况</v>
      </c>
      <c r="C74" s="2199" t="s">
        <v>3401</v>
      </c>
      <c r="D74" s="1192">
        <f t="shared" si="20"/>
        <v>3.8E-3</v>
      </c>
      <c r="E74" s="762"/>
      <c r="F74" s="1965"/>
      <c r="G74" s="1190">
        <f t="shared" si="25"/>
        <v>3.8E-3</v>
      </c>
      <c r="H74" s="1194">
        <f t="shared" si="21"/>
        <v>3.8E-3</v>
      </c>
      <c r="I74" s="756">
        <v>0.08</v>
      </c>
      <c r="J74" s="1191">
        <f t="shared" si="22"/>
        <v>7.6E-3</v>
      </c>
      <c r="K74" s="1191">
        <f t="shared" si="23"/>
        <v>3.8E-3</v>
      </c>
      <c r="L74" s="1191">
        <v>0</v>
      </c>
      <c r="M74" s="1191">
        <f t="shared" si="24"/>
        <v>-3.8E-3</v>
      </c>
      <c r="N74" s="1191">
        <f t="shared" si="24"/>
        <v>-7.6E-3</v>
      </c>
      <c r="AA74" s="1248"/>
      <c r="AB74" s="1248"/>
      <c r="AC74" s="1248"/>
      <c r="AD74" s="1248"/>
      <c r="AE74" s="1248"/>
      <c r="AF74" s="1248"/>
      <c r="AG74" s="1248"/>
      <c r="AH74" s="1248"/>
      <c r="AI74" s="1248"/>
      <c r="AJ74" s="1248"/>
      <c r="AK74" s="1248"/>
    </row>
    <row r="75" spans="1:37" s="1247" customFormat="1" ht="26.4">
      <c r="A75" s="2293" t="s">
        <v>2716</v>
      </c>
      <c r="B75" s="1461" t="str">
        <f>估价对象房地状况!C22</f>
        <v>估价对象所在区域基础设施水平</v>
      </c>
      <c r="C75" s="2199" t="s">
        <v>3478</v>
      </c>
      <c r="D75" s="1192">
        <f t="shared" si="20"/>
        <v>1.14E-2</v>
      </c>
      <c r="E75" s="762"/>
      <c r="F75" s="1965"/>
      <c r="G75" s="1190">
        <f t="shared" si="25"/>
        <v>5.7000000000000002E-3</v>
      </c>
      <c r="H75" s="1194">
        <f t="shared" si="21"/>
        <v>5.7000000000000002E-3</v>
      </c>
      <c r="I75" s="756">
        <v>0.12</v>
      </c>
      <c r="J75" s="1191">
        <f t="shared" si="22"/>
        <v>1.14E-2</v>
      </c>
      <c r="K75" s="1191">
        <f t="shared" si="23"/>
        <v>5.7000000000000002E-3</v>
      </c>
      <c r="L75" s="1191">
        <v>0</v>
      </c>
      <c r="M75" s="1191">
        <f t="shared" si="24"/>
        <v>-5.7000000000000002E-3</v>
      </c>
      <c r="N75" s="1191">
        <f t="shared" si="24"/>
        <v>-1.14E-2</v>
      </c>
      <c r="AA75" s="1248"/>
      <c r="AB75" s="1248"/>
      <c r="AC75" s="1248"/>
      <c r="AD75" s="1248"/>
      <c r="AE75" s="1248"/>
      <c r="AF75" s="1248"/>
      <c r="AG75" s="1248"/>
      <c r="AH75" s="1248"/>
      <c r="AI75" s="1248"/>
      <c r="AJ75" s="1248"/>
      <c r="AK75" s="1248"/>
    </row>
    <row r="76" spans="1:37" s="2148" customFormat="1" ht="36">
      <c r="A76" s="2293" t="s">
        <v>2713</v>
      </c>
      <c r="B76" s="2299" t="s">
        <v>2714</v>
      </c>
      <c r="C76" s="2199" t="s">
        <v>3401</v>
      </c>
      <c r="D76" s="1192">
        <f t="shared" si="20"/>
        <v>2.3999999999999998E-3</v>
      </c>
      <c r="E76" s="762"/>
      <c r="F76" s="1965"/>
      <c r="G76" s="1190">
        <f t="shared" si="25"/>
        <v>2.3999999999999998E-3</v>
      </c>
      <c r="H76" s="1194">
        <f t="shared" si="21"/>
        <v>2.3999999999999998E-3</v>
      </c>
      <c r="I76" s="756">
        <v>0.05</v>
      </c>
      <c r="J76" s="1191">
        <f t="shared" si="22"/>
        <v>4.7999999999999996E-3</v>
      </c>
      <c r="K76" s="1191">
        <f t="shared" si="23"/>
        <v>2.3999999999999998E-3</v>
      </c>
      <c r="L76" s="1191">
        <v>0</v>
      </c>
      <c r="M76" s="1191">
        <f t="shared" si="24"/>
        <v>-2.3999999999999998E-3</v>
      </c>
      <c r="N76" s="1191">
        <f t="shared" si="24"/>
        <v>-4.7999999999999996E-3</v>
      </c>
      <c r="AA76" s="2304"/>
      <c r="AB76" s="1248"/>
      <c r="AC76" s="1248"/>
      <c r="AD76" s="1248"/>
      <c r="AE76" s="1248"/>
      <c r="AF76" s="1248"/>
      <c r="AG76" s="1248"/>
      <c r="AH76" s="2304"/>
      <c r="AI76" s="2304"/>
      <c r="AJ76" s="2304"/>
      <c r="AK76" s="2304"/>
    </row>
    <row r="77" spans="1:37" ht="39.6">
      <c r="A77" s="2293" t="s">
        <v>2717</v>
      </c>
      <c r="B77" s="2296" t="str">
        <f>估价对象房地状况!C20</f>
        <v>区域自然环境：；人文环境；综合评价环境状况一般</v>
      </c>
      <c r="C77" s="2199" t="s">
        <v>3401</v>
      </c>
      <c r="D77" s="1192">
        <f t="shared" si="20"/>
        <v>7.1999999999999998E-3</v>
      </c>
      <c r="E77" s="762"/>
      <c r="F77" s="1965"/>
      <c r="G77" s="1190">
        <f t="shared" si="25"/>
        <v>7.1999999999999998E-3</v>
      </c>
      <c r="H77" s="1194">
        <f t="shared" si="21"/>
        <v>7.1999999999999998E-3</v>
      </c>
      <c r="I77" s="756">
        <v>0.15</v>
      </c>
      <c r="J77" s="1191">
        <f t="shared" si="22"/>
        <v>1.44E-2</v>
      </c>
      <c r="K77" s="1191">
        <f t="shared" si="23"/>
        <v>7.1999999999999998E-3</v>
      </c>
      <c r="L77" s="1191">
        <v>0</v>
      </c>
      <c r="M77" s="1191">
        <f t="shared" si="24"/>
        <v>-7.1999999999999998E-3</v>
      </c>
      <c r="N77" s="1191">
        <f t="shared" si="24"/>
        <v>-1.44E-2</v>
      </c>
      <c r="Z77" s="2149"/>
      <c r="AA77" s="2215"/>
      <c r="AG77" s="1249"/>
      <c r="AK77" s="2215"/>
    </row>
    <row r="78" spans="1:37" ht="36.6" thickBot="1">
      <c r="A78" s="2301" t="s">
        <v>2724</v>
      </c>
      <c r="B78" s="2305"/>
      <c r="C78" s="2199" t="s">
        <v>3401</v>
      </c>
      <c r="D78" s="1192">
        <f t="shared" si="20"/>
        <v>1.9E-3</v>
      </c>
      <c r="E78" s="763"/>
      <c r="F78" s="1965"/>
      <c r="G78" s="1190">
        <f t="shared" si="25"/>
        <v>1.9E-3</v>
      </c>
      <c r="H78" s="1194">
        <f t="shared" si="21"/>
        <v>1.9E-3</v>
      </c>
      <c r="I78" s="760">
        <v>0.04</v>
      </c>
      <c r="J78" s="1191">
        <f t="shared" si="22"/>
        <v>3.8E-3</v>
      </c>
      <c r="K78" s="1191">
        <f t="shared" si="23"/>
        <v>1.9E-3</v>
      </c>
      <c r="L78" s="1191">
        <v>0</v>
      </c>
      <c r="M78" s="1191">
        <f t="shared" si="24"/>
        <v>-1.9E-3</v>
      </c>
      <c r="N78" s="1191">
        <f t="shared" si="24"/>
        <v>-3.8E-3</v>
      </c>
      <c r="Z78" s="2149"/>
      <c r="AA78" s="2215"/>
      <c r="AG78" s="1249"/>
      <c r="AK78" s="2215"/>
    </row>
    <row r="79" spans="1:37" ht="14.4">
      <c r="A79" s="2289" t="s">
        <v>2725</v>
      </c>
      <c r="B79" s="2290">
        <f>1+E81</f>
        <v>1</v>
      </c>
      <c r="C79" s="750"/>
      <c r="D79" s="750"/>
      <c r="E79" s="751"/>
      <c r="F79" s="2292"/>
      <c r="G79" s="6"/>
      <c r="H79" s="6"/>
      <c r="I79" s="6"/>
      <c r="J79" s="7"/>
      <c r="K79" s="7"/>
      <c r="L79" s="7"/>
      <c r="M79" s="7"/>
      <c r="N79" s="7"/>
      <c r="Z79" s="2149"/>
      <c r="AA79" s="2215"/>
      <c r="AG79" s="1249"/>
      <c r="AK79" s="2215"/>
    </row>
    <row r="80" spans="1:37" ht="25.2">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9.6">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66">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3.8">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6.4">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6.4">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36">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53.4"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833" t="s">
        <v>2729</v>
      </c>
      <c r="B90" s="3833"/>
      <c r="C90" s="3833"/>
      <c r="D90" s="3833"/>
      <c r="E90" s="3833"/>
      <c r="F90" s="3833"/>
      <c r="G90" s="3833"/>
      <c r="H90" s="3833"/>
      <c r="I90" s="3833"/>
      <c r="J90" s="3833"/>
      <c r="K90" s="2307"/>
      <c r="L90" s="2307"/>
      <c r="M90" s="2307"/>
      <c r="N90" s="2307"/>
    </row>
    <row r="91" spans="1:37">
      <c r="A91" s="3835" t="s">
        <v>2730</v>
      </c>
      <c r="B91" s="3835" t="s">
        <v>2731</v>
      </c>
      <c r="C91" s="2262" t="s">
        <v>2732</v>
      </c>
      <c r="D91" s="2263"/>
      <c r="E91" s="2263"/>
      <c r="F91" s="2263"/>
      <c r="G91" s="2263"/>
      <c r="H91" s="2263"/>
      <c r="I91" s="2263"/>
      <c r="J91" s="2308"/>
      <c r="K91" s="2309"/>
      <c r="L91" s="2309"/>
      <c r="M91" s="2309"/>
      <c r="N91" s="2309"/>
    </row>
    <row r="92" spans="1:37">
      <c r="A92" s="3835"/>
      <c r="B92" s="3835"/>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836"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837"/>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837"/>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837"/>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837"/>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837"/>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837"/>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838"/>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836" t="s">
        <v>2734</v>
      </c>
      <c r="B101" s="2314" t="s">
        <v>2735</v>
      </c>
      <c r="C101" s="2315">
        <f>$G$3</f>
        <v>2.9</v>
      </c>
      <c r="D101" s="2315">
        <f t="shared" ref="D101:N101" si="32">$G$3</f>
        <v>2.9</v>
      </c>
      <c r="E101" s="2315">
        <f t="shared" si="32"/>
        <v>2.9</v>
      </c>
      <c r="F101" s="2315">
        <f t="shared" si="32"/>
        <v>2.9</v>
      </c>
      <c r="G101" s="2315">
        <f t="shared" si="32"/>
        <v>2.9</v>
      </c>
      <c r="H101" s="2315">
        <f t="shared" si="32"/>
        <v>2.9</v>
      </c>
      <c r="I101" s="2315">
        <f t="shared" si="32"/>
        <v>2.9</v>
      </c>
      <c r="J101" s="2315">
        <f t="shared" si="32"/>
        <v>2.9</v>
      </c>
      <c r="K101" s="2315">
        <f t="shared" si="32"/>
        <v>2.9</v>
      </c>
      <c r="L101" s="2315">
        <f t="shared" si="32"/>
        <v>2.9</v>
      </c>
      <c r="M101" s="2315">
        <f t="shared" si="32"/>
        <v>2.9</v>
      </c>
      <c r="N101" s="2315">
        <f t="shared" si="32"/>
        <v>2.9</v>
      </c>
    </row>
    <row r="102" spans="1:14">
      <c r="A102" s="3837"/>
      <c r="B102" s="2310">
        <v>1</v>
      </c>
      <c r="C102" s="2311">
        <f>1.9362/C101</f>
        <v>0.66765517241379313</v>
      </c>
      <c r="D102" s="2311">
        <f>1.9362/D101</f>
        <v>0.66765517241379313</v>
      </c>
      <c r="E102" s="2311">
        <f>1.8629/E101</f>
        <v>0.64237931034482765</v>
      </c>
      <c r="F102" s="2311">
        <f>1.8629/F101</f>
        <v>0.64237931034482765</v>
      </c>
      <c r="G102" s="2311">
        <f>1.8629/G101</f>
        <v>0.64237931034482765</v>
      </c>
      <c r="H102" s="2311">
        <f>1.8629/H101</f>
        <v>0.64237931034482765</v>
      </c>
      <c r="I102" s="2311">
        <f>1.8629/I101</f>
        <v>0.64237931034482765</v>
      </c>
      <c r="J102" s="2311">
        <f>1.942/J101</f>
        <v>0.66965517241379313</v>
      </c>
      <c r="K102" s="2311">
        <f>1.942/K101</f>
        <v>0.66965517241379313</v>
      </c>
      <c r="L102" s="2311">
        <f>1.942/L101</f>
        <v>0.66965517241379313</v>
      </c>
      <c r="M102" s="2311">
        <f>1.942/M101</f>
        <v>0.66965517241379313</v>
      </c>
      <c r="N102" s="2311">
        <f>1.942/N101</f>
        <v>0.66965517241379313</v>
      </c>
    </row>
    <row r="103" spans="1:14">
      <c r="A103" s="3837"/>
      <c r="B103" s="2310">
        <v>2</v>
      </c>
      <c r="C103" s="2311">
        <f>1.4198/C101</f>
        <v>0.48958620689655175</v>
      </c>
      <c r="D103" s="2311">
        <f>1.4198/D101</f>
        <v>0.48958620689655175</v>
      </c>
      <c r="E103" s="2311">
        <f>1.3372/E101</f>
        <v>0.46110344827586208</v>
      </c>
      <c r="F103" s="2311">
        <f>1.3372/F101</f>
        <v>0.46110344827586208</v>
      </c>
      <c r="G103" s="2311">
        <f>1.3372/G101</f>
        <v>0.46110344827586208</v>
      </c>
      <c r="H103" s="2311">
        <f>1.3372/H101</f>
        <v>0.46110344827586208</v>
      </c>
      <c r="I103" s="2311">
        <f>1.3372/I101</f>
        <v>0.46110344827586208</v>
      </c>
      <c r="J103" s="2311">
        <f>1.2799/J101</f>
        <v>0.44134482758620691</v>
      </c>
      <c r="K103" s="2311">
        <f>1.2799/K101</f>
        <v>0.44134482758620691</v>
      </c>
      <c r="L103" s="2311">
        <f>1.2799/L101</f>
        <v>0.44134482758620691</v>
      </c>
      <c r="M103" s="2311">
        <f>1.2799/M101</f>
        <v>0.44134482758620691</v>
      </c>
      <c r="N103" s="2311">
        <f>1.2799/N101</f>
        <v>0.44134482758620691</v>
      </c>
    </row>
    <row r="104" spans="1:14">
      <c r="A104" s="3837"/>
      <c r="B104" s="2310">
        <v>3</v>
      </c>
      <c r="C104" s="2311">
        <f>1.1594/C101</f>
        <v>0.39979310344827584</v>
      </c>
      <c r="D104" s="2311">
        <f>1.1594/D101</f>
        <v>0.39979310344827584</v>
      </c>
      <c r="E104" s="2311">
        <f>1.0788/E101</f>
        <v>0.372</v>
      </c>
      <c r="F104" s="2311">
        <f>1.0788/F101</f>
        <v>0.372</v>
      </c>
      <c r="G104" s="2311">
        <f>1.0788/G101</f>
        <v>0.372</v>
      </c>
      <c r="H104" s="2311">
        <f>1.0788/H101</f>
        <v>0.372</v>
      </c>
      <c r="I104" s="2311">
        <f>1.0788/I101</f>
        <v>0.372</v>
      </c>
      <c r="J104" s="2311">
        <f>1.0072/J101</f>
        <v>0.34731034482758627</v>
      </c>
      <c r="K104" s="2311">
        <f>1.0072/K101</f>
        <v>0.34731034482758627</v>
      </c>
      <c r="L104" s="2311">
        <f>1.0072/L101</f>
        <v>0.34731034482758627</v>
      </c>
      <c r="M104" s="2311">
        <f>1.0072/M101</f>
        <v>0.34731034482758627</v>
      </c>
      <c r="N104" s="2311">
        <f>1.0072/N101</f>
        <v>0.34731034482758627</v>
      </c>
    </row>
    <row r="105" spans="1:14">
      <c r="A105" s="3837"/>
      <c r="B105" s="2310">
        <v>4</v>
      </c>
      <c r="C105" s="2311">
        <f>0.9622/C101</f>
        <v>0.33179310344827589</v>
      </c>
      <c r="D105" s="2311">
        <f>0.9622/D101</f>
        <v>0.33179310344827589</v>
      </c>
      <c r="E105" s="2311">
        <f>0.8656/E101</f>
        <v>0.29848275862068968</v>
      </c>
      <c r="F105" s="2311">
        <f>0.8656/F101</f>
        <v>0.29848275862068968</v>
      </c>
      <c r="G105" s="2311">
        <f>0.8656/G101</f>
        <v>0.29848275862068968</v>
      </c>
      <c r="H105" s="2311">
        <f>0.8656/H101</f>
        <v>0.29848275862068968</v>
      </c>
      <c r="I105" s="2311">
        <f>0.8656/I101</f>
        <v>0.29848275862068968</v>
      </c>
      <c r="J105" s="2311">
        <f>0.7525/J101</f>
        <v>0.25948275862068965</v>
      </c>
      <c r="K105" s="2311">
        <f>0.7525/K101</f>
        <v>0.25948275862068965</v>
      </c>
      <c r="L105" s="2311">
        <f>0.7525/L101</f>
        <v>0.25948275862068965</v>
      </c>
      <c r="M105" s="2311">
        <f>0.7525/M101</f>
        <v>0.25948275862068965</v>
      </c>
      <c r="N105" s="2311">
        <f>0.7525/N101</f>
        <v>0.25948275862068965</v>
      </c>
    </row>
    <row r="106" spans="1:14">
      <c r="A106" s="3837"/>
      <c r="B106" s="2310">
        <v>5</v>
      </c>
      <c r="C106" s="2311">
        <f>0.8417/C101</f>
        <v>0.29024137931034483</v>
      </c>
      <c r="D106" s="2311">
        <f>0.8417/D101</f>
        <v>0.29024137931034483</v>
      </c>
      <c r="E106" s="2311">
        <f>0.7371/E101</f>
        <v>0.25417241379310346</v>
      </c>
      <c r="F106" s="2311">
        <f>0.7371/F101</f>
        <v>0.25417241379310346</v>
      </c>
      <c r="G106" s="2311">
        <f>0.7371/G101</f>
        <v>0.25417241379310346</v>
      </c>
      <c r="H106" s="2311">
        <f>0.7371/H101</f>
        <v>0.25417241379310346</v>
      </c>
      <c r="I106" s="2311">
        <f>0.7371/I101</f>
        <v>0.25417241379310346</v>
      </c>
      <c r="J106" s="2311">
        <f>0.5659/J101</f>
        <v>0.19513793103448274</v>
      </c>
      <c r="K106" s="2311">
        <f>0.5659/K101</f>
        <v>0.19513793103448274</v>
      </c>
      <c r="L106" s="2311">
        <f>0.5659/L101</f>
        <v>0.19513793103448274</v>
      </c>
      <c r="M106" s="2311">
        <f>0.5659/M101</f>
        <v>0.19513793103448274</v>
      </c>
      <c r="N106" s="2311">
        <f>0.5659/N101</f>
        <v>0.19513793103448274</v>
      </c>
    </row>
    <row r="107" spans="1:14">
      <c r="A107" s="3837"/>
      <c r="B107" s="2310">
        <v>6</v>
      </c>
      <c r="C107" s="2311">
        <f>0.7608/C101</f>
        <v>0.26234482758620692</v>
      </c>
      <c r="D107" s="2311">
        <f>0.7608/D101</f>
        <v>0.26234482758620692</v>
      </c>
      <c r="E107" s="2311">
        <f>0.6482/E101</f>
        <v>0.22351724137931034</v>
      </c>
      <c r="F107" s="2311">
        <f>0.6482/F101</f>
        <v>0.22351724137931034</v>
      </c>
      <c r="G107" s="2311">
        <f>0.6482/G101</f>
        <v>0.22351724137931034</v>
      </c>
      <c r="H107" s="2311">
        <f>0.6482/H101</f>
        <v>0.22351724137931034</v>
      </c>
      <c r="I107" s="2311">
        <f>0.6482/I101</f>
        <v>0.22351724137931034</v>
      </c>
      <c r="J107" s="2311">
        <f>0.4525/J101</f>
        <v>0.1560344827586207</v>
      </c>
      <c r="K107" s="2311">
        <f>0.4525/K101</f>
        <v>0.1560344827586207</v>
      </c>
      <c r="L107" s="2311">
        <f>0.4525/L101</f>
        <v>0.1560344827586207</v>
      </c>
      <c r="M107" s="2311">
        <f>0.4525/M101</f>
        <v>0.1560344827586207</v>
      </c>
      <c r="N107" s="2311">
        <f>0.4525/N101</f>
        <v>0.1560344827586207</v>
      </c>
    </row>
    <row r="108" spans="1:14">
      <c r="A108" s="3837"/>
      <c r="B108" s="3839"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838"/>
      <c r="B109" s="3840"/>
      <c r="C109" s="2313">
        <f>(-0.163*(C108^2)-0.59*C108+7617)*(10^(-4))/C101</f>
        <v>0.2626551724137931</v>
      </c>
      <c r="D109" s="2313">
        <f>(-0.163*(D108^2)-0.59*D108+7617)*(10^(-4))/D101</f>
        <v>0.2626551724137931</v>
      </c>
      <c r="E109" s="2313">
        <f>(-0.161*(E108^2)-7.509*E108+6533)*(10^(-4))/E101</f>
        <v>0.22527586206896552</v>
      </c>
      <c r="F109" s="2313">
        <f>(-0.161*(F108^2)-7.509*F108+6533)*(10^(-4))/F101</f>
        <v>0.22527586206896552</v>
      </c>
      <c r="G109" s="2313">
        <f>(-0.161*(G108^2)-7.509*G108+6533)*(10^(-4))/G101</f>
        <v>0.22527586206896552</v>
      </c>
      <c r="H109" s="2313">
        <f>(-0.161*(H108^2)-7.509*H108+6533)*(10^(-4))/H101</f>
        <v>0.22527586206896552</v>
      </c>
      <c r="I109" s="2313">
        <f>(-0.161*(I108^2)-7.509*I108+6533)*(10^(-4))/I101</f>
        <v>0.22527586206896552</v>
      </c>
      <c r="J109" s="2313">
        <f>(-0.214*(J108^2)-21.991*J108+4665)*(10^(-4))/J101</f>
        <v>0.16086206896551725</v>
      </c>
      <c r="K109" s="2313">
        <f>(-0.214*(K108^2)-21.991*K108+4665)*(10^(-4))/K101</f>
        <v>0.16086206896551725</v>
      </c>
      <c r="L109" s="2313">
        <f>(-0.214*(L108^2)-21.991*L108+4665)*(10^(-4))/L101</f>
        <v>0.16086206896551725</v>
      </c>
      <c r="M109" s="2313">
        <f>(-0.214*(M108^2)-21.991*M108+4665)*(10^(-4))/M101</f>
        <v>0.16086206896551725</v>
      </c>
      <c r="N109" s="2313">
        <f>(-0.214*(N108^2)-21.991*N108+4665)*(10^(-4))/N101</f>
        <v>0.16086206896551725</v>
      </c>
    </row>
    <row r="110" spans="1:14">
      <c r="A110" s="3834" t="s">
        <v>2737</v>
      </c>
      <c r="B110" s="3834"/>
      <c r="C110" s="3834"/>
      <c r="D110" s="3834"/>
      <c r="E110" s="3834"/>
      <c r="F110" s="3834"/>
      <c r="G110" s="3834"/>
      <c r="H110" s="3834"/>
      <c r="I110" s="3834"/>
      <c r="J110" s="3834"/>
      <c r="K110" s="2316"/>
      <c r="L110" s="2316"/>
      <c r="M110" s="2316"/>
      <c r="N110" s="2316"/>
    </row>
    <row r="112" spans="1:14" ht="13.8" thickBot="1"/>
    <row r="113" spans="1:13" ht="25.8" thickBot="1">
      <c r="A113" s="839" t="s">
        <v>2738</v>
      </c>
      <c r="B113" s="1193">
        <f>G3</f>
        <v>2.9</v>
      </c>
      <c r="C113" s="840" t="s">
        <v>2739</v>
      </c>
      <c r="D113" s="841">
        <f>SUMPRODUCT((A115:A118=F113)*(B114:M114=H113)*B115:M118)</f>
        <v>0.85160000000000002</v>
      </c>
      <c r="E113" s="2153" t="s">
        <v>2574</v>
      </c>
      <c r="F113" s="2318" t="str">
        <f>E2</f>
        <v>住宅</v>
      </c>
      <c r="G113" s="2153" t="s">
        <v>2575</v>
      </c>
      <c r="H113" s="2318" t="str">
        <f>G2</f>
        <v>三级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0.90620000000000001</v>
      </c>
      <c r="C115" s="846">
        <f>B115</f>
        <v>0.90620000000000001</v>
      </c>
      <c r="D115" s="846">
        <f>ROUND(0.8331-0.0109*B113,4)</f>
        <v>0.80149999999999999</v>
      </c>
      <c r="E115" s="846">
        <f>D115</f>
        <v>0.80149999999999999</v>
      </c>
      <c r="F115" s="846">
        <f>E115</f>
        <v>0.80149999999999999</v>
      </c>
      <c r="G115" s="846">
        <f>F115</f>
        <v>0.80149999999999999</v>
      </c>
      <c r="H115" s="846">
        <f>G115</f>
        <v>0.80149999999999999</v>
      </c>
      <c r="I115" s="846">
        <f>ROUND(0.689-0.0155*B113,4)</f>
        <v>0.64410000000000001</v>
      </c>
      <c r="J115" s="846">
        <f t="shared" ref="J115:M118" si="34">I115</f>
        <v>0.64410000000000001</v>
      </c>
      <c r="K115" s="846">
        <f t="shared" si="34"/>
        <v>0.64410000000000001</v>
      </c>
      <c r="L115" s="846">
        <f t="shared" si="34"/>
        <v>0.64410000000000001</v>
      </c>
      <c r="M115" s="847">
        <f t="shared" si="34"/>
        <v>0.64410000000000001</v>
      </c>
    </row>
    <row r="116" spans="1:13">
      <c r="A116" s="845" t="s">
        <v>2639</v>
      </c>
      <c r="B116" s="846">
        <f>ROUND(0.949-0.012*B113,4)</f>
        <v>0.91420000000000001</v>
      </c>
      <c r="C116" s="846">
        <f>B116</f>
        <v>0.91420000000000001</v>
      </c>
      <c r="D116" s="846">
        <f>ROUND(0.8567-0.013*B113,4)</f>
        <v>0.81899999999999995</v>
      </c>
      <c r="E116" s="846">
        <f t="shared" ref="E116:H117" si="35">D116</f>
        <v>0.81899999999999995</v>
      </c>
      <c r="F116" s="846">
        <f t="shared" si="35"/>
        <v>0.81899999999999995</v>
      </c>
      <c r="G116" s="846">
        <f t="shared" si="35"/>
        <v>0.81899999999999995</v>
      </c>
      <c r="H116" s="846">
        <f t="shared" si="35"/>
        <v>0.81899999999999995</v>
      </c>
      <c r="I116" s="846">
        <f>ROUND(0.7694-0.014*B113,4)</f>
        <v>0.7288</v>
      </c>
      <c r="J116" s="846">
        <f t="shared" si="34"/>
        <v>0.7288</v>
      </c>
      <c r="K116" s="846">
        <f t="shared" si="34"/>
        <v>0.7288</v>
      </c>
      <c r="L116" s="846">
        <f t="shared" si="34"/>
        <v>0.7288</v>
      </c>
      <c r="M116" s="847">
        <f t="shared" si="34"/>
        <v>0.7288</v>
      </c>
    </row>
    <row r="117" spans="1:13">
      <c r="A117" s="845" t="s">
        <v>2640</v>
      </c>
      <c r="B117" s="846">
        <f>ROUND(0.8808-0.006*B113,4)</f>
        <v>0.86339999999999995</v>
      </c>
      <c r="C117" s="846">
        <f>B117</f>
        <v>0.86339999999999995</v>
      </c>
      <c r="D117" s="846">
        <f>ROUND(0.8748-0.008*B113,4)</f>
        <v>0.85160000000000002</v>
      </c>
      <c r="E117" s="846">
        <f t="shared" si="35"/>
        <v>0.85160000000000002</v>
      </c>
      <c r="F117" s="846">
        <f t="shared" si="35"/>
        <v>0.85160000000000002</v>
      </c>
      <c r="G117" s="846">
        <f t="shared" si="35"/>
        <v>0.85160000000000002</v>
      </c>
      <c r="H117" s="846">
        <f t="shared" si="35"/>
        <v>0.85160000000000002</v>
      </c>
      <c r="I117" s="846">
        <f>ROUND(0.7412-0.0095*B113,4)</f>
        <v>0.7137</v>
      </c>
      <c r="J117" s="846">
        <f t="shared" si="34"/>
        <v>0.7137</v>
      </c>
      <c r="K117" s="846">
        <f t="shared" si="34"/>
        <v>0.7137</v>
      </c>
      <c r="L117" s="846">
        <f t="shared" si="34"/>
        <v>0.7137</v>
      </c>
      <c r="M117" s="847">
        <f t="shared" si="34"/>
        <v>0.7137</v>
      </c>
    </row>
    <row r="118" spans="1:13" ht="13.8" thickBot="1">
      <c r="A118" s="668" t="s">
        <v>2641</v>
      </c>
      <c r="B118" s="848">
        <f>ROUND(0.7275-0.01*B113,4)</f>
        <v>0.69850000000000001</v>
      </c>
      <c r="C118" s="848">
        <f>B118</f>
        <v>0.69850000000000001</v>
      </c>
      <c r="D118" s="848">
        <f>ROUND(0.7043-0.012*B113,4)</f>
        <v>0.66949999999999998</v>
      </c>
      <c r="E118" s="848">
        <f>D118</f>
        <v>0.66949999999999998</v>
      </c>
      <c r="F118" s="848">
        <f>E118</f>
        <v>0.66949999999999998</v>
      </c>
      <c r="G118" s="848">
        <f>ROUND(0.6299-0.0122*B113,4)</f>
        <v>0.59450000000000003</v>
      </c>
      <c r="H118" s="848">
        <f>G118</f>
        <v>0.59450000000000003</v>
      </c>
      <c r="I118" s="848">
        <f>ROUND(0.5667-0.0136*B113,4)</f>
        <v>0.52729999999999999</v>
      </c>
      <c r="J118" s="848">
        <f t="shared" si="34"/>
        <v>0.52729999999999999</v>
      </c>
      <c r="K118" s="848">
        <f t="shared" si="34"/>
        <v>0.52729999999999999</v>
      </c>
      <c r="L118" s="848">
        <f t="shared" si="34"/>
        <v>0.52729999999999999</v>
      </c>
      <c r="M118" s="849">
        <f t="shared" si="34"/>
        <v>0.52729999999999999</v>
      </c>
    </row>
  </sheetData>
  <sheetProtection formatCells="0" formatColumns="0" formatRows="0"/>
  <dataConsolidate/>
  <mergeCells count="19">
    <mergeCell ref="N31:N32"/>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Y63"/>
  <sheetViews>
    <sheetView workbookViewId="0">
      <selection activeCell="J16" sqref="J16"/>
    </sheetView>
  </sheetViews>
  <sheetFormatPr defaultColWidth="8.33203125" defaultRowHeight="13.2"/>
  <cols>
    <col min="1" max="1" width="9.33203125" style="273" customWidth="1"/>
    <col min="2" max="2" width="26.6640625" style="255" customWidth="1"/>
    <col min="3" max="3" width="11.109375" style="255" customWidth="1"/>
    <col min="4" max="5" width="11.109375" style="276" customWidth="1"/>
    <col min="6" max="6" width="9.33203125" style="255" customWidth="1"/>
    <col min="7" max="7" width="31.88671875" style="255" customWidth="1"/>
    <col min="8" max="25" width="9" style="1533" customWidth="1"/>
    <col min="26" max="254" width="9" style="255" customWidth="1"/>
    <col min="255" max="16384" width="8.33203125" style="255"/>
  </cols>
  <sheetData>
    <row r="1" spans="1:25" s="3412" customFormat="1" ht="21">
      <c r="A1" s="200" t="s">
        <v>3566</v>
      </c>
      <c r="B1" s="201"/>
      <c r="C1" s="3410"/>
      <c r="D1" s="3410"/>
      <c r="E1" s="3410"/>
      <c r="F1" s="3410"/>
      <c r="G1" s="3411"/>
    </row>
    <row r="2" spans="1:25" s="3412" customFormat="1" ht="18" customHeight="1">
      <c r="A2" s="205" t="s">
        <v>3567</v>
      </c>
      <c r="B2" s="208">
        <f>C23</f>
        <v>30659</v>
      </c>
      <c r="C2" s="3413"/>
      <c r="D2" s="3413"/>
      <c r="E2" s="3413"/>
      <c r="F2" s="3413"/>
      <c r="G2" s="3413"/>
    </row>
    <row r="3" spans="1:25" s="3412" customFormat="1" ht="18" customHeight="1">
      <c r="A3" s="3414" t="s">
        <v>3568</v>
      </c>
      <c r="B3" s="208">
        <f>ROUND(B2*10000/'数据-基础表'!I5,0)</f>
        <v>5233</v>
      </c>
      <c r="C3" s="3413"/>
      <c r="D3" s="3413"/>
      <c r="E3" s="3413"/>
      <c r="F3" s="3413"/>
      <c r="G3" s="3413"/>
    </row>
    <row r="4" spans="1:25" s="3412" customFormat="1" ht="18" customHeight="1">
      <c r="A4" s="3415" t="s">
        <v>3569</v>
      </c>
      <c r="B4" s="3416">
        <f>ROUND(B2*10000/D8,0)</f>
        <v>21982</v>
      </c>
      <c r="C4" s="3417"/>
      <c r="D4" s="3413"/>
      <c r="E4" s="3413"/>
      <c r="F4" s="3413"/>
      <c r="G4" s="3413"/>
    </row>
    <row r="5" spans="1:25" s="3412" customFormat="1" ht="18" customHeight="1" thickBot="1">
      <c r="A5" s="203"/>
      <c r="B5" s="3418">
        <f>ROUND(B2/(D8/666.67),0)</f>
        <v>1465</v>
      </c>
      <c r="C5" s="3419" t="s">
        <v>3570</v>
      </c>
      <c r="D5" s="3413"/>
      <c r="E5" s="3413"/>
      <c r="F5" s="3413"/>
      <c r="G5" s="3413"/>
    </row>
    <row r="6" spans="1:25" s="3425" customFormat="1" ht="13.5" customHeight="1">
      <c r="A6" s="3420"/>
      <c r="B6" s="3421" t="s">
        <v>3571</v>
      </c>
      <c r="C6" s="3422" t="s">
        <v>3572</v>
      </c>
      <c r="D6" s="3422" t="s">
        <v>3573</v>
      </c>
      <c r="E6" s="3423" t="s">
        <v>3574</v>
      </c>
      <c r="F6" s="3423" t="s">
        <v>3575</v>
      </c>
      <c r="G6" s="3424" t="s">
        <v>3576</v>
      </c>
    </row>
    <row r="7" spans="1:25" s="3425" customFormat="1" ht="13.5" customHeight="1">
      <c r="A7" s="3426">
        <v>1</v>
      </c>
      <c r="B7" s="248" t="s">
        <v>3577</v>
      </c>
      <c r="C7" s="249">
        <f>C8+C9</f>
        <v>28860</v>
      </c>
      <c r="D7" s="249"/>
      <c r="E7" s="3427"/>
      <c r="F7" s="3427"/>
      <c r="G7" s="3428" t="s">
        <v>3578</v>
      </c>
    </row>
    <row r="8" spans="1:25" s="3425" customFormat="1" ht="13.5" customHeight="1">
      <c r="A8" s="3426" t="s">
        <v>3579</v>
      </c>
      <c r="B8" s="3429" t="s">
        <v>3580</v>
      </c>
      <c r="C8" s="3430">
        <f t="shared" ref="C8:C9" si="0">ROUND(D8*E8/10000,0)</f>
        <v>28860</v>
      </c>
      <c r="D8" s="3457">
        <v>13947.57</v>
      </c>
      <c r="E8" s="3431">
        <f>'土地比较法-住宅、综合'!C47</f>
        <v>20692</v>
      </c>
      <c r="F8" s="3427"/>
      <c r="G8" s="3432"/>
    </row>
    <row r="9" spans="1:25" s="3425" customFormat="1" ht="13.5" customHeight="1">
      <c r="A9" s="3426" t="s">
        <v>3581</v>
      </c>
      <c r="B9" s="3429" t="s">
        <v>3582</v>
      </c>
      <c r="C9" s="3430">
        <f t="shared" si="0"/>
        <v>0</v>
      </c>
      <c r="D9" s="3430">
        <v>0</v>
      </c>
      <c r="E9" s="3431">
        <v>0</v>
      </c>
      <c r="F9" s="3427"/>
      <c r="G9" s="3432"/>
    </row>
    <row r="10" spans="1:25" s="3425" customFormat="1" ht="36">
      <c r="A10" s="3426">
        <v>2</v>
      </c>
      <c r="B10" s="248" t="s">
        <v>3583</v>
      </c>
      <c r="C10" s="249">
        <f>C11+C14+C15</f>
        <v>418</v>
      </c>
      <c r="D10" s="3433"/>
      <c r="E10" s="249"/>
      <c r="F10" s="250"/>
      <c r="G10" s="230" t="s">
        <v>3584</v>
      </c>
    </row>
    <row r="11" spans="1:25" s="3425" customFormat="1" ht="13.5" customHeight="1">
      <c r="A11" s="3426" t="s">
        <v>3579</v>
      </c>
      <c r="B11" s="3434" t="s">
        <v>3585</v>
      </c>
      <c r="C11" s="253">
        <f>C13</f>
        <v>418</v>
      </c>
      <c r="D11" s="3435"/>
      <c r="E11" s="253"/>
      <c r="F11" s="3436"/>
      <c r="G11" s="3437" t="s">
        <v>3586</v>
      </c>
    </row>
    <row r="12" spans="1:25" s="3425" customFormat="1" ht="13.5" customHeight="1">
      <c r="A12" s="3438" t="s">
        <v>3587</v>
      </c>
      <c r="B12" s="3439" t="s">
        <v>3588</v>
      </c>
      <c r="C12" s="3440">
        <f>ROUND(D12*E12/10000,0)</f>
        <v>0</v>
      </c>
      <c r="D12" s="3430">
        <f>'[5]数据-汇总表'!E5</f>
        <v>0</v>
      </c>
      <c r="E12" s="3430">
        <f>'[5]数据-取费表'!B27</f>
        <v>1</v>
      </c>
      <c r="F12" s="3436"/>
      <c r="G12" s="230"/>
    </row>
    <row r="13" spans="1:25" s="3425" customFormat="1" ht="13.5" customHeight="1">
      <c r="A13" s="3438" t="s">
        <v>3589</v>
      </c>
      <c r="B13" s="3439" t="s">
        <v>3590</v>
      </c>
      <c r="C13" s="3440">
        <f>ROUND(D13*E13/10000,0)</f>
        <v>418</v>
      </c>
      <c r="D13" s="3457">
        <f>D8</f>
        <v>13947.57</v>
      </c>
      <c r="E13" s="3441">
        <v>300</v>
      </c>
      <c r="F13" s="3436"/>
      <c r="G13" s="230"/>
    </row>
    <row r="14" spans="1:25" s="3425" customFormat="1" ht="13.5" customHeight="1">
      <c r="A14" s="3426" t="s">
        <v>3581</v>
      </c>
      <c r="B14" s="3442" t="s">
        <v>3591</v>
      </c>
      <c r="C14" s="3443">
        <f t="shared" ref="C14:C16" si="1">ROUND(D14*E14/10000,0)</f>
        <v>0</v>
      </c>
      <c r="D14" s="3430">
        <v>0</v>
      </c>
      <c r="E14" s="3431">
        <v>0</v>
      </c>
      <c r="F14" s="3444"/>
      <c r="G14" s="3445" t="s">
        <v>3592</v>
      </c>
    </row>
    <row r="15" spans="1:25" s="3425" customFormat="1" ht="13.5" customHeight="1">
      <c r="A15" s="3426" t="s">
        <v>3593</v>
      </c>
      <c r="B15" s="3442" t="s">
        <v>3594</v>
      </c>
      <c r="C15" s="3443">
        <f t="shared" si="1"/>
        <v>0</v>
      </c>
      <c r="D15" s="3430">
        <v>0</v>
      </c>
      <c r="E15" s="3431">
        <v>0</v>
      </c>
      <c r="F15" s="3444"/>
      <c r="G15" s="3445" t="s">
        <v>3595</v>
      </c>
    </row>
    <row r="16" spans="1:25" s="227" customFormat="1" ht="48">
      <c r="A16" s="3426">
        <v>3</v>
      </c>
      <c r="B16" s="248" t="s">
        <v>3596</v>
      </c>
      <c r="C16" s="3443">
        <f t="shared" si="1"/>
        <v>0</v>
      </c>
      <c r="D16" s="3430">
        <v>0</v>
      </c>
      <c r="E16" s="3431">
        <v>0</v>
      </c>
      <c r="F16" s="250"/>
      <c r="G16" s="230" t="s">
        <v>3597</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6.4">
      <c r="A17" s="3446">
        <v>4</v>
      </c>
      <c r="B17" s="248" t="s">
        <v>3598</v>
      </c>
      <c r="C17" s="1256">
        <f>ROUND(IF('数据-取费表'!B19&lt;=1,((C7+C16)*'数据-取费表'!B19+C10*'数据-取费表'!B19/2)*F17,((C7+C16)*(POWER((1+F17),'数据-取费表'!B19)-1)+C10*(POWER((1+F17),'数据-取费表'!B19/2)-1))),0)</f>
        <v>1381</v>
      </c>
      <c r="D17" s="239"/>
      <c r="E17" s="240"/>
      <c r="F17" s="241">
        <v>4.7500000000000001E-2</v>
      </c>
      <c r="G17" s="251" t="str">
        <f>IF('[5]数据-取费表'!B19&lt;=1,"((１＋３)×土地开发期+２×(土地开发期÷２))×利率","((１＋３)×((1+利率)^土地开发期-1)+２×((1+利率)^(土地开发期÷２)-1)")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3599</v>
      </c>
      <c r="C18" s="249">
        <f>ROUND((C7+C10+C16)*F18,0)</f>
        <v>0</v>
      </c>
      <c r="D18" s="239"/>
      <c r="E18" s="240"/>
      <c r="F18" s="3448">
        <v>0</v>
      </c>
      <c r="G18" s="251" t="s">
        <v>3600</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3601</v>
      </c>
      <c r="C19" s="249">
        <f>C7+C10+C16+C17+C18</f>
        <v>30659</v>
      </c>
      <c r="D19" s="3433"/>
      <c r="E19" s="249"/>
      <c r="F19" s="250"/>
      <c r="G19" s="251" t="s">
        <v>3602</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5.2">
      <c r="A20" s="3426">
        <v>7</v>
      </c>
      <c r="B20" s="248" t="s">
        <v>3603</v>
      </c>
      <c r="C20" s="249">
        <f>ROUND(C19*F20,0)</f>
        <v>0</v>
      </c>
      <c r="D20" s="3433"/>
      <c r="E20" s="249"/>
      <c r="F20" s="3449">
        <v>0</v>
      </c>
      <c r="G20" s="251" t="s">
        <v>3604</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3605</v>
      </c>
      <c r="C21" s="249">
        <f>C19+C20</f>
        <v>30659</v>
      </c>
      <c r="D21" s="3433"/>
      <c r="E21" s="249"/>
      <c r="F21" s="250"/>
      <c r="G21" s="251" t="s">
        <v>3606</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3607</v>
      </c>
      <c r="C22" s="249">
        <f>ROUND(C21*F22,0)</f>
        <v>30659</v>
      </c>
      <c r="D22" s="3433"/>
      <c r="E22" s="249"/>
      <c r="F22" s="3450">
        <v>1</v>
      </c>
      <c r="G22" s="251" t="s">
        <v>3608</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2" customHeight="1" thickBot="1">
      <c r="A23" s="3451">
        <v>10</v>
      </c>
      <c r="B23" s="3452" t="s">
        <v>3609</v>
      </c>
      <c r="C23" s="3453">
        <f>C22</f>
        <v>30659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22" sqref="E22"/>
    </sheetView>
  </sheetViews>
  <sheetFormatPr defaultColWidth="9" defaultRowHeight="13.8"/>
  <cols>
    <col min="1" max="1" width="14.33203125" style="361" customWidth="1"/>
    <col min="2" max="2" width="15.77734375" style="361" customWidth="1"/>
    <col min="3" max="3" width="14.33203125" style="361" customWidth="1"/>
    <col min="4" max="4" width="14.109375" style="361" customWidth="1"/>
    <col min="5" max="5" width="14.33203125" style="361" customWidth="1"/>
    <col min="6" max="6" width="13" style="361" customWidth="1"/>
    <col min="7" max="7" width="17.44140625" style="361" customWidth="1"/>
    <col min="8" max="8" width="14.109375" style="361" customWidth="1"/>
    <col min="9" max="9" width="19.5546875" style="361" customWidth="1"/>
    <col min="10" max="10" width="12.21875" style="361" customWidth="1"/>
    <col min="11" max="11" width="17" style="450" customWidth="1"/>
    <col min="12" max="12" width="12.21875" style="451" customWidth="1"/>
    <col min="13" max="13" width="7.109375" style="361" customWidth="1"/>
    <col min="14" max="14" width="8.77734375" style="361" customWidth="1"/>
    <col min="15" max="15" width="7.4414062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44488</v>
      </c>
      <c r="C2" s="1035"/>
      <c r="D2" s="1035"/>
      <c r="E2" s="1036"/>
      <c r="F2" s="1037"/>
      <c r="G2" s="1036"/>
      <c r="H2" s="1036"/>
      <c r="I2" s="1036"/>
      <c r="J2" s="1036"/>
      <c r="K2" s="1038"/>
      <c r="L2" s="3291" t="s">
        <v>3391</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8818</v>
      </c>
      <c r="C3" s="207" t="s">
        <v>2507</v>
      </c>
      <c r="D3" s="1322"/>
      <c r="E3" s="1036"/>
      <c r="F3" s="1037"/>
      <c r="G3" s="1036"/>
      <c r="H3" s="1036"/>
      <c r="I3" s="1036"/>
      <c r="J3" s="1036"/>
      <c r="K3" s="1038"/>
      <c r="L3" s="3255" t="s">
        <v>3341</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4.4">
      <c r="A4" s="359" t="s">
        <v>2406</v>
      </c>
      <c r="B4" s="360"/>
      <c r="C4" s="3775" t="s">
        <v>2407</v>
      </c>
      <c r="D4" s="3776"/>
      <c r="E4" s="3777" t="s">
        <v>2408</v>
      </c>
      <c r="F4" s="3778"/>
      <c r="G4" s="3775" t="s">
        <v>2409</v>
      </c>
      <c r="H4" s="3776"/>
      <c r="I4" s="3775" t="s">
        <v>2410</v>
      </c>
      <c r="J4" s="3776"/>
      <c r="K4" s="565" t="s">
        <v>2411</v>
      </c>
      <c r="L4" s="3255" t="s">
        <v>3125</v>
      </c>
      <c r="M4" s="3296">
        <f>地价!P6</f>
        <v>1.1699999999999999E-2</v>
      </c>
      <c r="N4" s="3294">
        <f t="shared" si="0"/>
        <v>1.0117</v>
      </c>
      <c r="O4" s="3295">
        <f t="shared" si="1"/>
        <v>98.8</v>
      </c>
      <c r="P4" s="3851" t="s">
        <v>2412</v>
      </c>
      <c r="Q4" s="3780"/>
      <c r="R4" s="3785" t="s">
        <v>2408</v>
      </c>
      <c r="S4" s="3786"/>
      <c r="T4" s="3785" t="s">
        <v>2409</v>
      </c>
      <c r="U4" s="3786"/>
      <c r="V4" s="3791" t="s">
        <v>2410</v>
      </c>
      <c r="W4" s="3791"/>
      <c r="X4" s="1504"/>
      <c r="Y4" s="3785" t="s">
        <v>2412</v>
      </c>
      <c r="Z4" s="3786"/>
      <c r="AA4" s="3772" t="s">
        <v>2408</v>
      </c>
      <c r="AB4" s="3773" t="s">
        <v>2409</v>
      </c>
      <c r="AC4" s="3772" t="s">
        <v>2410</v>
      </c>
    </row>
    <row r="5" spans="1:30" ht="54.75" customHeight="1" thickBot="1">
      <c r="A5" s="362"/>
      <c r="B5" s="363"/>
      <c r="C5" s="3794" t="s">
        <v>2303</v>
      </c>
      <c r="D5" s="3795"/>
      <c r="E5" s="3801" t="str">
        <f>Sheet5!G2</f>
        <v>北京丽泽金融商务区南区土地一级开发项目（F-22、F-23地块）</v>
      </c>
      <c r="F5" s="3802"/>
      <c r="G5" s="3794" t="str">
        <f>Sheet5!G6</f>
        <v>丰台区地铁九号线郭公庄车辆段项目（三期）B地块</v>
      </c>
      <c r="H5" s="3795"/>
      <c r="I5" s="3794" t="str">
        <f>Sheet5!G9</f>
        <v>丰台区城乡一体化大红门旧村改造项目DHM-07、DHM-09地块</v>
      </c>
      <c r="J5" s="3795"/>
      <c r="K5" s="565"/>
      <c r="L5" s="3255" t="s">
        <v>3002</v>
      </c>
      <c r="M5" s="3293">
        <f>地价!P7</f>
        <v>4.7999999999999996E-3</v>
      </c>
      <c r="N5" s="3294">
        <f t="shared" si="0"/>
        <v>1.0047999999999999</v>
      </c>
      <c r="O5" s="3295">
        <f t="shared" si="1"/>
        <v>99.5</v>
      </c>
      <c r="P5" s="3852"/>
      <c r="Q5" s="3782"/>
      <c r="R5" s="3787"/>
      <c r="S5" s="3788"/>
      <c r="T5" s="3787"/>
      <c r="U5" s="3788"/>
      <c r="V5" s="3791"/>
      <c r="W5" s="3791"/>
      <c r="X5" s="1504"/>
      <c r="Y5" s="3787"/>
      <c r="Z5" s="3788"/>
      <c r="AA5" s="3773"/>
      <c r="AB5" s="3773"/>
      <c r="AC5" s="3773"/>
    </row>
    <row r="6" spans="1:30" ht="13.5" hidden="1" customHeight="1" thickBot="1">
      <c r="A6" s="364"/>
      <c r="B6" s="365"/>
      <c r="C6" s="3792" t="s">
        <v>2307</v>
      </c>
      <c r="D6" s="3793"/>
      <c r="E6" s="3799" t="s">
        <v>2307</v>
      </c>
      <c r="F6" s="3800"/>
      <c r="G6" s="3792" t="s">
        <v>2307</v>
      </c>
      <c r="H6" s="3793"/>
      <c r="I6" s="3792" t="s">
        <v>2307</v>
      </c>
      <c r="J6" s="3793"/>
      <c r="K6" s="565" t="s">
        <v>2308</v>
      </c>
      <c r="L6" s="3255" t="s">
        <v>3001</v>
      </c>
      <c r="M6" s="3296">
        <f>地价!P8</f>
        <v>9.4999999999999998E-3</v>
      </c>
      <c r="N6" s="3294">
        <f t="shared" si="0"/>
        <v>1.0095000000000001</v>
      </c>
      <c r="O6" s="3295">
        <f t="shared" si="1"/>
        <v>99.1</v>
      </c>
      <c r="P6" s="3853"/>
      <c r="Q6" s="3784"/>
      <c r="R6" s="3787"/>
      <c r="S6" s="3788"/>
      <c r="T6" s="3789"/>
      <c r="U6" s="3790"/>
      <c r="V6" s="3791"/>
      <c r="W6" s="3791"/>
      <c r="X6" s="1504"/>
      <c r="Y6" s="3789"/>
      <c r="Z6" s="3790"/>
      <c r="AA6" s="3774"/>
      <c r="AB6" s="3774"/>
      <c r="AC6" s="3774"/>
    </row>
    <row r="7" spans="1:30" s="111" customFormat="1" ht="15" thickBot="1">
      <c r="A7" s="366" t="s">
        <v>2309</v>
      </c>
      <c r="B7" s="367"/>
      <c r="C7" s="368">
        <f>'数据-取费表'!B2</f>
        <v>43252</v>
      </c>
      <c r="D7" s="369">
        <v>100</v>
      </c>
      <c r="E7" s="370">
        <v>43160</v>
      </c>
      <c r="F7" s="371">
        <f>O19</f>
        <v>98.4</v>
      </c>
      <c r="G7" s="2125">
        <v>42552</v>
      </c>
      <c r="H7" s="369">
        <f>O18</f>
        <v>98.4</v>
      </c>
      <c r="I7" s="2125">
        <v>43070</v>
      </c>
      <c r="J7" s="369">
        <f>O19</f>
        <v>98.4</v>
      </c>
      <c r="K7" s="566"/>
      <c r="L7" s="3255" t="s">
        <v>3000</v>
      </c>
      <c r="M7" s="3293">
        <f>地价!P9</f>
        <v>1.11E-2</v>
      </c>
      <c r="N7" s="3294">
        <f t="shared" si="0"/>
        <v>1.0111000000000001</v>
      </c>
      <c r="O7" s="3295">
        <f t="shared" si="1"/>
        <v>98.9</v>
      </c>
      <c r="P7" s="3798" t="s">
        <v>2310</v>
      </c>
      <c r="Q7" s="3798"/>
      <c r="R7" s="707" t="s">
        <v>17</v>
      </c>
      <c r="S7" s="708">
        <f t="shared" ref="S7:S15" si="2">F7</f>
        <v>98.4</v>
      </c>
      <c r="T7" s="707" t="s">
        <v>17</v>
      </c>
      <c r="U7" s="708">
        <f t="shared" ref="U7:U15" si="3">H7</f>
        <v>98.4</v>
      </c>
      <c r="V7" s="707" t="s">
        <v>17</v>
      </c>
      <c r="W7" s="708">
        <f t="shared" ref="W7:W15" si="4">J7</f>
        <v>98.4</v>
      </c>
      <c r="X7" s="709"/>
      <c r="Y7" s="3796" t="s">
        <v>2310</v>
      </c>
      <c r="Z7" s="3797"/>
      <c r="AA7" s="710">
        <f>D7/F7</f>
        <v>1.0162601626016259</v>
      </c>
      <c r="AB7" s="710">
        <f>D7/H7</f>
        <v>1.0162601626016259</v>
      </c>
      <c r="AC7" s="710">
        <f>D7/J7</f>
        <v>1.0162601626016259</v>
      </c>
    </row>
    <row r="8" spans="1:30" s="111" customFormat="1" ht="15" thickBot="1">
      <c r="A8" s="366" t="s">
        <v>2311</v>
      </c>
      <c r="B8" s="367"/>
      <c r="C8" s="372" t="s">
        <v>2312</v>
      </c>
      <c r="D8" s="369">
        <v>100</v>
      </c>
      <c r="E8" s="372" t="s">
        <v>3389</v>
      </c>
      <c r="F8" s="371">
        <f>SUMIF(73:73,E8,74:74)-SUMIF(73:73,C8,74:74)+100</f>
        <v>100</v>
      </c>
      <c r="G8" s="372" t="s">
        <v>3389</v>
      </c>
      <c r="H8" s="369">
        <f>SUMIF(73:73,G8,74:74)-SUMIF(73:73,C8,74:74)+100</f>
        <v>100</v>
      </c>
      <c r="I8" s="372" t="s">
        <v>3389</v>
      </c>
      <c r="J8" s="369">
        <f>SUMIF(73:73,I8,74:74)-SUMIF(73:73,C8,74:74)+100</f>
        <v>100</v>
      </c>
      <c r="K8" s="566"/>
      <c r="L8" s="3255" t="s">
        <v>2997</v>
      </c>
      <c r="M8" s="3296">
        <f>地价!P10</f>
        <v>2.35E-2</v>
      </c>
      <c r="N8" s="3294">
        <f t="shared" si="0"/>
        <v>1.0235000000000001</v>
      </c>
      <c r="O8" s="3295">
        <f t="shared" si="1"/>
        <v>97.7</v>
      </c>
      <c r="P8" s="3798" t="s">
        <v>2313</v>
      </c>
      <c r="Q8" s="3797"/>
      <c r="R8" s="707" t="s">
        <v>17</v>
      </c>
      <c r="S8" s="708">
        <f t="shared" si="2"/>
        <v>100</v>
      </c>
      <c r="T8" s="707" t="s">
        <v>17</v>
      </c>
      <c r="U8" s="708">
        <f t="shared" si="3"/>
        <v>100</v>
      </c>
      <c r="V8" s="707" t="s">
        <v>17</v>
      </c>
      <c r="W8" s="708">
        <f t="shared" si="4"/>
        <v>100</v>
      </c>
      <c r="X8" s="709"/>
      <c r="Y8" s="3796" t="s">
        <v>2313</v>
      </c>
      <c r="Z8" s="3797"/>
      <c r="AA8" s="710">
        <f t="shared" ref="AA8:AA45" si="5">D8/F8</f>
        <v>1</v>
      </c>
      <c r="AB8" s="710">
        <f t="shared" ref="AB8:AB45" si="6">D8/H8</f>
        <v>1</v>
      </c>
      <c r="AC8" s="710">
        <f t="shared" ref="AC8:AC45" si="7">D8/J8</f>
        <v>1</v>
      </c>
    </row>
    <row r="9" spans="1:30" s="111" customFormat="1" ht="14.4"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757" t="s">
        <v>2316</v>
      </c>
      <c r="Q9" s="1492" t="str">
        <f t="shared" ref="Q9:Q15" si="8">B9</f>
        <v>用途</v>
      </c>
      <c r="R9" s="707" t="s">
        <v>17</v>
      </c>
      <c r="S9" s="708">
        <f t="shared" si="2"/>
        <v>100</v>
      </c>
      <c r="T9" s="707" t="s">
        <v>17</v>
      </c>
      <c r="U9" s="708">
        <f t="shared" si="3"/>
        <v>100</v>
      </c>
      <c r="V9" s="707" t="s">
        <v>17</v>
      </c>
      <c r="W9" s="708">
        <f t="shared" si="4"/>
        <v>100</v>
      </c>
      <c r="X9" s="709"/>
      <c r="Y9" s="3771" t="s">
        <v>2317</v>
      </c>
      <c r="Z9" s="55" t="str">
        <f t="shared" ref="Z9:Z15" si="9">Q9</f>
        <v>用途</v>
      </c>
      <c r="AA9" s="710">
        <f t="shared" si="5"/>
        <v>1</v>
      </c>
      <c r="AB9" s="710">
        <f t="shared" si="6"/>
        <v>1</v>
      </c>
      <c r="AC9" s="710">
        <f t="shared" si="7"/>
        <v>1</v>
      </c>
    </row>
    <row r="10" spans="1:30" s="384" customFormat="1" ht="28.8" hidden="1">
      <c r="A10" s="378"/>
      <c r="B10" s="379" t="s">
        <v>2318</v>
      </c>
      <c r="C10" s="389">
        <v>70</v>
      </c>
      <c r="D10" s="130">
        <v>100</v>
      </c>
      <c r="E10" s="422" t="s">
        <v>3392</v>
      </c>
      <c r="F10" s="130">
        <f>ROUND(100/'数据-取费表'!G16,0)</f>
        <v>100</v>
      </c>
      <c r="G10" s="420" t="s">
        <v>3392</v>
      </c>
      <c r="H10" s="130">
        <f>ROUND(100/'数据-取费表'!G16,0)</f>
        <v>100</v>
      </c>
      <c r="I10" s="420" t="s">
        <v>3392</v>
      </c>
      <c r="J10" s="130">
        <f>ROUND(100/'数据-取费表'!G16,0)</f>
        <v>100</v>
      </c>
      <c r="K10" s="626"/>
      <c r="L10" s="3255" t="s">
        <v>2810</v>
      </c>
      <c r="M10" s="3296">
        <f>地价!P12</f>
        <v>5.0000000000000001E-3</v>
      </c>
      <c r="N10" s="3294">
        <f t="shared" si="0"/>
        <v>1.0049999999999999</v>
      </c>
      <c r="O10" s="3295">
        <f t="shared" si="1"/>
        <v>99.5</v>
      </c>
      <c r="P10" s="3757"/>
      <c r="Q10" s="1492" t="str">
        <f t="shared" si="8"/>
        <v>土地使用年限（年）</v>
      </c>
      <c r="R10" s="707" t="s">
        <v>17</v>
      </c>
      <c r="S10" s="708">
        <f t="shared" si="2"/>
        <v>100</v>
      </c>
      <c r="T10" s="707" t="s">
        <v>17</v>
      </c>
      <c r="U10" s="708">
        <f t="shared" si="3"/>
        <v>100</v>
      </c>
      <c r="V10" s="707" t="s">
        <v>17</v>
      </c>
      <c r="W10" s="708">
        <f t="shared" si="4"/>
        <v>100</v>
      </c>
      <c r="X10" s="709"/>
      <c r="Y10" s="3771"/>
      <c r="Z10" s="55" t="str">
        <f t="shared" si="9"/>
        <v>土地使用年限（年）</v>
      </c>
      <c r="AA10" s="710">
        <f t="shared" si="5"/>
        <v>1</v>
      </c>
      <c r="AB10" s="710">
        <f t="shared" si="6"/>
        <v>1</v>
      </c>
      <c r="AC10" s="710">
        <f t="shared" si="7"/>
        <v>1</v>
      </c>
    </row>
    <row r="11" spans="1:30" ht="15" hidden="1">
      <c r="A11" s="385"/>
      <c r="B11" s="379" t="s">
        <v>2319</v>
      </c>
      <c r="C11" s="386">
        <f>'数据-汇总表'!I6</f>
        <v>2.19</v>
      </c>
      <c r="D11" s="130">
        <v>100</v>
      </c>
      <c r="E11" s="386">
        <f>C11</f>
        <v>2.19</v>
      </c>
      <c r="F11" s="130">
        <f>LOOKUP(E11,80:80,81:81)-LOOKUP(C11,80:80,81:81)+100</f>
        <v>100</v>
      </c>
      <c r="G11" s="387">
        <f>C11</f>
        <v>2.19</v>
      </c>
      <c r="H11" s="130">
        <f>LOOKUP(G11,80:80,81:81)-LOOKUP(C11,80:80,81:81)+100</f>
        <v>100</v>
      </c>
      <c r="I11" s="386">
        <f>C11</f>
        <v>2.19</v>
      </c>
      <c r="J11" s="130">
        <f>LOOKUP(I11,80:80,81:81)-LOOKUP(C11,80:80,81:81)+100</f>
        <v>100</v>
      </c>
      <c r="K11" s="627"/>
      <c r="L11" s="3255" t="s">
        <v>2808</v>
      </c>
      <c r="M11" s="3293">
        <f>地价!P13</f>
        <v>2.0999999999999999E-3</v>
      </c>
      <c r="N11" s="3294">
        <f t="shared" si="0"/>
        <v>1.0021</v>
      </c>
      <c r="O11" s="3295">
        <f t="shared" si="1"/>
        <v>99.8</v>
      </c>
      <c r="P11" s="3757"/>
      <c r="Q11" s="1492" t="str">
        <f t="shared" si="8"/>
        <v>容积率</v>
      </c>
      <c r="R11" s="707" t="s">
        <v>17</v>
      </c>
      <c r="S11" s="708">
        <f t="shared" si="2"/>
        <v>100</v>
      </c>
      <c r="T11" s="707" t="s">
        <v>17</v>
      </c>
      <c r="U11" s="708">
        <f t="shared" si="3"/>
        <v>100</v>
      </c>
      <c r="V11" s="707" t="s">
        <v>17</v>
      </c>
      <c r="W11" s="708">
        <f t="shared" si="4"/>
        <v>100</v>
      </c>
      <c r="X11" s="709"/>
      <c r="Y11" s="3771"/>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757"/>
      <c r="Q12" s="1492" t="str">
        <f t="shared" si="8"/>
        <v>配建</v>
      </c>
      <c r="R12" s="707" t="s">
        <v>17</v>
      </c>
      <c r="S12" s="708">
        <f t="shared" si="2"/>
        <v>100</v>
      </c>
      <c r="T12" s="707" t="s">
        <v>17</v>
      </c>
      <c r="U12" s="708">
        <f t="shared" si="3"/>
        <v>100</v>
      </c>
      <c r="V12" s="707" t="s">
        <v>17</v>
      </c>
      <c r="W12" s="708">
        <f t="shared" si="4"/>
        <v>100</v>
      </c>
      <c r="X12" s="709"/>
      <c r="Y12" s="3771"/>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757"/>
      <c r="Q13" s="1492">
        <f t="shared" si="8"/>
        <v>111</v>
      </c>
      <c r="R13" s="707" t="s">
        <v>17</v>
      </c>
      <c r="S13" s="708">
        <f t="shared" si="2"/>
        <v>100</v>
      </c>
      <c r="T13" s="707" t="s">
        <v>17</v>
      </c>
      <c r="U13" s="708">
        <f t="shared" si="3"/>
        <v>100</v>
      </c>
      <c r="V13" s="707" t="s">
        <v>17</v>
      </c>
      <c r="W13" s="708">
        <f t="shared" si="4"/>
        <v>100</v>
      </c>
      <c r="X13" s="709"/>
      <c r="Y13" s="3771"/>
      <c r="Z13" s="55">
        <f t="shared" si="9"/>
        <v>111</v>
      </c>
      <c r="AA13" s="710">
        <f>D13/F13</f>
        <v>1</v>
      </c>
      <c r="AB13" s="710">
        <f>D13/H13</f>
        <v>1</v>
      </c>
      <c r="AC13" s="710">
        <f>D13/J13</f>
        <v>1</v>
      </c>
    </row>
    <row r="14" spans="1:30" ht="15.6"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757"/>
      <c r="Q14" s="1492">
        <f t="shared" si="8"/>
        <v>111</v>
      </c>
      <c r="R14" s="707" t="s">
        <v>17</v>
      </c>
      <c r="S14" s="708">
        <f t="shared" si="2"/>
        <v>100</v>
      </c>
      <c r="T14" s="707" t="s">
        <v>17</v>
      </c>
      <c r="U14" s="708">
        <f t="shared" si="3"/>
        <v>100</v>
      </c>
      <c r="V14" s="707" t="s">
        <v>17</v>
      </c>
      <c r="W14" s="708">
        <f t="shared" si="4"/>
        <v>100</v>
      </c>
      <c r="X14" s="709"/>
      <c r="Y14" s="3771"/>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780" t="s">
        <v>2321</v>
      </c>
      <c r="Q15" s="1501" t="str">
        <f t="shared" si="8"/>
        <v>居住社区成熟度</v>
      </c>
      <c r="R15" s="711" t="s">
        <v>17</v>
      </c>
      <c r="S15" s="712">
        <f t="shared" si="2"/>
        <v>100</v>
      </c>
      <c r="T15" s="711" t="s">
        <v>17</v>
      </c>
      <c r="U15" s="712">
        <f t="shared" si="3"/>
        <v>100</v>
      </c>
      <c r="V15" s="711" t="s">
        <v>17</v>
      </c>
      <c r="W15" s="712">
        <f t="shared" si="4"/>
        <v>100</v>
      </c>
      <c r="X15" s="1504"/>
      <c r="Y15" s="3761" t="s">
        <v>2321</v>
      </c>
      <c r="Z15" s="1505" t="str">
        <f t="shared" si="9"/>
        <v>居住社区成熟度</v>
      </c>
      <c r="AA15" s="1502">
        <f t="shared" si="5"/>
        <v>1</v>
      </c>
      <c r="AB15" s="1502">
        <f t="shared" si="6"/>
        <v>1</v>
      </c>
      <c r="AC15" s="1502">
        <f t="shared" si="7"/>
        <v>1</v>
      </c>
    </row>
    <row r="16" spans="1:30" ht="15">
      <c r="A16" s="385"/>
      <c r="B16" s="403"/>
      <c r="C16" s="404" t="s">
        <v>3401</v>
      </c>
      <c r="D16" s="405"/>
      <c r="E16" s="404" t="s">
        <v>3401</v>
      </c>
      <c r="F16" s="405"/>
      <c r="G16" s="404" t="s">
        <v>3401</v>
      </c>
      <c r="H16" s="407"/>
      <c r="I16" s="404" t="s">
        <v>3401</v>
      </c>
      <c r="J16" s="405"/>
      <c r="K16" s="626"/>
      <c r="L16" s="3292" t="s">
        <v>2805</v>
      </c>
      <c r="M16" s="3297">
        <f>地价!P18</f>
        <v>9.1999999999999998E-3</v>
      </c>
      <c r="N16" s="3298">
        <f t="shared" si="0"/>
        <v>1.0092000000000001</v>
      </c>
      <c r="O16" s="3299">
        <f t="shared" si="1"/>
        <v>99.1</v>
      </c>
      <c r="P16" s="3782"/>
      <c r="Q16" s="1501"/>
      <c r="R16" s="711"/>
      <c r="S16" s="712"/>
      <c r="T16" s="711"/>
      <c r="U16" s="712"/>
      <c r="V16" s="711"/>
      <c r="W16" s="712"/>
      <c r="X16" s="1504"/>
      <c r="Y16" s="3762"/>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2.5</v>
      </c>
      <c r="L17" s="3255" t="s">
        <v>2800</v>
      </c>
      <c r="M17" s="3293">
        <f>地价!P19</f>
        <v>1.52E-2</v>
      </c>
      <c r="N17" s="3294">
        <f t="shared" si="0"/>
        <v>1.0152000000000001</v>
      </c>
      <c r="O17" s="3295">
        <f t="shared" si="1"/>
        <v>98.5</v>
      </c>
      <c r="P17" s="3782"/>
      <c r="Q17" s="1501" t="str">
        <f>B17</f>
        <v>商业繁华度</v>
      </c>
      <c r="R17" s="711" t="s">
        <v>17</v>
      </c>
      <c r="S17" s="712">
        <f>F17</f>
        <v>100</v>
      </c>
      <c r="T17" s="711" t="s">
        <v>17</v>
      </c>
      <c r="U17" s="712">
        <f>H17</f>
        <v>100</v>
      </c>
      <c r="V17" s="711" t="s">
        <v>17</v>
      </c>
      <c r="W17" s="712">
        <f>J17</f>
        <v>100</v>
      </c>
      <c r="X17" s="1504"/>
      <c r="Y17" s="3762"/>
      <c r="Z17" s="1505" t="str">
        <f>Q17</f>
        <v>商业繁华度</v>
      </c>
      <c r="AA17" s="1502">
        <f t="shared" si="5"/>
        <v>1</v>
      </c>
      <c r="AB17" s="1502">
        <f t="shared" si="6"/>
        <v>1</v>
      </c>
      <c r="AC17" s="1502">
        <f t="shared" si="7"/>
        <v>1</v>
      </c>
    </row>
    <row r="18" spans="1:29" ht="15">
      <c r="A18" s="385"/>
      <c r="B18" s="413"/>
      <c r="C18" s="404" t="s">
        <v>3401</v>
      </c>
      <c r="D18" s="407"/>
      <c r="E18" s="404" t="s">
        <v>3401</v>
      </c>
      <c r="F18" s="407"/>
      <c r="G18" s="404" t="s">
        <v>3401</v>
      </c>
      <c r="H18" s="405"/>
      <c r="I18" s="404" t="s">
        <v>3401</v>
      </c>
      <c r="J18" s="405"/>
      <c r="K18" s="626"/>
      <c r="L18" s="3292" t="s">
        <v>2799</v>
      </c>
      <c r="M18" s="3297">
        <f>地价!P20</f>
        <v>1.5800000000000002E-2</v>
      </c>
      <c r="N18" s="3298">
        <f t="shared" si="0"/>
        <v>1.0158</v>
      </c>
      <c r="O18" s="3299">
        <f t="shared" si="1"/>
        <v>98.4</v>
      </c>
      <c r="P18" s="3782"/>
      <c r="Q18" s="1501"/>
      <c r="R18" s="711"/>
      <c r="S18" s="712"/>
      <c r="T18" s="711"/>
      <c r="U18" s="712"/>
      <c r="V18" s="711"/>
      <c r="W18" s="712"/>
      <c r="X18" s="1504"/>
      <c r="Y18" s="3762"/>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782"/>
      <c r="Q19" s="1501" t="str">
        <f>B19</f>
        <v>办公集聚程度</v>
      </c>
      <c r="R19" s="711" t="s">
        <v>17</v>
      </c>
      <c r="S19" s="712">
        <f>F19</f>
        <v>100</v>
      </c>
      <c r="T19" s="711" t="s">
        <v>17</v>
      </c>
      <c r="U19" s="712">
        <f>H19</f>
        <v>100</v>
      </c>
      <c r="V19" s="711" t="s">
        <v>17</v>
      </c>
      <c r="W19" s="712">
        <f>J19</f>
        <v>100</v>
      </c>
      <c r="X19" s="1504"/>
      <c r="Y19" s="3762"/>
      <c r="Z19" s="1505" t="str">
        <f>Q19</f>
        <v>办公集聚程度</v>
      </c>
      <c r="AA19" s="1502">
        <f t="shared" si="5"/>
        <v>1</v>
      </c>
      <c r="AB19" s="1502">
        <f t="shared" si="6"/>
        <v>1</v>
      </c>
      <c r="AC19" s="1502">
        <f t="shared" si="7"/>
        <v>1</v>
      </c>
    </row>
    <row r="20" spans="1:29" ht="15">
      <c r="A20" s="385"/>
      <c r="B20" s="413"/>
      <c r="C20" s="404" t="s">
        <v>3393</v>
      </c>
      <c r="D20" s="405"/>
      <c r="E20" s="404" t="s">
        <v>3393</v>
      </c>
      <c r="F20" s="405"/>
      <c r="G20" s="404" t="s">
        <v>3393</v>
      </c>
      <c r="H20" s="405"/>
      <c r="I20" s="404" t="s">
        <v>3393</v>
      </c>
      <c r="J20" s="405"/>
      <c r="K20" s="626"/>
      <c r="L20" s="2914"/>
      <c r="M20" s="2908"/>
      <c r="N20" s="2908"/>
      <c r="O20" s="2966"/>
      <c r="P20" s="3762"/>
      <c r="Q20" s="1501"/>
      <c r="R20" s="711"/>
      <c r="S20" s="712"/>
      <c r="T20" s="711"/>
      <c r="U20" s="712"/>
      <c r="V20" s="711"/>
      <c r="W20" s="712"/>
      <c r="X20" s="1504"/>
      <c r="Y20" s="3762"/>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1</v>
      </c>
      <c r="L21" s="2914"/>
      <c r="M21" s="2908"/>
      <c r="N21" s="2908"/>
      <c r="O21" s="2966"/>
      <c r="P21" s="3762"/>
      <c r="Q21" s="1501" t="str">
        <f>B21</f>
        <v>交通便捷度</v>
      </c>
      <c r="R21" s="711" t="s">
        <v>17</v>
      </c>
      <c r="S21" s="712">
        <f>F21</f>
        <v>100</v>
      </c>
      <c r="T21" s="711" t="s">
        <v>17</v>
      </c>
      <c r="U21" s="712">
        <f>H21</f>
        <v>100</v>
      </c>
      <c r="V21" s="711" t="s">
        <v>17</v>
      </c>
      <c r="W21" s="712">
        <f>J21</f>
        <v>100</v>
      </c>
      <c r="X21" s="1504"/>
      <c r="Y21" s="3762"/>
      <c r="Z21" s="1505" t="str">
        <f>Q21</f>
        <v>交通便捷度</v>
      </c>
      <c r="AA21" s="1502">
        <f t="shared" si="5"/>
        <v>1</v>
      </c>
      <c r="AB21" s="1502">
        <f t="shared" si="6"/>
        <v>1</v>
      </c>
      <c r="AC21" s="1502">
        <f t="shared" si="7"/>
        <v>1</v>
      </c>
    </row>
    <row r="22" spans="1:29" ht="15">
      <c r="A22" s="385"/>
      <c r="B22" s="1260"/>
      <c r="C22" s="404" t="s">
        <v>3401</v>
      </c>
      <c r="D22" s="407"/>
      <c r="E22" s="404" t="s">
        <v>3401</v>
      </c>
      <c r="F22" s="405"/>
      <c r="G22" s="404" t="s">
        <v>3401</v>
      </c>
      <c r="H22" s="405"/>
      <c r="I22" s="404" t="s">
        <v>3401</v>
      </c>
      <c r="J22" s="405"/>
      <c r="K22" s="626"/>
      <c r="L22" s="2914"/>
      <c r="M22" s="2908"/>
      <c r="N22" s="2908"/>
      <c r="O22" s="2966"/>
      <c r="P22" s="3762"/>
      <c r="Q22" s="1501"/>
      <c r="R22" s="711"/>
      <c r="S22" s="712"/>
      <c r="T22" s="711"/>
      <c r="U22" s="712"/>
      <c r="V22" s="711"/>
      <c r="W22" s="712"/>
      <c r="X22" s="1504"/>
      <c r="Y22" s="3762"/>
      <c r="Z22" s="1505"/>
      <c r="AA22" s="1502">
        <v>1</v>
      </c>
      <c r="AB22" s="1502">
        <v>1</v>
      </c>
      <c r="AC22" s="1502">
        <v>1</v>
      </c>
    </row>
    <row r="23" spans="1:29" ht="28.8">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762"/>
      <c r="Q23" s="1501" t="str">
        <f t="shared" ref="Q23:Q37" si="10">B23</f>
        <v>区域土地利用方向</v>
      </c>
      <c r="R23" s="711" t="s">
        <v>17</v>
      </c>
      <c r="S23" s="712">
        <f>F23</f>
        <v>100</v>
      </c>
      <c r="T23" s="711" t="s">
        <v>17</v>
      </c>
      <c r="U23" s="712">
        <f>H23</f>
        <v>100</v>
      </c>
      <c r="V23" s="711" t="s">
        <v>17</v>
      </c>
      <c r="W23" s="712">
        <f>J23</f>
        <v>100</v>
      </c>
      <c r="X23" s="1504"/>
      <c r="Y23" s="3762"/>
      <c r="Z23" s="1505" t="str">
        <f>Q23</f>
        <v>区域土地利用方向</v>
      </c>
      <c r="AA23" s="1502">
        <f t="shared" si="5"/>
        <v>1</v>
      </c>
      <c r="AB23" s="1502">
        <f t="shared" si="6"/>
        <v>1</v>
      </c>
      <c r="AC23" s="1502">
        <f t="shared" si="7"/>
        <v>1</v>
      </c>
    </row>
    <row r="24" spans="1:29" ht="15">
      <c r="A24" s="362"/>
      <c r="B24" s="413"/>
      <c r="C24" s="571" t="s">
        <v>3401</v>
      </c>
      <c r="D24" s="405"/>
      <c r="E24" s="571" t="s">
        <v>3401</v>
      </c>
      <c r="F24" s="405"/>
      <c r="G24" s="571" t="s">
        <v>3401</v>
      </c>
      <c r="H24" s="405"/>
      <c r="I24" s="571" t="s">
        <v>3401</v>
      </c>
      <c r="J24" s="405"/>
      <c r="K24" s="748"/>
      <c r="L24" s="2914"/>
      <c r="M24" s="2908"/>
      <c r="N24" s="2908"/>
      <c r="O24" s="2966"/>
      <c r="P24" s="3762"/>
      <c r="Q24" s="1501"/>
      <c r="R24" s="711"/>
      <c r="S24" s="712"/>
      <c r="T24" s="711"/>
      <c r="U24" s="712"/>
      <c r="V24" s="711"/>
      <c r="W24" s="712"/>
      <c r="X24" s="1504"/>
      <c r="Y24" s="3762"/>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762"/>
      <c r="Q25" s="1501" t="str">
        <f t="shared" si="10"/>
        <v>自然及人文环境状况</v>
      </c>
      <c r="R25" s="711" t="s">
        <v>17</v>
      </c>
      <c r="S25" s="712">
        <f>F25</f>
        <v>100</v>
      </c>
      <c r="T25" s="711" t="s">
        <v>17</v>
      </c>
      <c r="U25" s="712">
        <f>H25</f>
        <v>100</v>
      </c>
      <c r="V25" s="711" t="s">
        <v>17</v>
      </c>
      <c r="W25" s="712">
        <f>J25</f>
        <v>100</v>
      </c>
      <c r="X25" s="1504"/>
      <c r="Y25" s="3762"/>
      <c r="Z25" s="1505" t="str">
        <f>Q25</f>
        <v>自然及人文环境状况</v>
      </c>
      <c r="AA25" s="1502">
        <f t="shared" si="5"/>
        <v>1</v>
      </c>
      <c r="AB25" s="1502">
        <f t="shared" si="6"/>
        <v>1</v>
      </c>
      <c r="AC25" s="1502">
        <f t="shared" si="7"/>
        <v>1</v>
      </c>
    </row>
    <row r="26" spans="1:29" ht="15">
      <c r="A26" s="362"/>
      <c r="B26" s="413"/>
      <c r="C26" s="571" t="s">
        <v>3401</v>
      </c>
      <c r="D26" s="405"/>
      <c r="E26" s="571" t="s">
        <v>3401</v>
      </c>
      <c r="F26" s="405"/>
      <c r="G26" s="571" t="s">
        <v>3401</v>
      </c>
      <c r="H26" s="405"/>
      <c r="I26" s="571" t="s">
        <v>3401</v>
      </c>
      <c r="J26" s="405"/>
      <c r="K26" s="626"/>
      <c r="L26" s="2914"/>
      <c r="M26" s="2908"/>
      <c r="N26" s="2908"/>
      <c r="O26" s="2966"/>
      <c r="P26" s="3762"/>
      <c r="Q26" s="1501"/>
      <c r="R26" s="711"/>
      <c r="S26" s="712"/>
      <c r="T26" s="711"/>
      <c r="U26" s="712"/>
      <c r="V26" s="711"/>
      <c r="W26" s="712"/>
      <c r="X26" s="1504"/>
      <c r="Y26" s="3762"/>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3</v>
      </c>
      <c r="L27" s="2909"/>
      <c r="M27" s="2910"/>
      <c r="N27" s="2910"/>
      <c r="O27" s="2964"/>
      <c r="P27" s="3762"/>
      <c r="Q27" s="1492" t="str">
        <f t="shared" si="10"/>
        <v>公共配套设施</v>
      </c>
      <c r="R27" s="707" t="s">
        <v>17</v>
      </c>
      <c r="S27" s="708">
        <f>F27</f>
        <v>100</v>
      </c>
      <c r="T27" s="707" t="s">
        <v>17</v>
      </c>
      <c r="U27" s="708">
        <f>H27</f>
        <v>100</v>
      </c>
      <c r="V27" s="707" t="s">
        <v>17</v>
      </c>
      <c r="W27" s="708">
        <f>J27</f>
        <v>100</v>
      </c>
      <c r="X27" s="709"/>
      <c r="Y27" s="3762"/>
      <c r="Z27" s="55" t="str">
        <f>Q27</f>
        <v>公共配套设施</v>
      </c>
      <c r="AA27" s="1502">
        <f>D27/F27</f>
        <v>1</v>
      </c>
      <c r="AB27" s="1502">
        <f>D27/H27</f>
        <v>1</v>
      </c>
      <c r="AC27" s="1502">
        <f>D27/J27</f>
        <v>1</v>
      </c>
    </row>
    <row r="28" spans="1:29" s="111" customFormat="1" ht="15">
      <c r="A28" s="603"/>
      <c r="B28" s="413"/>
      <c r="C28" s="404" t="s">
        <v>3401</v>
      </c>
      <c r="D28" s="405"/>
      <c r="E28" s="404" t="s">
        <v>3401</v>
      </c>
      <c r="F28" s="405"/>
      <c r="G28" s="404" t="s">
        <v>3401</v>
      </c>
      <c r="H28" s="405"/>
      <c r="I28" s="404" t="s">
        <v>3401</v>
      </c>
      <c r="J28" s="405"/>
      <c r="K28" s="626"/>
      <c r="L28" s="2909"/>
      <c r="M28" s="2910"/>
      <c r="N28" s="2910"/>
      <c r="O28" s="2964"/>
      <c r="P28" s="3762"/>
      <c r="Q28" s="1492"/>
      <c r="R28" s="707"/>
      <c r="S28" s="708"/>
      <c r="T28" s="707"/>
      <c r="U28" s="708"/>
      <c r="V28" s="707"/>
      <c r="W28" s="708"/>
      <c r="X28" s="709"/>
      <c r="Y28" s="3762"/>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762"/>
      <c r="Q29" s="1492" t="str">
        <f t="shared" ref="Q29" si="11">B29</f>
        <v>基础设施水平</v>
      </c>
      <c r="R29" s="707" t="s">
        <v>17</v>
      </c>
      <c r="S29" s="708">
        <f>F29</f>
        <v>100</v>
      </c>
      <c r="T29" s="707" t="s">
        <v>17</v>
      </c>
      <c r="U29" s="708">
        <f>H29</f>
        <v>100</v>
      </c>
      <c r="V29" s="707" t="s">
        <v>17</v>
      </c>
      <c r="W29" s="708">
        <f>J29</f>
        <v>100</v>
      </c>
      <c r="X29" s="709"/>
      <c r="Y29" s="3762"/>
      <c r="Z29" s="55" t="str">
        <f>Q29</f>
        <v>基础设施水平</v>
      </c>
      <c r="AA29" s="1502">
        <f>D29/F29</f>
        <v>1</v>
      </c>
      <c r="AB29" s="1502">
        <f>D29/H29</f>
        <v>1</v>
      </c>
      <c r="AC29" s="1502">
        <f>D29/J29</f>
        <v>1</v>
      </c>
    </row>
    <row r="30" spans="1:29" s="111" customFormat="1" ht="15.6" thickBot="1">
      <c r="A30" s="603"/>
      <c r="B30" s="413"/>
      <c r="C30" s="2129" t="s">
        <v>3402</v>
      </c>
      <c r="D30" s="405"/>
      <c r="E30" s="2130" t="s">
        <v>3402</v>
      </c>
      <c r="F30" s="405"/>
      <c r="G30" s="2130" t="s">
        <v>3402</v>
      </c>
      <c r="H30" s="405"/>
      <c r="I30" s="2130" t="s">
        <v>3402</v>
      </c>
      <c r="J30" s="405"/>
      <c r="K30" s="626"/>
      <c r="L30" s="2909"/>
      <c r="M30" s="2910"/>
      <c r="N30" s="2910"/>
      <c r="O30" s="2964"/>
      <c r="P30" s="3762"/>
      <c r="Q30" s="1492"/>
      <c r="R30" s="707"/>
      <c r="S30" s="708"/>
      <c r="T30" s="707"/>
      <c r="U30" s="708"/>
      <c r="V30" s="707"/>
      <c r="W30" s="708"/>
      <c r="X30" s="709"/>
      <c r="Y30" s="3762"/>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762"/>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762"/>
      <c r="Z31" s="1505" t="str">
        <f t="shared" ref="Z31:Z45" si="15">Q31</f>
        <v>临街状况</v>
      </c>
      <c r="AA31" s="1502">
        <f t="shared" si="5"/>
        <v>1</v>
      </c>
      <c r="AB31" s="1502">
        <f t="shared" si="6"/>
        <v>1</v>
      </c>
      <c r="AC31" s="1502">
        <f t="shared" si="7"/>
        <v>1</v>
      </c>
    </row>
    <row r="32" spans="1:29" ht="28.8"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762"/>
      <c r="Q32" s="1501" t="str">
        <f t="shared" si="10"/>
        <v>毗邻道路的类型与等级</v>
      </c>
      <c r="R32" s="711" t="s">
        <v>17</v>
      </c>
      <c r="S32" s="712">
        <f t="shared" si="12"/>
        <v>100</v>
      </c>
      <c r="T32" s="711" t="s">
        <v>17</v>
      </c>
      <c r="U32" s="712">
        <f t="shared" si="13"/>
        <v>100</v>
      </c>
      <c r="V32" s="711" t="s">
        <v>17</v>
      </c>
      <c r="W32" s="712">
        <f t="shared" si="14"/>
        <v>100</v>
      </c>
      <c r="X32" s="1504"/>
      <c r="Y32" s="3762"/>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762"/>
      <c r="Q33" s="1501"/>
      <c r="R33" s="711"/>
      <c r="S33" s="712"/>
      <c r="T33" s="711"/>
      <c r="U33" s="712"/>
      <c r="V33" s="711"/>
      <c r="W33" s="712"/>
      <c r="X33" s="1504"/>
      <c r="Y33" s="3762"/>
      <c r="Z33" s="1505"/>
      <c r="AA33" s="1502">
        <v>1</v>
      </c>
      <c r="AB33" s="1502">
        <v>1</v>
      </c>
      <c r="AC33" s="1502">
        <v>1</v>
      </c>
    </row>
    <row r="34" spans="1:29" ht="15.6" hidden="1" thickBot="1">
      <c r="A34" s="385"/>
      <c r="B34" s="379" t="s">
        <v>2511</v>
      </c>
      <c r="C34" s="571" t="s">
        <v>526</v>
      </c>
      <c r="D34" s="392">
        <v>100</v>
      </c>
      <c r="E34" s="588" t="s">
        <v>526</v>
      </c>
      <c r="F34" s="392">
        <f>SUMIF(108:108,E34,109:109)-SUMIF(108:108,C34,109:109)+100</f>
        <v>100</v>
      </c>
      <c r="G34" s="588" t="s">
        <v>526</v>
      </c>
      <c r="H34" s="392">
        <f>SUMIF(108:108,G34,109:109)-SUMIF(108:108,C34,109:109)+100</f>
        <v>100</v>
      </c>
      <c r="I34" s="571" t="s">
        <v>526</v>
      </c>
      <c r="J34" s="392">
        <f>SUMIF(108:108,I34,109:109)-SUMIF(108:108,C34,109:109)+100</f>
        <v>100</v>
      </c>
      <c r="K34" s="567">
        <v>2</v>
      </c>
      <c r="L34" s="2914"/>
      <c r="M34" s="2908"/>
      <c r="N34" s="2908"/>
      <c r="O34" s="2966"/>
      <c r="P34" s="3762"/>
      <c r="Q34" s="1501" t="str">
        <f t="shared" si="10"/>
        <v>土地级别</v>
      </c>
      <c r="R34" s="711" t="s">
        <v>17</v>
      </c>
      <c r="S34" s="712">
        <f t="shared" si="12"/>
        <v>100</v>
      </c>
      <c r="T34" s="711" t="s">
        <v>17</v>
      </c>
      <c r="U34" s="712">
        <f t="shared" si="13"/>
        <v>100</v>
      </c>
      <c r="V34" s="711" t="s">
        <v>17</v>
      </c>
      <c r="W34" s="712">
        <f t="shared" si="14"/>
        <v>100</v>
      </c>
      <c r="X34" s="1504"/>
      <c r="Y34" s="3762"/>
      <c r="Z34" s="1505" t="str">
        <f t="shared" si="15"/>
        <v>土地级别</v>
      </c>
      <c r="AA34" s="1502">
        <f t="shared" si="5"/>
        <v>1</v>
      </c>
      <c r="AB34" s="1502">
        <f t="shared" si="6"/>
        <v>1</v>
      </c>
      <c r="AC34" s="1502">
        <f t="shared" si="7"/>
        <v>1</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762"/>
      <c r="Q35" s="1501">
        <f t="shared" si="10"/>
        <v>111</v>
      </c>
      <c r="R35" s="711" t="s">
        <v>17</v>
      </c>
      <c r="S35" s="712">
        <f t="shared" si="12"/>
        <v>100</v>
      </c>
      <c r="T35" s="711" t="s">
        <v>17</v>
      </c>
      <c r="U35" s="712">
        <f t="shared" si="13"/>
        <v>100</v>
      </c>
      <c r="V35" s="711" t="s">
        <v>17</v>
      </c>
      <c r="W35" s="712">
        <f t="shared" si="14"/>
        <v>100</v>
      </c>
      <c r="X35" s="1504"/>
      <c r="Y35" s="3762"/>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818" t="s">
        <v>2326</v>
      </c>
      <c r="Q36" s="1501">
        <f t="shared" si="10"/>
        <v>111</v>
      </c>
      <c r="R36" s="711" t="s">
        <v>17</v>
      </c>
      <c r="S36" s="712">
        <f t="shared" si="12"/>
        <v>100</v>
      </c>
      <c r="T36" s="711" t="s">
        <v>17</v>
      </c>
      <c r="U36" s="712">
        <f t="shared" si="13"/>
        <v>100</v>
      </c>
      <c r="V36" s="711" t="s">
        <v>17</v>
      </c>
      <c r="W36" s="712">
        <f t="shared" si="14"/>
        <v>100</v>
      </c>
      <c r="X36" s="1504"/>
      <c r="Y36" s="3766" t="s">
        <v>2326</v>
      </c>
      <c r="Z36" s="1505">
        <f t="shared" si="15"/>
        <v>111</v>
      </c>
      <c r="AA36" s="1502">
        <f t="shared" si="5"/>
        <v>1</v>
      </c>
      <c r="AB36" s="1502">
        <f t="shared" si="6"/>
        <v>1</v>
      </c>
      <c r="AC36" s="1502">
        <f t="shared" si="7"/>
        <v>1</v>
      </c>
    </row>
    <row r="37" spans="1:29" s="428" customFormat="1" ht="15.6"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766"/>
      <c r="Q37" s="1501">
        <f t="shared" si="10"/>
        <v>111</v>
      </c>
      <c r="R37" s="714" t="s">
        <v>17</v>
      </c>
      <c r="S37" s="715">
        <f t="shared" si="12"/>
        <v>100</v>
      </c>
      <c r="T37" s="714" t="s">
        <v>17</v>
      </c>
      <c r="U37" s="715">
        <f t="shared" si="13"/>
        <v>100</v>
      </c>
      <c r="V37" s="714" t="s">
        <v>17</v>
      </c>
      <c r="W37" s="715">
        <f t="shared" si="14"/>
        <v>100</v>
      </c>
      <c r="X37" s="716"/>
      <c r="Y37" s="3766"/>
      <c r="Z37" s="717">
        <f t="shared" si="15"/>
        <v>111</v>
      </c>
      <c r="AA37" s="1502">
        <f t="shared" si="5"/>
        <v>1</v>
      </c>
      <c r="AB37" s="1502">
        <f t="shared" si="6"/>
        <v>1</v>
      </c>
      <c r="AC37" s="1502">
        <f t="shared" si="7"/>
        <v>1</v>
      </c>
    </row>
    <row r="38" spans="1:29" ht="15.6">
      <c r="A38" s="429" t="s">
        <v>2324</v>
      </c>
      <c r="B38" s="413" t="s">
        <v>2512</v>
      </c>
      <c r="C38" s="633">
        <f>'数据-汇总表'!D3</f>
        <v>21500</v>
      </c>
      <c r="D38" s="424">
        <v>100</v>
      </c>
      <c r="E38" s="633">
        <f>Sheet5!L2*10000</f>
        <v>39400</v>
      </c>
      <c r="F38" s="424">
        <f>LOOKUP(E38,117:117,118:118)-LOOKUP(C38,117:117,118:118)+100</f>
        <v>100</v>
      </c>
      <c r="G38" s="633">
        <f>Sheet5!L6*10000</f>
        <v>74200</v>
      </c>
      <c r="H38" s="424">
        <f>LOOKUP(G38,117:117,118:118)-LOOKUP(C38,117:117,118:118)+100</f>
        <v>98</v>
      </c>
      <c r="I38" s="485">
        <f>Sheet5!L9*10000</f>
        <v>179200.00000000003</v>
      </c>
      <c r="J38" s="424">
        <f>LOOKUP(I38,117:117,118:118)-LOOKUP(C38,117:117,118:118)+100</f>
        <v>94</v>
      </c>
      <c r="K38" s="568"/>
      <c r="L38" s="2914"/>
      <c r="M38" s="2908"/>
      <c r="N38" s="2908"/>
      <c r="O38" s="2966"/>
      <c r="P38" s="3766"/>
      <c r="Q38" s="1501" t="str">
        <f>B38</f>
        <v>宗地面积</v>
      </c>
      <c r="R38" s="711" t="s">
        <v>17</v>
      </c>
      <c r="S38" s="712">
        <f t="shared" si="12"/>
        <v>100</v>
      </c>
      <c r="T38" s="711" t="s">
        <v>17</v>
      </c>
      <c r="U38" s="712">
        <f t="shared" si="13"/>
        <v>98</v>
      </c>
      <c r="V38" s="711" t="s">
        <v>17</v>
      </c>
      <c r="W38" s="712">
        <f t="shared" si="14"/>
        <v>94</v>
      </c>
      <c r="X38" s="1504"/>
      <c r="Y38" s="3766"/>
      <c r="Z38" s="1505" t="str">
        <f t="shared" si="15"/>
        <v>宗地面积</v>
      </c>
      <c r="AA38" s="1502">
        <f t="shared" si="5"/>
        <v>1</v>
      </c>
      <c r="AB38" s="1502">
        <f t="shared" si="6"/>
        <v>1.0204081632653061</v>
      </c>
      <c r="AC38" s="1502">
        <f t="shared" si="7"/>
        <v>1.0638297872340425</v>
      </c>
    </row>
    <row r="39" spans="1:29" ht="15">
      <c r="A39" s="429"/>
      <c r="B39" s="379" t="s">
        <v>2513</v>
      </c>
      <c r="C39" s="2057" t="s">
        <v>3414</v>
      </c>
      <c r="D39" s="392">
        <v>100</v>
      </c>
      <c r="E39" s="2057" t="s">
        <v>3414</v>
      </c>
      <c r="F39" s="392">
        <f>SUMIF(119:119,E39,120:120)-SUMIF(119:119,C39,120:120)+100</f>
        <v>100</v>
      </c>
      <c r="G39" s="2057" t="s">
        <v>3414</v>
      </c>
      <c r="H39" s="392">
        <f>SUMIF(119:119,G39,120:120)-SUMIF(119:119,C39,120:120)+100</f>
        <v>100</v>
      </c>
      <c r="I39" s="2057" t="s">
        <v>3414</v>
      </c>
      <c r="J39" s="392">
        <f>SUMIF(119:119,I39,120:120)-SUMIF(119:119,C39,120:120)+100</f>
        <v>100</v>
      </c>
      <c r="K39" s="567">
        <v>2</v>
      </c>
      <c r="L39" s="2914"/>
      <c r="M39" s="2908"/>
      <c r="N39" s="2908"/>
      <c r="O39" s="2966"/>
      <c r="P39" s="3766"/>
      <c r="Q39" s="1501" t="str">
        <f t="shared" ref="Q39:Q45" si="16">B39</f>
        <v>宗地形状</v>
      </c>
      <c r="R39" s="711" t="s">
        <v>17</v>
      </c>
      <c r="S39" s="712">
        <f t="shared" si="12"/>
        <v>100</v>
      </c>
      <c r="T39" s="711" t="s">
        <v>17</v>
      </c>
      <c r="U39" s="712">
        <f t="shared" si="13"/>
        <v>100</v>
      </c>
      <c r="V39" s="711" t="s">
        <v>17</v>
      </c>
      <c r="W39" s="712">
        <f t="shared" si="14"/>
        <v>100</v>
      </c>
      <c r="X39" s="1504"/>
      <c r="Y39" s="3766"/>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766"/>
      <c r="Q40" s="1501" t="str">
        <f t="shared" si="16"/>
        <v>临街宽度及深度</v>
      </c>
      <c r="R40" s="711" t="s">
        <v>17</v>
      </c>
      <c r="S40" s="712">
        <f t="shared" si="12"/>
        <v>100</v>
      </c>
      <c r="T40" s="711" t="s">
        <v>17</v>
      </c>
      <c r="U40" s="712">
        <f t="shared" si="13"/>
        <v>100</v>
      </c>
      <c r="V40" s="711" t="s">
        <v>17</v>
      </c>
      <c r="W40" s="712">
        <f t="shared" si="14"/>
        <v>100</v>
      </c>
      <c r="X40" s="1504"/>
      <c r="Y40" s="3766"/>
      <c r="Z40" s="1505" t="str">
        <f t="shared" si="15"/>
        <v>临街宽度及深度</v>
      </c>
      <c r="AA40" s="1502">
        <f t="shared" si="5"/>
        <v>1</v>
      </c>
      <c r="AB40" s="1502">
        <f t="shared" si="6"/>
        <v>1</v>
      </c>
      <c r="AC40" s="1502">
        <f t="shared" si="7"/>
        <v>1</v>
      </c>
    </row>
    <row r="41" spans="1:29" s="111" customFormat="1" ht="15">
      <c r="A41" s="430"/>
      <c r="B41" s="379" t="s">
        <v>2515</v>
      </c>
      <c r="C41" s="2131" t="s">
        <v>3402</v>
      </c>
      <c r="D41" s="130">
        <v>100</v>
      </c>
      <c r="E41" s="2131" t="s">
        <v>3402</v>
      </c>
      <c r="F41" s="392">
        <f>SUMIF(123:123,E41,124:124)-SUMIF(123:123,C41,124:124)+100</f>
        <v>100</v>
      </c>
      <c r="G41" s="2131" t="s">
        <v>3402</v>
      </c>
      <c r="H41" s="392">
        <f>SUMIF(123:123,G41,124:124)-SUMIF(123:123,C41,124:124)+100</f>
        <v>100</v>
      </c>
      <c r="I41" s="2131" t="s">
        <v>3402</v>
      </c>
      <c r="J41" s="392">
        <f>SUMIF(123:123,I41,124:124)-SUMIF(123:123,C41,124:124)+100</f>
        <v>100</v>
      </c>
      <c r="K41" s="567">
        <v>5</v>
      </c>
      <c r="L41" s="2909"/>
      <c r="M41" s="2910"/>
      <c r="N41" s="2910"/>
      <c r="O41" s="2964"/>
      <c r="P41" s="3766"/>
      <c r="Q41" s="1501" t="str">
        <f t="shared" si="16"/>
        <v>宗地开发程度</v>
      </c>
      <c r="R41" s="707" t="s">
        <v>17</v>
      </c>
      <c r="S41" s="708">
        <f t="shared" si="12"/>
        <v>100</v>
      </c>
      <c r="T41" s="707" t="s">
        <v>17</v>
      </c>
      <c r="U41" s="708">
        <f t="shared" si="13"/>
        <v>100</v>
      </c>
      <c r="V41" s="707" t="s">
        <v>17</v>
      </c>
      <c r="W41" s="708">
        <f t="shared" si="14"/>
        <v>100</v>
      </c>
      <c r="X41" s="709"/>
      <c r="Y41" s="3766"/>
      <c r="Z41" s="55" t="str">
        <f t="shared" si="15"/>
        <v>宗地开发程度</v>
      </c>
      <c r="AA41" s="710">
        <f t="shared" si="5"/>
        <v>1</v>
      </c>
      <c r="AB41" s="710">
        <f t="shared" si="6"/>
        <v>1</v>
      </c>
      <c r="AC41" s="710">
        <f t="shared" si="7"/>
        <v>1</v>
      </c>
    </row>
    <row r="42" spans="1:29" ht="15.6" thickBot="1">
      <c r="A42" s="429"/>
      <c r="B42" s="379" t="s">
        <v>2516</v>
      </c>
      <c r="C42" s="2057" t="s">
        <v>3401</v>
      </c>
      <c r="D42" s="392">
        <v>100</v>
      </c>
      <c r="E42" s="2057" t="s">
        <v>3401</v>
      </c>
      <c r="F42" s="392">
        <f>SUMIF(125:125,E42,126:126)-SUMIF(125:125,C42,126:126)+100</f>
        <v>100</v>
      </c>
      <c r="G42" s="2057" t="s">
        <v>3401</v>
      </c>
      <c r="H42" s="392">
        <f>SUMIF(125:125,G42,126:126)-SUMIF(125:125,C42,126:126)+100</f>
        <v>100</v>
      </c>
      <c r="I42" s="2057" t="s">
        <v>3401</v>
      </c>
      <c r="J42" s="392">
        <f>SUMIF(125:125,I42,126:126)-SUMIF(125:125,C42,126:126)+100</f>
        <v>100</v>
      </c>
      <c r="K42" s="567">
        <v>2</v>
      </c>
      <c r="L42" s="2914"/>
      <c r="M42" s="2908"/>
      <c r="N42" s="2908"/>
      <c r="O42" s="2966"/>
      <c r="P42" s="3766" t="s">
        <v>2326</v>
      </c>
      <c r="Q42" s="1501" t="str">
        <f t="shared" si="16"/>
        <v>工程地质条件</v>
      </c>
      <c r="R42" s="711" t="s">
        <v>17</v>
      </c>
      <c r="S42" s="712">
        <f t="shared" si="12"/>
        <v>100</v>
      </c>
      <c r="T42" s="711" t="s">
        <v>17</v>
      </c>
      <c r="U42" s="712">
        <f t="shared" si="13"/>
        <v>100</v>
      </c>
      <c r="V42" s="711" t="s">
        <v>17</v>
      </c>
      <c r="W42" s="712">
        <f t="shared" si="14"/>
        <v>100</v>
      </c>
      <c r="X42" s="1504"/>
      <c r="Y42" s="3766"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766"/>
      <c r="Q43" s="1501">
        <f t="shared" si="16"/>
        <v>111</v>
      </c>
      <c r="R43" s="711" t="s">
        <v>17</v>
      </c>
      <c r="S43" s="712">
        <f t="shared" si="12"/>
        <v>100</v>
      </c>
      <c r="T43" s="711" t="s">
        <v>17</v>
      </c>
      <c r="U43" s="712">
        <f t="shared" si="13"/>
        <v>100</v>
      </c>
      <c r="V43" s="711" t="s">
        <v>17</v>
      </c>
      <c r="W43" s="712">
        <f t="shared" si="14"/>
        <v>100</v>
      </c>
      <c r="X43" s="1504"/>
      <c r="Y43" s="3766"/>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766"/>
      <c r="Q44" s="1501">
        <f t="shared" si="16"/>
        <v>111</v>
      </c>
      <c r="R44" s="711" t="s">
        <v>17</v>
      </c>
      <c r="S44" s="712">
        <f t="shared" si="12"/>
        <v>100</v>
      </c>
      <c r="T44" s="711" t="s">
        <v>17</v>
      </c>
      <c r="U44" s="712">
        <f t="shared" si="13"/>
        <v>100</v>
      </c>
      <c r="V44" s="711" t="s">
        <v>17</v>
      </c>
      <c r="W44" s="712">
        <f t="shared" si="14"/>
        <v>100</v>
      </c>
      <c r="X44" s="1504"/>
      <c r="Y44" s="3766"/>
      <c r="Z44" s="1505">
        <f t="shared" si="15"/>
        <v>111</v>
      </c>
      <c r="AA44" s="1502">
        <f t="shared" si="5"/>
        <v>1</v>
      </c>
      <c r="AB44" s="1502">
        <f t="shared" si="6"/>
        <v>1</v>
      </c>
      <c r="AC44" s="1502">
        <f t="shared" si="7"/>
        <v>1</v>
      </c>
    </row>
    <row r="45" spans="1:29" s="428" customFormat="1" ht="15.6"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766"/>
      <c r="Q45" s="1501">
        <f t="shared" si="16"/>
        <v>111</v>
      </c>
      <c r="R45" s="714" t="s">
        <v>17</v>
      </c>
      <c r="S45" s="715">
        <f t="shared" si="12"/>
        <v>100</v>
      </c>
      <c r="T45" s="714" t="s">
        <v>17</v>
      </c>
      <c r="U45" s="715">
        <f t="shared" si="13"/>
        <v>100</v>
      </c>
      <c r="V45" s="714" t="s">
        <v>17</v>
      </c>
      <c r="W45" s="715">
        <f t="shared" si="14"/>
        <v>100</v>
      </c>
      <c r="X45" s="716"/>
      <c r="Y45" s="3766"/>
      <c r="Z45" s="717">
        <f t="shared" si="15"/>
        <v>111</v>
      </c>
      <c r="AA45" s="1502">
        <f t="shared" si="5"/>
        <v>1</v>
      </c>
      <c r="AB45" s="1502">
        <f t="shared" si="6"/>
        <v>1</v>
      </c>
      <c r="AC45" s="1502">
        <f t="shared" si="7"/>
        <v>1</v>
      </c>
    </row>
    <row r="46" spans="1:29" ht="14.4">
      <c r="A46" s="436" t="s">
        <v>2481</v>
      </c>
      <c r="B46" s="2133" t="s">
        <v>3415</v>
      </c>
      <c r="C46" s="636" t="s">
        <v>1</v>
      </c>
      <c r="D46" s="438"/>
      <c r="E46" s="439">
        <f>Sheet5!W2</f>
        <v>19795.107897935068</v>
      </c>
      <c r="F46" s="440"/>
      <c r="G46" s="441">
        <f>Sheet5!W6</f>
        <v>21460.618648161111</v>
      </c>
      <c r="H46" s="442"/>
      <c r="I46" s="439">
        <f>Sheet5!W9</f>
        <v>18224.215302960722</v>
      </c>
      <c r="J46" s="442"/>
      <c r="K46" s="720"/>
      <c r="L46" s="2916"/>
      <c r="M46" s="2917"/>
      <c r="N46" s="2908"/>
      <c r="O46" s="2917"/>
      <c r="P46" s="3759" t="str">
        <f>A46</f>
        <v>成交单价</v>
      </c>
      <c r="Q46" s="3759"/>
      <c r="R46" s="3791">
        <f>E46</f>
        <v>19795.107897935068</v>
      </c>
      <c r="S46" s="3791"/>
      <c r="T46" s="3791">
        <f>G46</f>
        <v>21460.618648161111</v>
      </c>
      <c r="U46" s="3791"/>
      <c r="V46" s="3791">
        <f>I46</f>
        <v>18224.215302960722</v>
      </c>
      <c r="W46" s="3791"/>
      <c r="X46" s="696"/>
      <c r="Y46" s="718"/>
      <c r="Z46" s="696"/>
      <c r="AA46" s="696"/>
      <c r="AB46" s="696"/>
      <c r="AC46" s="696"/>
    </row>
    <row r="47" spans="1:29" ht="15" thickBot="1">
      <c r="A47" s="443" t="s">
        <v>2430</v>
      </c>
      <c r="B47" s="637"/>
      <c r="C47" s="446">
        <f>R48</f>
        <v>20692</v>
      </c>
      <c r="D47" s="2502" t="s">
        <v>2818</v>
      </c>
      <c r="E47" s="446">
        <f>R47</f>
        <v>20117</v>
      </c>
      <c r="F47" s="2503">
        <v>0.35</v>
      </c>
      <c r="G47" s="445">
        <f>T47</f>
        <v>22255</v>
      </c>
      <c r="H47" s="2503">
        <v>0.5</v>
      </c>
      <c r="I47" s="446">
        <f>V47</f>
        <v>19703</v>
      </c>
      <c r="J47" s="2503">
        <v>0.15</v>
      </c>
      <c r="K47" s="2505">
        <f>F47+H47+J47</f>
        <v>1</v>
      </c>
      <c r="L47" s="2916"/>
      <c r="M47" s="2917"/>
      <c r="N47" s="2917"/>
      <c r="O47" s="2917"/>
      <c r="P47" s="3759" t="str">
        <f>A47</f>
        <v>比较价值（元/平方米）</v>
      </c>
      <c r="Q47" s="3759"/>
      <c r="R47" s="3847">
        <f>ROUND(PRODUCT(R46,AA7:AA45),0)</f>
        <v>20117</v>
      </c>
      <c r="S47" s="3847"/>
      <c r="T47" s="3847">
        <f>ROUND(PRODUCT(T46,AB7:AB45),0)</f>
        <v>22255</v>
      </c>
      <c r="U47" s="3847"/>
      <c r="V47" s="3847">
        <f>ROUND(PRODUCT(V46,AC7:AC45),0)</f>
        <v>19703</v>
      </c>
      <c r="W47" s="3847"/>
      <c r="X47" s="696"/>
      <c r="Y47" s="696"/>
      <c r="Z47" s="696"/>
      <c r="AA47" s="696"/>
      <c r="AB47" s="696"/>
      <c r="AC47" s="696"/>
    </row>
    <row r="48" spans="1:29" ht="15" thickBot="1">
      <c r="A48" s="447" t="s">
        <v>2517</v>
      </c>
      <c r="B48" s="448"/>
      <c r="C48" s="449">
        <f>R48</f>
        <v>20692</v>
      </c>
      <c r="D48" s="449"/>
      <c r="E48" s="449"/>
      <c r="F48" s="449"/>
      <c r="G48" s="449"/>
      <c r="H48" s="449"/>
      <c r="I48" s="449"/>
      <c r="J48" s="449"/>
      <c r="K48" s="721"/>
      <c r="L48" s="2916"/>
      <c r="M48" s="2917"/>
      <c r="N48" s="2917"/>
      <c r="O48" s="2917"/>
      <c r="P48" s="3756" t="str">
        <f>A48</f>
        <v>估价对象XX用房的比较价值（楼面单价，元/平方米）</v>
      </c>
      <c r="Q48" s="3757"/>
      <c r="R48" s="3848">
        <f>ROUND(IF(D47="简单平均",AVERAGE(R47:W47),R47*F47+T47*H47+V47*J47),0)</f>
        <v>20692</v>
      </c>
      <c r="S48" s="3848"/>
      <c r="T48" s="3848"/>
      <c r="U48" s="3848"/>
      <c r="V48" s="3848"/>
      <c r="W48" s="3848"/>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1.6261194620642128E-2</v>
      </c>
      <c r="F51" s="455" t="str">
        <f>IF(OR(E51&gt;=0.3,E51&lt;=-0.3),"超过30%","")</f>
        <v/>
      </c>
      <c r="G51" s="454">
        <f>IF(G46&lt;G47,G47/G46-1,G46/G47-1)</f>
        <v>3.7015771300095146E-2</v>
      </c>
      <c r="H51" s="455" t="str">
        <f>IF(OR(G51&gt;=0.3,G51&lt;=-0.3),"超过30%","")</f>
        <v/>
      </c>
      <c r="I51" s="454">
        <f>IF(I46&lt;I47,I47/I46-1,I46/I47-1)</f>
        <v>8.1143943508998895E-2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0.1062782721081672</v>
      </c>
      <c r="F52" s="455" t="str">
        <f>IF(OR(E52&gt;=0.2,E52&lt;=-0.2),"超过20%","")</f>
        <v/>
      </c>
      <c r="G52" s="454">
        <f>IF(G47&lt;I47,I47/G47-1,G47/I47-1)</f>
        <v>0.12952342282901075</v>
      </c>
      <c r="H52" s="455" t="str">
        <f>IF(OR(G52&gt;=0.2,G52&lt;=-0.2),"超过20%","")</f>
        <v/>
      </c>
      <c r="I52" s="454">
        <f>IF(I47&lt;E47,E47/I47-1,I47/E47-1)</f>
        <v>2.1012028625082557E-2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8.4137492900444366E-2</v>
      </c>
      <c r="F53" s="455" t="str">
        <f>IF(OR(E53&gt;=0.3,E53&lt;=-0.3),"超过30%","")</f>
        <v/>
      </c>
      <c r="G53" s="454">
        <f>IF(G46&lt;I46,I46/G46-1,G46/I46-1)</f>
        <v>0.1775880767099256</v>
      </c>
      <c r="H53" s="455" t="str">
        <f>IF(OR(G53&gt;=0.3,G53&lt;=-0.3),"超过30%","")</f>
        <v/>
      </c>
      <c r="I53" s="454">
        <f>IF(I46&lt;E46,E46/I46-1,I46/E46-1)</f>
        <v>8.6198092420425754E-2</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4.4"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775" t="s">
        <v>2524</v>
      </c>
      <c r="H55" s="3849"/>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20692</v>
      </c>
      <c r="C56" s="644">
        <v>1</v>
      </c>
      <c r="D56" s="1072">
        <v>1</v>
      </c>
      <c r="E56" s="644">
        <f>'数据-汇总表'!E8+'数据-汇总表'!E9</f>
        <v>46810</v>
      </c>
      <c r="F56" s="1014">
        <f t="shared" ref="F56:F65" si="17">ROUND(B56*E56/10000,0)</f>
        <v>96859</v>
      </c>
      <c r="G56" s="3770"/>
      <c r="H56" s="3759"/>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0</v>
      </c>
      <c r="C57" s="174">
        <f t="shared" ref="C57:C65" si="18">IF($C$55="北京市系数",I57,J57)</f>
        <v>0</v>
      </c>
      <c r="D57" s="1073">
        <v>0.25</v>
      </c>
      <c r="E57" s="648"/>
      <c r="F57" s="1014">
        <f t="shared" si="17"/>
        <v>0</v>
      </c>
      <c r="G57" s="3850" t="s">
        <v>2529</v>
      </c>
      <c r="H57" s="1015">
        <f>项目基本情况!B37</f>
        <v>0</v>
      </c>
      <c r="I57" s="1019">
        <f>SUMIF(修正!A45:A56,H57,修正!B45:B56)</f>
        <v>0</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0</v>
      </c>
      <c r="C58" s="174">
        <f t="shared" si="18"/>
        <v>0</v>
      </c>
      <c r="D58" s="1073">
        <v>0.25</v>
      </c>
      <c r="E58" s="648"/>
      <c r="F58" s="1014">
        <f t="shared" si="17"/>
        <v>0</v>
      </c>
      <c r="G58" s="3850"/>
      <c r="H58" s="1015">
        <f>项目基本情况!B37</f>
        <v>0</v>
      </c>
      <c r="I58" s="1019">
        <f>SUMIF(修正!A45:A56,H58,修正!C45:C56)</f>
        <v>0</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0</v>
      </c>
      <c r="C59" s="174">
        <f t="shared" si="18"/>
        <v>0</v>
      </c>
      <c r="D59" s="1073">
        <v>0.25</v>
      </c>
      <c r="E59" s="648"/>
      <c r="F59" s="1014">
        <f t="shared" si="17"/>
        <v>0</v>
      </c>
      <c r="G59" s="3850"/>
      <c r="H59" s="1015">
        <f>项目基本情况!B37</f>
        <v>0</v>
      </c>
      <c r="I59" s="1019">
        <f>SUMIF(修正!A45:A56,H59,修正!D45:D56)</f>
        <v>0</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0</v>
      </c>
      <c r="C60" s="174">
        <f t="shared" si="18"/>
        <v>0</v>
      </c>
      <c r="D60" s="1073">
        <v>0.25</v>
      </c>
      <c r="E60" s="648"/>
      <c r="F60" s="1014">
        <f t="shared" si="17"/>
        <v>0</v>
      </c>
      <c r="G60" s="3850"/>
      <c r="H60" s="1015">
        <f>项目基本情况!B37</f>
        <v>0</v>
      </c>
      <c r="I60" s="1019">
        <f>SUMIF(修正!A45:A56,H60,修正!E45:E56)</f>
        <v>0</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0</v>
      </c>
      <c r="C61" s="174">
        <f t="shared" si="18"/>
        <v>0</v>
      </c>
      <c r="D61" s="1073">
        <v>0.25</v>
      </c>
      <c r="E61" s="221">
        <f>'数据-汇总表'!E11</f>
        <v>0</v>
      </c>
      <c r="F61" s="1014">
        <f t="shared" si="17"/>
        <v>0</v>
      </c>
      <c r="G61" s="2138" t="s">
        <v>2534</v>
      </c>
      <c r="H61" s="1015">
        <f>项目基本情况!C37</f>
        <v>0</v>
      </c>
      <c r="I61" s="1019">
        <f>SUMIF(修正!A45:A56,H61,修正!F45:F56)</f>
        <v>0</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0</v>
      </c>
      <c r="C62" s="174">
        <f t="shared" si="18"/>
        <v>0</v>
      </c>
      <c r="D62" s="1073">
        <v>0.25</v>
      </c>
      <c r="E62" s="221">
        <f>'数据-汇总表'!E12</f>
        <v>0</v>
      </c>
      <c r="F62" s="1014">
        <f t="shared" si="17"/>
        <v>0</v>
      </c>
      <c r="G62" s="1020" t="s">
        <v>2536</v>
      </c>
      <c r="H62" s="1015">
        <f>IF(G62="商业",项目基本情况!B37,IF(G62="办公",项目基本情况!C37,IF(G62="住宅",项目基本情况!D37,项目基本情况!E37)))</f>
        <v>0</v>
      </c>
      <c r="I62" s="1019">
        <f>SUMIF(修正!A45:A56,H62,修正!G45:G56)</f>
        <v>0</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1035</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三级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0</v>
      </c>
      <c r="C64" s="174">
        <f t="shared" si="18"/>
        <v>0</v>
      </c>
      <c r="D64" s="1073">
        <v>0.25</v>
      </c>
      <c r="E64" s="221">
        <f>'数据-汇总表'!E14</f>
        <v>0</v>
      </c>
      <c r="F64" s="1014">
        <f t="shared" si="17"/>
        <v>0</v>
      </c>
      <c r="G64" s="2138" t="s">
        <v>2529</v>
      </c>
      <c r="H64" s="1015">
        <f>项目基本情况!B37</f>
        <v>0</v>
      </c>
      <c r="I64" s="1019">
        <f>SUMIF(修正!A45:A56,H64,修正!H45:H56)</f>
        <v>0</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4.4" thickBot="1">
      <c r="A65" s="647" t="s">
        <v>2540</v>
      </c>
      <c r="B65" s="222">
        <f t="shared" si="19"/>
        <v>0</v>
      </c>
      <c r="C65" s="174">
        <f t="shared" si="18"/>
        <v>0</v>
      </c>
      <c r="D65" s="1073">
        <v>0.25</v>
      </c>
      <c r="E65" s="221">
        <f>'数据-汇总表'!E15</f>
        <v>0</v>
      </c>
      <c r="F65" s="1014">
        <f t="shared" si="17"/>
        <v>0</v>
      </c>
      <c r="G65" s="2139" t="s">
        <v>2534</v>
      </c>
      <c r="H65" s="1025">
        <f>项目基本情况!C37</f>
        <v>0</v>
      </c>
      <c r="I65" s="1021">
        <f>SUMIF(修正!A45:A56,H65,修正!H45:H56)</f>
        <v>0</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thickBot="1">
      <c r="A66" s="649" t="s">
        <v>2541</v>
      </c>
      <c r="B66" s="650" t="s">
        <v>28</v>
      </c>
      <c r="C66" s="650" t="s">
        <v>29</v>
      </c>
      <c r="D66" s="650" t="s">
        <v>997</v>
      </c>
      <c r="E66" s="650">
        <f>IF(B46="楼面地价",SUM(E56:E65),'数据-汇总表'!D3)</f>
        <v>21500</v>
      </c>
      <c r="F66" s="651">
        <f>IF(B46="楼面地价",SUM(F56:F65),ROUND(C48*E66/10000,0))</f>
        <v>44488</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2018-6-1</v>
      </c>
      <c r="D68" s="698">
        <f>EDATE(C68,-3)</f>
        <v>43160</v>
      </c>
      <c r="E68" s="698">
        <f>EDATE(D68,-3)</f>
        <v>43070</v>
      </c>
      <c r="F68" s="698">
        <f t="shared" ref="F68:O68" si="20">EDATE(E68,-3)</f>
        <v>42979</v>
      </c>
      <c r="G68" s="698">
        <f t="shared" si="20"/>
        <v>42887</v>
      </c>
      <c r="H68" s="698">
        <f t="shared" si="20"/>
        <v>42795</v>
      </c>
      <c r="I68" s="698">
        <f t="shared" si="20"/>
        <v>42705</v>
      </c>
      <c r="J68" s="698">
        <f t="shared" si="20"/>
        <v>42614</v>
      </c>
      <c r="K68" s="698">
        <f t="shared" si="20"/>
        <v>42522</v>
      </c>
      <c r="L68" s="698">
        <f t="shared" si="20"/>
        <v>42430</v>
      </c>
      <c r="M68" s="698">
        <f t="shared" si="20"/>
        <v>42339</v>
      </c>
      <c r="N68" s="698">
        <f t="shared" si="20"/>
        <v>42248</v>
      </c>
      <c r="O68" s="698">
        <f t="shared" si="20"/>
        <v>42156</v>
      </c>
      <c r="P68" s="2917"/>
      <c r="Q68" s="2917"/>
      <c r="R68" s="2917"/>
      <c r="S68" s="2917"/>
      <c r="T68" s="2917"/>
      <c r="U68" s="2917"/>
      <c r="V68" s="2917"/>
      <c r="W68" s="2917"/>
      <c r="X68" s="2917"/>
      <c r="Y68" s="2917"/>
      <c r="Z68" s="2917"/>
      <c r="AA68" s="2917"/>
      <c r="AB68" s="2917"/>
      <c r="AC68" s="2917"/>
    </row>
    <row r="69" spans="1:29" ht="22.2"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4.4">
      <c r="A70" s="2140" t="s">
        <v>2542</v>
      </c>
      <c r="B70" s="1236"/>
      <c r="C70" s="1311" t="str">
        <f>YEAR(C68)&amp;"-"&amp;ROUNDUP(MONTH(C68)/3,0)</f>
        <v>2018-2</v>
      </c>
      <c r="D70" s="1311" t="str">
        <f>YEAR(D68)&amp;"-"&amp;ROUNDUP(MONTH(D68)/3,0)</f>
        <v>2018-1</v>
      </c>
      <c r="E70" s="1311" t="str">
        <f t="shared" ref="E70:O70" si="21">YEAR(E68)&amp;"-"&amp;ROUNDUP(MONTH(E68)/3,0)</f>
        <v>2017-4</v>
      </c>
      <c r="F70" s="1311" t="str">
        <f t="shared" si="21"/>
        <v>2017-3</v>
      </c>
      <c r="G70" s="1311" t="str">
        <f t="shared" si="21"/>
        <v>2017-2</v>
      </c>
      <c r="H70" s="1311" t="str">
        <f t="shared" si="21"/>
        <v>2017-1</v>
      </c>
      <c r="I70" s="1311" t="str">
        <f t="shared" si="21"/>
        <v>2016-4</v>
      </c>
      <c r="J70" s="1311" t="str">
        <f t="shared" si="21"/>
        <v>2016-3</v>
      </c>
      <c r="K70" s="1311" t="str">
        <f t="shared" si="21"/>
        <v>2016-2</v>
      </c>
      <c r="L70" s="1311" t="str">
        <f t="shared" si="21"/>
        <v>2016-1</v>
      </c>
      <c r="M70" s="1311" t="str">
        <f t="shared" si="21"/>
        <v>2015-4</v>
      </c>
      <c r="N70" s="1311" t="str">
        <f t="shared" si="21"/>
        <v>2015-3</v>
      </c>
      <c r="O70" s="1311" t="str">
        <f t="shared" si="21"/>
        <v>2015-2</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北京市平均增长率2.59%</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4.4">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4.4"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ht="14.4">
      <c r="A75" s="482" t="s">
        <v>2349</v>
      </c>
      <c r="B75" s="483" t="s">
        <v>2315</v>
      </c>
      <c r="C75" s="3290" t="s">
        <v>3390</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4.4"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9.4"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4.4"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28.2"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4.4"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4.4"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4.4"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4.4"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4.4"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4.4"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4.4"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ht="14.4">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4.4"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4.4"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4.4"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4.4"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29.4"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4.4"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9.4"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4.4"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4.4"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4.4"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4.4"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9.4"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4.4"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4.4"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4.4"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4.4"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4.4"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4.4"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4.4"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4.4"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7.6">
      <c r="A116" s="482" t="s">
        <v>2324</v>
      </c>
      <c r="B116" s="483" t="s">
        <v>2551</v>
      </c>
      <c r="C116" s="484" t="str">
        <f>C117&amp;"(含)"&amp;"-"&amp;D117</f>
        <v>0(含)-50000</v>
      </c>
      <c r="D116" s="484" t="str">
        <f t="shared" ref="D116:M116" si="27">D117&amp;"(含)"&amp;"-"&amp;E117</f>
        <v>50000(含)-100000</v>
      </c>
      <c r="E116" s="484" t="str">
        <f t="shared" si="27"/>
        <v>100000(含)-150000</v>
      </c>
      <c r="F116" s="484" t="str">
        <f t="shared" si="27"/>
        <v>150000(含)-200000</v>
      </c>
      <c r="G116" s="484" t="str">
        <f t="shared" si="27"/>
        <v>200000(含)-250000</v>
      </c>
      <c r="H116" s="484" t="str">
        <f t="shared" si="27"/>
        <v>250000(含)-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c r="A117" s="489"/>
      <c r="B117" s="501"/>
      <c r="C117" s="9">
        <v>0</v>
      </c>
      <c r="D117" s="9">
        <v>50000</v>
      </c>
      <c r="E117" s="9">
        <v>100000</v>
      </c>
      <c r="F117" s="9">
        <v>150000</v>
      </c>
      <c r="G117" s="550">
        <v>200000</v>
      </c>
      <c r="H117" s="550">
        <v>250000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4.4"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3407</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4.4"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4.4"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3409</v>
      </c>
      <c r="D123" s="3304" t="s">
        <v>3410</v>
      </c>
      <c r="E123" s="3304" t="s">
        <v>3411</v>
      </c>
      <c r="F123" s="3304" t="s">
        <v>3412</v>
      </c>
      <c r="G123" s="3304" t="s">
        <v>3413</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4.4"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3408</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4.4"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4.4"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4.4"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4.4"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4.4"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4.4"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4.4"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formula1>住宅朝向</formula1>
    </dataValidation>
    <dataValidation type="list" allowBlank="1" showInputMessage="1" showErrorMessage="1" sqref="C16 E16 G16 I16 C18 E18 G18 I18 I20 G20 E20 C20 C22 E22 G22 I22 C28 E28 G28 I28">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I9 E9 G9">
      <formula1>套综用途</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4.4">
      <c r="A4" s="359" t="s">
        <v>2406</v>
      </c>
      <c r="B4" s="360"/>
      <c r="C4" s="3775" t="s">
        <v>2407</v>
      </c>
      <c r="D4" s="3776"/>
      <c r="E4" s="3777" t="s">
        <v>2408</v>
      </c>
      <c r="F4" s="3778"/>
      <c r="G4" s="3775" t="s">
        <v>2409</v>
      </c>
      <c r="H4" s="3776"/>
      <c r="I4" s="3775" t="s">
        <v>2410</v>
      </c>
      <c r="J4" s="3776"/>
      <c r="K4" s="565" t="s">
        <v>2411</v>
      </c>
      <c r="L4" s="2907"/>
      <c r="M4" s="2908"/>
      <c r="N4" s="2908"/>
      <c r="O4" s="2908"/>
      <c r="P4" s="3779" t="s">
        <v>2412</v>
      </c>
      <c r="Q4" s="3780"/>
      <c r="R4" s="3785" t="s">
        <v>2408</v>
      </c>
      <c r="S4" s="3786"/>
      <c r="T4" s="3785" t="s">
        <v>2409</v>
      </c>
      <c r="U4" s="3786"/>
      <c r="V4" s="3791" t="s">
        <v>2410</v>
      </c>
      <c r="W4" s="3791"/>
      <c r="X4" s="1504"/>
      <c r="Y4" s="3785" t="s">
        <v>2412</v>
      </c>
      <c r="Z4" s="3786"/>
      <c r="AA4" s="3772" t="s">
        <v>2408</v>
      </c>
      <c r="AB4" s="3773" t="s">
        <v>2409</v>
      </c>
      <c r="AC4" s="3772" t="s">
        <v>2410</v>
      </c>
    </row>
    <row r="5" spans="1:29">
      <c r="A5" s="362"/>
      <c r="B5" s="363"/>
      <c r="C5" s="3794" t="s">
        <v>2303</v>
      </c>
      <c r="D5" s="3795"/>
      <c r="E5" s="3801" t="s">
        <v>2304</v>
      </c>
      <c r="F5" s="3802"/>
      <c r="G5" s="3794" t="s">
        <v>2305</v>
      </c>
      <c r="H5" s="3795"/>
      <c r="I5" s="3794" t="s">
        <v>2306</v>
      </c>
      <c r="J5" s="3795"/>
      <c r="K5" s="565"/>
      <c r="L5" s="2907"/>
      <c r="M5" s="2908"/>
      <c r="N5" s="2908"/>
      <c r="O5" s="2908"/>
      <c r="P5" s="3781"/>
      <c r="Q5" s="3782"/>
      <c r="R5" s="3787"/>
      <c r="S5" s="3788"/>
      <c r="T5" s="3787"/>
      <c r="U5" s="3788"/>
      <c r="V5" s="3791"/>
      <c r="W5" s="3791"/>
      <c r="X5" s="1504"/>
      <c r="Y5" s="3787"/>
      <c r="Z5" s="3788"/>
      <c r="AA5" s="3773"/>
      <c r="AB5" s="3773"/>
      <c r="AC5" s="3773"/>
    </row>
    <row r="6" spans="1:29" ht="15" thickBot="1">
      <c r="A6" s="364"/>
      <c r="B6" s="365"/>
      <c r="C6" s="3854" t="s">
        <v>2557</v>
      </c>
      <c r="D6" s="3855"/>
      <c r="E6" s="3856" t="s">
        <v>2557</v>
      </c>
      <c r="F6" s="3857"/>
      <c r="G6" s="3854" t="s">
        <v>2557</v>
      </c>
      <c r="H6" s="3855"/>
      <c r="I6" s="3854" t="s">
        <v>2557</v>
      </c>
      <c r="J6" s="3855"/>
      <c r="K6" s="565" t="s">
        <v>2308</v>
      </c>
      <c r="L6" s="2907"/>
      <c r="M6" s="2908"/>
      <c r="N6" s="2908"/>
      <c r="O6" s="2908"/>
      <c r="P6" s="3783"/>
      <c r="Q6" s="3784"/>
      <c r="R6" s="3787"/>
      <c r="S6" s="3788"/>
      <c r="T6" s="3789"/>
      <c r="U6" s="3790"/>
      <c r="V6" s="3791"/>
      <c r="W6" s="3791"/>
      <c r="X6" s="1504"/>
      <c r="Y6" s="3789"/>
      <c r="Z6" s="3790"/>
      <c r="AA6" s="3774"/>
      <c r="AB6" s="3774"/>
      <c r="AC6" s="3774"/>
    </row>
    <row r="7" spans="1:29" s="111" customFormat="1" ht="15" thickBot="1">
      <c r="A7" s="366" t="s">
        <v>2309</v>
      </c>
      <c r="B7" s="367"/>
      <c r="C7" s="368">
        <f>'数据-取费表'!B2</f>
        <v>43252</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796" t="s">
        <v>2310</v>
      </c>
      <c r="Q7" s="3798"/>
      <c r="R7" s="707" t="s">
        <v>17</v>
      </c>
      <c r="S7" s="708">
        <f t="shared" ref="S7:S15" si="0">F7</f>
        <v>0</v>
      </c>
      <c r="T7" s="707" t="s">
        <v>17</v>
      </c>
      <c r="U7" s="708">
        <f t="shared" ref="U7:U15" si="1">H7</f>
        <v>0</v>
      </c>
      <c r="V7" s="707" t="s">
        <v>17</v>
      </c>
      <c r="W7" s="708">
        <f t="shared" ref="W7:W15" si="2">J7</f>
        <v>0</v>
      </c>
      <c r="X7" s="709"/>
      <c r="Y7" s="3796" t="s">
        <v>2310</v>
      </c>
      <c r="Z7" s="3797"/>
      <c r="AA7" s="710" t="e">
        <f>D7/F7</f>
        <v>#DIV/0!</v>
      </c>
      <c r="AB7" s="710" t="e">
        <f>D7/H7</f>
        <v>#DIV/0!</v>
      </c>
      <c r="AC7" s="710" t="e">
        <f>D7/J7</f>
        <v>#DIV/0!</v>
      </c>
    </row>
    <row r="8" spans="1:29" s="111" customFormat="1" ht="1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796" t="s">
        <v>2313</v>
      </c>
      <c r="Q8" s="3797"/>
      <c r="R8" s="707" t="s">
        <v>17</v>
      </c>
      <c r="S8" s="708">
        <f t="shared" si="0"/>
        <v>0</v>
      </c>
      <c r="T8" s="707" t="s">
        <v>17</v>
      </c>
      <c r="U8" s="708">
        <f t="shared" si="1"/>
        <v>0</v>
      </c>
      <c r="V8" s="707" t="s">
        <v>17</v>
      </c>
      <c r="W8" s="708">
        <f t="shared" si="2"/>
        <v>0</v>
      </c>
      <c r="X8" s="709"/>
      <c r="Y8" s="3796" t="s">
        <v>2313</v>
      </c>
      <c r="Z8" s="3797"/>
      <c r="AA8" s="710" t="e">
        <f t="shared" ref="AA8:AA40" si="3">D8/F8</f>
        <v>#DIV/0!</v>
      </c>
      <c r="AB8" s="710" t="e">
        <f t="shared" ref="AB8:AB40" si="4">D8/H8</f>
        <v>#DIV/0!</v>
      </c>
      <c r="AC8" s="710" t="e">
        <f t="shared" ref="AC8:AC40" si="5">D8/J8</f>
        <v>#DIV/0!</v>
      </c>
    </row>
    <row r="9" spans="1:29" s="111" customFormat="1" ht="14.4">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759" t="s">
        <v>2316</v>
      </c>
      <c r="Q9" s="1492" t="str">
        <f t="shared" ref="Q9:Q15" si="6">B9</f>
        <v>用途</v>
      </c>
      <c r="R9" s="707" t="s">
        <v>17</v>
      </c>
      <c r="S9" s="708">
        <f t="shared" si="0"/>
        <v>100</v>
      </c>
      <c r="T9" s="707" t="s">
        <v>17</v>
      </c>
      <c r="U9" s="708">
        <f t="shared" si="1"/>
        <v>100</v>
      </c>
      <c r="V9" s="707" t="s">
        <v>17</v>
      </c>
      <c r="W9" s="708">
        <f t="shared" si="2"/>
        <v>100</v>
      </c>
      <c r="X9" s="709"/>
      <c r="Y9" s="3771" t="s">
        <v>2317</v>
      </c>
      <c r="Z9" s="55" t="str">
        <f t="shared" ref="Z9:Z15" si="7">Q9</f>
        <v>用途</v>
      </c>
      <c r="AA9" s="710">
        <f t="shared" si="3"/>
        <v>1</v>
      </c>
      <c r="AB9" s="710">
        <f t="shared" si="4"/>
        <v>1</v>
      </c>
      <c r="AC9" s="710">
        <f t="shared" si="5"/>
        <v>1</v>
      </c>
    </row>
    <row r="10" spans="1:29" s="384" customFormat="1" ht="28.8">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759"/>
      <c r="Q10" s="1492" t="str">
        <f t="shared" si="6"/>
        <v>土地使用年限（年）</v>
      </c>
      <c r="R10" s="707" t="s">
        <v>17</v>
      </c>
      <c r="S10" s="708">
        <f t="shared" si="0"/>
        <v>100</v>
      </c>
      <c r="T10" s="707" t="s">
        <v>17</v>
      </c>
      <c r="U10" s="708">
        <f t="shared" si="1"/>
        <v>100</v>
      </c>
      <c r="V10" s="707" t="s">
        <v>17</v>
      </c>
      <c r="W10" s="708">
        <f t="shared" si="2"/>
        <v>100</v>
      </c>
      <c r="X10" s="709"/>
      <c r="Y10" s="3771"/>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759"/>
      <c r="Q11" s="1492" t="str">
        <f t="shared" si="6"/>
        <v>容积率</v>
      </c>
      <c r="R11" s="707" t="s">
        <v>17</v>
      </c>
      <c r="S11" s="708" t="e">
        <f t="shared" si="0"/>
        <v>#N/A</v>
      </c>
      <c r="T11" s="707" t="s">
        <v>17</v>
      </c>
      <c r="U11" s="708" t="e">
        <f t="shared" si="1"/>
        <v>#N/A</v>
      </c>
      <c r="V11" s="707" t="s">
        <v>17</v>
      </c>
      <c r="W11" s="708" t="e">
        <f t="shared" si="2"/>
        <v>#N/A</v>
      </c>
      <c r="X11" s="709"/>
      <c r="Y11" s="3771"/>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759"/>
      <c r="Q12" s="1492">
        <f t="shared" si="6"/>
        <v>111</v>
      </c>
      <c r="R12" s="707" t="s">
        <v>17</v>
      </c>
      <c r="S12" s="708">
        <f t="shared" si="0"/>
        <v>100</v>
      </c>
      <c r="T12" s="707" t="s">
        <v>17</v>
      </c>
      <c r="U12" s="708">
        <f t="shared" si="1"/>
        <v>100</v>
      </c>
      <c r="V12" s="707" t="s">
        <v>17</v>
      </c>
      <c r="W12" s="708">
        <f t="shared" si="2"/>
        <v>100</v>
      </c>
      <c r="X12" s="709"/>
      <c r="Y12" s="3771"/>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759"/>
      <c r="Q13" s="1492">
        <f t="shared" si="6"/>
        <v>111</v>
      </c>
      <c r="R13" s="707" t="s">
        <v>17</v>
      </c>
      <c r="S13" s="708">
        <f t="shared" si="0"/>
        <v>100</v>
      </c>
      <c r="T13" s="707" t="s">
        <v>17</v>
      </c>
      <c r="U13" s="708">
        <f t="shared" si="1"/>
        <v>100</v>
      </c>
      <c r="V13" s="707" t="s">
        <v>17</v>
      </c>
      <c r="W13" s="708">
        <f t="shared" si="2"/>
        <v>100</v>
      </c>
      <c r="X13" s="709"/>
      <c r="Y13" s="3771"/>
      <c r="Z13" s="55">
        <f t="shared" si="7"/>
        <v>111</v>
      </c>
      <c r="AA13" s="710">
        <f t="shared" si="3"/>
        <v>1</v>
      </c>
      <c r="AB13" s="710">
        <f t="shared" si="4"/>
        <v>1</v>
      </c>
      <c r="AC13" s="710">
        <f t="shared" si="5"/>
        <v>1</v>
      </c>
    </row>
    <row r="14" spans="1:29" ht="15.6"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759"/>
      <c r="Q14" s="1492">
        <f t="shared" si="6"/>
        <v>111</v>
      </c>
      <c r="R14" s="707" t="s">
        <v>17</v>
      </c>
      <c r="S14" s="708">
        <f t="shared" si="0"/>
        <v>100</v>
      </c>
      <c r="T14" s="707" t="s">
        <v>17</v>
      </c>
      <c r="U14" s="708">
        <f t="shared" si="1"/>
        <v>100</v>
      </c>
      <c r="V14" s="707" t="s">
        <v>17</v>
      </c>
      <c r="W14" s="708">
        <f t="shared" si="2"/>
        <v>100</v>
      </c>
      <c r="X14" s="709"/>
      <c r="Y14" s="3771"/>
      <c r="Z14" s="55">
        <f t="shared" si="7"/>
        <v>111</v>
      </c>
      <c r="AA14" s="710">
        <f t="shared" si="3"/>
        <v>1</v>
      </c>
      <c r="AB14" s="710">
        <f t="shared" si="4"/>
        <v>1</v>
      </c>
      <c r="AC14" s="710">
        <f t="shared" si="5"/>
        <v>1</v>
      </c>
    </row>
    <row r="15" spans="1:29" ht="69">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761" t="s">
        <v>2321</v>
      </c>
      <c r="Q15" s="1501" t="str">
        <f t="shared" si="6"/>
        <v>产业集聚程度</v>
      </c>
      <c r="R15" s="711" t="s">
        <v>17</v>
      </c>
      <c r="S15" s="712">
        <f t="shared" si="0"/>
        <v>100</v>
      </c>
      <c r="T15" s="711" t="s">
        <v>17</v>
      </c>
      <c r="U15" s="712">
        <f t="shared" si="1"/>
        <v>100</v>
      </c>
      <c r="V15" s="711" t="s">
        <v>17</v>
      </c>
      <c r="W15" s="712">
        <f t="shared" si="2"/>
        <v>100</v>
      </c>
      <c r="X15" s="1504"/>
      <c r="Y15" s="3761"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762"/>
      <c r="Q16" s="1501"/>
      <c r="R16" s="711"/>
      <c r="S16" s="712"/>
      <c r="T16" s="711"/>
      <c r="U16" s="712"/>
      <c r="V16" s="711"/>
      <c r="W16" s="712"/>
      <c r="X16" s="1504"/>
      <c r="Y16" s="3762"/>
      <c r="Z16" s="1505"/>
      <c r="AA16" s="1502">
        <v>1</v>
      </c>
      <c r="AB16" s="1502">
        <v>1</v>
      </c>
      <c r="AC16" s="1502">
        <v>1</v>
      </c>
    </row>
    <row r="17" spans="1:29" ht="96.6">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762"/>
      <c r="Q17" s="1501" t="str">
        <f>B17</f>
        <v>交通便捷度</v>
      </c>
      <c r="R17" s="711" t="s">
        <v>17</v>
      </c>
      <c r="S17" s="712">
        <f>F17</f>
        <v>100</v>
      </c>
      <c r="T17" s="711" t="s">
        <v>17</v>
      </c>
      <c r="U17" s="712">
        <f>H17</f>
        <v>100</v>
      </c>
      <c r="V17" s="711" t="s">
        <v>17</v>
      </c>
      <c r="W17" s="712">
        <f>J17</f>
        <v>100</v>
      </c>
      <c r="X17" s="1504"/>
      <c r="Y17" s="3762"/>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762"/>
      <c r="Q18" s="1501"/>
      <c r="R18" s="711"/>
      <c r="S18" s="712"/>
      <c r="T18" s="711"/>
      <c r="U18" s="712"/>
      <c r="V18" s="711"/>
      <c r="W18" s="712"/>
      <c r="X18" s="1504"/>
      <c r="Y18" s="3762"/>
      <c r="Z18" s="1505"/>
      <c r="AA18" s="1502">
        <v>1</v>
      </c>
      <c r="AB18" s="1502">
        <v>1</v>
      </c>
      <c r="AC18" s="1502">
        <v>1</v>
      </c>
    </row>
    <row r="19" spans="1:29" ht="28.8">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762"/>
      <c r="Q19" s="1501" t="str">
        <f t="shared" ref="Q19:Q33" si="8">B19</f>
        <v>区域土地利用方向</v>
      </c>
      <c r="R19" s="711" t="s">
        <v>17</v>
      </c>
      <c r="S19" s="712">
        <f>F19</f>
        <v>100</v>
      </c>
      <c r="T19" s="711" t="s">
        <v>17</v>
      </c>
      <c r="U19" s="712">
        <f>H19</f>
        <v>100</v>
      </c>
      <c r="V19" s="711" t="s">
        <v>17</v>
      </c>
      <c r="W19" s="712">
        <f>J19</f>
        <v>100</v>
      </c>
      <c r="X19" s="1504"/>
      <c r="Y19" s="3762"/>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762"/>
      <c r="Q20" s="1501"/>
      <c r="R20" s="711"/>
      <c r="S20" s="712"/>
      <c r="T20" s="711"/>
      <c r="U20" s="712"/>
      <c r="V20" s="711"/>
      <c r="W20" s="712"/>
      <c r="X20" s="1504"/>
      <c r="Y20" s="3762"/>
      <c r="Z20" s="1505"/>
      <c r="AA20" s="1502"/>
      <c r="AB20" s="1502"/>
      <c r="AC20" s="1502"/>
    </row>
    <row r="21" spans="1:29" ht="82.8">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762"/>
      <c r="Q21" s="1501" t="str">
        <f t="shared" si="8"/>
        <v>环境状况</v>
      </c>
      <c r="R21" s="711" t="s">
        <v>17</v>
      </c>
      <c r="S21" s="712">
        <f>F21</f>
        <v>100</v>
      </c>
      <c r="T21" s="711" t="s">
        <v>17</v>
      </c>
      <c r="U21" s="712">
        <f>H21</f>
        <v>100</v>
      </c>
      <c r="V21" s="711" t="s">
        <v>17</v>
      </c>
      <c r="W21" s="712">
        <f>J21</f>
        <v>100</v>
      </c>
      <c r="X21" s="1504"/>
      <c r="Y21" s="3762"/>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762"/>
      <c r="Q22" s="1501"/>
      <c r="R22" s="711"/>
      <c r="S22" s="712"/>
      <c r="T22" s="711"/>
      <c r="U22" s="712"/>
      <c r="V22" s="711"/>
      <c r="W22" s="712"/>
      <c r="X22" s="1504"/>
      <c r="Y22" s="3762"/>
      <c r="Z22" s="1505"/>
      <c r="AA22" s="1502">
        <v>1</v>
      </c>
      <c r="AB22" s="1502">
        <v>1</v>
      </c>
      <c r="AC22" s="1502">
        <v>1</v>
      </c>
    </row>
    <row r="23" spans="1:29" s="111" customFormat="1" ht="41.4">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762"/>
      <c r="Q23" s="1492" t="str">
        <f t="shared" si="8"/>
        <v>公共配套设施</v>
      </c>
      <c r="R23" s="707" t="s">
        <v>17</v>
      </c>
      <c r="S23" s="708">
        <f>F23</f>
        <v>100</v>
      </c>
      <c r="T23" s="707" t="s">
        <v>17</v>
      </c>
      <c r="U23" s="708">
        <f>H23</f>
        <v>100</v>
      </c>
      <c r="V23" s="707" t="s">
        <v>17</v>
      </c>
      <c r="W23" s="708">
        <f>J23</f>
        <v>100</v>
      </c>
      <c r="X23" s="709"/>
      <c r="Y23" s="3762"/>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762"/>
      <c r="Q24" s="1492"/>
      <c r="R24" s="707"/>
      <c r="S24" s="708"/>
      <c r="T24" s="707"/>
      <c r="U24" s="708"/>
      <c r="V24" s="707"/>
      <c r="W24" s="708"/>
      <c r="X24" s="709"/>
      <c r="Y24" s="3762"/>
      <c r="Z24" s="55"/>
      <c r="AA24" s="710">
        <v>1</v>
      </c>
      <c r="AB24" s="710">
        <v>1</v>
      </c>
      <c r="AC24" s="710">
        <v>1</v>
      </c>
    </row>
    <row r="25" spans="1:29" s="111" customFormat="1" ht="41.4">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762"/>
      <c r="Q25" s="1492" t="str">
        <f t="shared" ref="Q25" si="9">B25</f>
        <v>基础设施水平</v>
      </c>
      <c r="R25" s="707" t="s">
        <v>17</v>
      </c>
      <c r="S25" s="708">
        <f>F25</f>
        <v>100</v>
      </c>
      <c r="T25" s="707" t="s">
        <v>17</v>
      </c>
      <c r="U25" s="708">
        <f>H25</f>
        <v>100</v>
      </c>
      <c r="V25" s="707" t="s">
        <v>17</v>
      </c>
      <c r="W25" s="708">
        <f>J25</f>
        <v>100</v>
      </c>
      <c r="X25" s="709"/>
      <c r="Y25" s="3762"/>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762"/>
      <c r="Q26" s="1492"/>
      <c r="R26" s="707"/>
      <c r="S26" s="708"/>
      <c r="T26" s="707"/>
      <c r="U26" s="708"/>
      <c r="V26" s="707"/>
      <c r="W26" s="708"/>
      <c r="X26" s="709"/>
      <c r="Y26" s="3762"/>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762"/>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762"/>
      <c r="Z27" s="1505" t="str">
        <f t="shared" ref="Z27:Z40" si="13">Q27</f>
        <v>临街状况</v>
      </c>
      <c r="AA27" s="1502">
        <f t="shared" si="3"/>
        <v>1</v>
      </c>
      <c r="AB27" s="1502">
        <f t="shared" si="4"/>
        <v>1</v>
      </c>
      <c r="AC27" s="1502">
        <f t="shared" si="5"/>
        <v>1</v>
      </c>
    </row>
    <row r="28" spans="1:29" ht="28.8">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762"/>
      <c r="Q28" s="1501" t="str">
        <f t="shared" si="8"/>
        <v>毗邻道路的类型与等级</v>
      </c>
      <c r="R28" s="711" t="s">
        <v>17</v>
      </c>
      <c r="S28" s="712">
        <f t="shared" si="10"/>
        <v>100</v>
      </c>
      <c r="T28" s="711" t="s">
        <v>17</v>
      </c>
      <c r="U28" s="712">
        <f t="shared" si="11"/>
        <v>100</v>
      </c>
      <c r="V28" s="711" t="s">
        <v>17</v>
      </c>
      <c r="W28" s="712">
        <f t="shared" si="12"/>
        <v>100</v>
      </c>
      <c r="X28" s="1504"/>
      <c r="Y28" s="3762"/>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762"/>
      <c r="Q29" s="1501"/>
      <c r="R29" s="711"/>
      <c r="S29" s="712"/>
      <c r="T29" s="711"/>
      <c r="U29" s="712"/>
      <c r="V29" s="711"/>
      <c r="W29" s="712"/>
      <c r="X29" s="1504"/>
      <c r="Y29" s="3762"/>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762"/>
      <c r="Q30" s="1501" t="str">
        <f t="shared" si="8"/>
        <v>土地级别</v>
      </c>
      <c r="R30" s="711" t="s">
        <v>17</v>
      </c>
      <c r="S30" s="712">
        <f t="shared" si="10"/>
        <v>100</v>
      </c>
      <c r="T30" s="711" t="s">
        <v>17</v>
      </c>
      <c r="U30" s="712">
        <f t="shared" si="11"/>
        <v>100</v>
      </c>
      <c r="V30" s="711" t="s">
        <v>17</v>
      </c>
      <c r="W30" s="712">
        <f t="shared" si="12"/>
        <v>100</v>
      </c>
      <c r="X30" s="1504"/>
      <c r="Y30" s="3762"/>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762"/>
      <c r="Q31" s="1501">
        <f t="shared" si="8"/>
        <v>111</v>
      </c>
      <c r="R31" s="711" t="s">
        <v>17</v>
      </c>
      <c r="S31" s="712">
        <f t="shared" si="10"/>
        <v>100</v>
      </c>
      <c r="T31" s="711" t="s">
        <v>17</v>
      </c>
      <c r="U31" s="712">
        <f t="shared" si="11"/>
        <v>100</v>
      </c>
      <c r="V31" s="711" t="s">
        <v>17</v>
      </c>
      <c r="W31" s="712">
        <f t="shared" si="12"/>
        <v>100</v>
      </c>
      <c r="X31" s="1504"/>
      <c r="Y31" s="3762"/>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818" t="s">
        <v>2326</v>
      </c>
      <c r="Q32" s="1501">
        <f t="shared" si="8"/>
        <v>111</v>
      </c>
      <c r="R32" s="711" t="s">
        <v>17</v>
      </c>
      <c r="S32" s="712">
        <f t="shared" si="10"/>
        <v>100</v>
      </c>
      <c r="T32" s="711" t="s">
        <v>17</v>
      </c>
      <c r="U32" s="712">
        <f t="shared" si="11"/>
        <v>100</v>
      </c>
      <c r="V32" s="711" t="s">
        <v>17</v>
      </c>
      <c r="W32" s="712">
        <f t="shared" si="12"/>
        <v>100</v>
      </c>
      <c r="X32" s="1504"/>
      <c r="Y32" s="3766" t="s">
        <v>2326</v>
      </c>
      <c r="Z32" s="1505">
        <f t="shared" si="13"/>
        <v>111</v>
      </c>
      <c r="AA32" s="1502">
        <f t="shared" si="3"/>
        <v>1</v>
      </c>
      <c r="AB32" s="1502">
        <f t="shared" si="4"/>
        <v>1</v>
      </c>
      <c r="AC32" s="1502">
        <f t="shared" si="5"/>
        <v>1</v>
      </c>
    </row>
    <row r="33" spans="1:31" s="428" customFormat="1" ht="15.6"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766"/>
      <c r="Q33" s="1501">
        <f t="shared" si="8"/>
        <v>111</v>
      </c>
      <c r="R33" s="714" t="s">
        <v>17</v>
      </c>
      <c r="S33" s="715">
        <f t="shared" si="10"/>
        <v>100</v>
      </c>
      <c r="T33" s="714" t="s">
        <v>17</v>
      </c>
      <c r="U33" s="715">
        <f t="shared" si="11"/>
        <v>100</v>
      </c>
      <c r="V33" s="714" t="s">
        <v>17</v>
      </c>
      <c r="W33" s="715">
        <f t="shared" si="12"/>
        <v>100</v>
      </c>
      <c r="X33" s="716"/>
      <c r="Y33" s="3766"/>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766"/>
      <c r="Q34" s="1501" t="str">
        <f>B34</f>
        <v>宗地面积</v>
      </c>
      <c r="R34" s="711" t="s">
        <v>17</v>
      </c>
      <c r="S34" s="712" t="e">
        <f t="shared" si="10"/>
        <v>#N/A</v>
      </c>
      <c r="T34" s="711" t="s">
        <v>17</v>
      </c>
      <c r="U34" s="712" t="e">
        <f t="shared" si="11"/>
        <v>#N/A</v>
      </c>
      <c r="V34" s="711" t="s">
        <v>17</v>
      </c>
      <c r="W34" s="712" t="e">
        <f t="shared" si="12"/>
        <v>#N/A</v>
      </c>
      <c r="X34" s="1504"/>
      <c r="Y34" s="3766"/>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766"/>
      <c r="Q35" s="1501" t="str">
        <f t="shared" ref="Q35:Q40" si="14">B35</f>
        <v>宗地形状</v>
      </c>
      <c r="R35" s="711" t="s">
        <v>17</v>
      </c>
      <c r="S35" s="712">
        <f t="shared" si="10"/>
        <v>100</v>
      </c>
      <c r="T35" s="711" t="s">
        <v>17</v>
      </c>
      <c r="U35" s="712">
        <f t="shared" si="11"/>
        <v>100</v>
      </c>
      <c r="V35" s="711" t="s">
        <v>17</v>
      </c>
      <c r="W35" s="712">
        <f t="shared" si="12"/>
        <v>100</v>
      </c>
      <c r="X35" s="1504"/>
      <c r="Y35" s="3766"/>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766"/>
      <c r="Q36" s="1501" t="str">
        <f t="shared" si="14"/>
        <v>宗地开发程度</v>
      </c>
      <c r="R36" s="707" t="s">
        <v>17</v>
      </c>
      <c r="S36" s="708">
        <f t="shared" si="10"/>
        <v>100</v>
      </c>
      <c r="T36" s="707" t="s">
        <v>17</v>
      </c>
      <c r="U36" s="708">
        <f t="shared" si="11"/>
        <v>100</v>
      </c>
      <c r="V36" s="707" t="s">
        <v>17</v>
      </c>
      <c r="W36" s="708">
        <f t="shared" si="12"/>
        <v>100</v>
      </c>
      <c r="X36" s="709"/>
      <c r="Y36" s="3766"/>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766" t="s">
        <v>2326</v>
      </c>
      <c r="Q37" s="1501" t="str">
        <f t="shared" si="14"/>
        <v>工程地质条件</v>
      </c>
      <c r="R37" s="711" t="s">
        <v>17</v>
      </c>
      <c r="S37" s="712">
        <f t="shared" si="10"/>
        <v>100</v>
      </c>
      <c r="T37" s="711" t="s">
        <v>17</v>
      </c>
      <c r="U37" s="712">
        <f t="shared" si="11"/>
        <v>100</v>
      </c>
      <c r="V37" s="711" t="s">
        <v>17</v>
      </c>
      <c r="W37" s="712">
        <f t="shared" si="12"/>
        <v>100</v>
      </c>
      <c r="X37" s="1504"/>
      <c r="Y37" s="3766"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766"/>
      <c r="Q38" s="1501">
        <f t="shared" si="14"/>
        <v>111</v>
      </c>
      <c r="R38" s="711" t="s">
        <v>17</v>
      </c>
      <c r="S38" s="712">
        <f t="shared" si="10"/>
        <v>100</v>
      </c>
      <c r="T38" s="711" t="s">
        <v>17</v>
      </c>
      <c r="U38" s="712">
        <f t="shared" si="11"/>
        <v>100</v>
      </c>
      <c r="V38" s="711" t="s">
        <v>17</v>
      </c>
      <c r="W38" s="712">
        <f t="shared" si="12"/>
        <v>100</v>
      </c>
      <c r="X38" s="1504"/>
      <c r="Y38" s="3766"/>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766"/>
      <c r="Q39" s="1501">
        <f t="shared" si="14"/>
        <v>111</v>
      </c>
      <c r="R39" s="711" t="s">
        <v>17</v>
      </c>
      <c r="S39" s="712">
        <f t="shared" si="10"/>
        <v>100</v>
      </c>
      <c r="T39" s="711" t="s">
        <v>17</v>
      </c>
      <c r="U39" s="712">
        <f t="shared" si="11"/>
        <v>100</v>
      </c>
      <c r="V39" s="711" t="s">
        <v>17</v>
      </c>
      <c r="W39" s="712">
        <f t="shared" si="12"/>
        <v>100</v>
      </c>
      <c r="X39" s="1504"/>
      <c r="Y39" s="3766"/>
      <c r="Z39" s="1505">
        <f t="shared" si="13"/>
        <v>111</v>
      </c>
      <c r="AA39" s="1502">
        <f t="shared" si="3"/>
        <v>1</v>
      </c>
      <c r="AB39" s="1502">
        <f t="shared" si="4"/>
        <v>1</v>
      </c>
      <c r="AC39" s="1502">
        <f t="shared" si="5"/>
        <v>1</v>
      </c>
    </row>
    <row r="40" spans="1:31" s="428" customFormat="1" ht="15.6"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766"/>
      <c r="Q40" s="1501">
        <f t="shared" si="14"/>
        <v>111</v>
      </c>
      <c r="R40" s="714" t="s">
        <v>17</v>
      </c>
      <c r="S40" s="715">
        <f t="shared" si="10"/>
        <v>100</v>
      </c>
      <c r="T40" s="714" t="s">
        <v>17</v>
      </c>
      <c r="U40" s="715">
        <f t="shared" si="11"/>
        <v>100</v>
      </c>
      <c r="V40" s="714" t="s">
        <v>17</v>
      </c>
      <c r="W40" s="715">
        <f t="shared" si="12"/>
        <v>100</v>
      </c>
      <c r="X40" s="716"/>
      <c r="Y40" s="3766"/>
      <c r="Z40" s="717">
        <f t="shared" si="13"/>
        <v>111</v>
      </c>
      <c r="AA40" s="1502">
        <f t="shared" si="3"/>
        <v>1</v>
      </c>
      <c r="AB40" s="1502">
        <f t="shared" si="4"/>
        <v>1</v>
      </c>
      <c r="AC40" s="1502">
        <f t="shared" si="5"/>
        <v>1</v>
      </c>
    </row>
    <row r="41" spans="1:31" ht="14.4">
      <c r="A41" s="436" t="s">
        <v>2481</v>
      </c>
      <c r="B41" s="2133" t="s">
        <v>2560</v>
      </c>
      <c r="C41" s="636" t="s">
        <v>1</v>
      </c>
      <c r="D41" s="438"/>
      <c r="E41" s="439"/>
      <c r="F41" s="440"/>
      <c r="G41" s="441"/>
      <c r="H41" s="442"/>
      <c r="I41" s="439"/>
      <c r="J41" s="442"/>
      <c r="K41" s="720"/>
      <c r="L41" s="2916"/>
      <c r="M41" s="2908"/>
      <c r="N41" s="2908"/>
      <c r="O41" s="2917"/>
      <c r="P41" s="3759" t="str">
        <f>A41</f>
        <v>成交单价</v>
      </c>
      <c r="Q41" s="3759"/>
      <c r="R41" s="3791">
        <f>E41</f>
        <v>0</v>
      </c>
      <c r="S41" s="3791"/>
      <c r="T41" s="3791">
        <f>G41</f>
        <v>0</v>
      </c>
      <c r="U41" s="3791"/>
      <c r="V41" s="3791">
        <f>I41</f>
        <v>0</v>
      </c>
      <c r="W41" s="3791"/>
      <c r="X41" s="696"/>
      <c r="Y41" s="718"/>
      <c r="Z41" s="696"/>
      <c r="AA41" s="696"/>
      <c r="AB41" s="696"/>
      <c r="AC41" s="696"/>
    </row>
    <row r="42" spans="1:31" ht="1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759" t="str">
        <f>A42</f>
        <v>比较价值（元/平方米）</v>
      </c>
      <c r="Q42" s="3759"/>
      <c r="R42" s="3847" t="e">
        <f>ROUND(PRODUCT(R41,AA7:AA40),0)</f>
        <v>#DIV/0!</v>
      </c>
      <c r="S42" s="3847"/>
      <c r="T42" s="3847" t="e">
        <f>ROUND(PRODUCT(T41,AB7:AB40),0)</f>
        <v>#DIV/0!</v>
      </c>
      <c r="U42" s="3847"/>
      <c r="V42" s="3847" t="e">
        <f>ROUND(PRODUCT(V41,AC7:AC40),0)</f>
        <v>#DIV/0!</v>
      </c>
      <c r="W42" s="3847"/>
      <c r="X42" s="696"/>
      <c r="Y42" s="696"/>
      <c r="Z42" s="696"/>
      <c r="AA42" s="696"/>
      <c r="AB42" s="696"/>
      <c r="AC42" s="696"/>
    </row>
    <row r="43" spans="1:31" ht="15" thickBot="1">
      <c r="A43" s="447" t="s">
        <v>2431</v>
      </c>
      <c r="B43" s="448"/>
      <c r="C43" s="449" t="e">
        <f>R43</f>
        <v>#DIV/0!</v>
      </c>
      <c r="D43" s="449"/>
      <c r="E43" s="449"/>
      <c r="F43" s="449"/>
      <c r="G43" s="449"/>
      <c r="H43" s="449"/>
      <c r="I43" s="449"/>
      <c r="J43" s="449"/>
      <c r="K43" s="721"/>
      <c r="L43" s="2916"/>
      <c r="M43" s="2908"/>
      <c r="N43" s="2908"/>
      <c r="O43" s="2917"/>
      <c r="P43" s="3756" t="str">
        <f>A43</f>
        <v>估价对象XX用房的比较价值（楼面单价，元/平方米）</v>
      </c>
      <c r="Q43" s="3757"/>
      <c r="R43" s="3848" t="e">
        <f>ROUND(IF(D42="简单平均",AVERAGE(R42:W42),R42*F42+T42*H42+V42*J42),0)</f>
        <v>#DIV/0!</v>
      </c>
      <c r="S43" s="3848"/>
      <c r="T43" s="3848"/>
      <c r="U43" s="3848"/>
      <c r="V43" s="3848"/>
      <c r="W43" s="3848"/>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4.4"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8.8">
      <c r="A50" s="638" t="s">
        <v>2518</v>
      </c>
      <c r="B50" s="639" t="s">
        <v>2519</v>
      </c>
      <c r="C50" s="2134" t="s">
        <v>2520</v>
      </c>
      <c r="D50" s="2135" t="s">
        <v>2521</v>
      </c>
      <c r="E50" s="640" t="s">
        <v>2522</v>
      </c>
      <c r="F50" s="641" t="s">
        <v>2523</v>
      </c>
      <c r="G50" s="3775" t="s">
        <v>2524</v>
      </c>
      <c r="H50" s="3849"/>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46810</v>
      </c>
      <c r="F51" s="645" t="e">
        <f t="shared" ref="F51:F60" si="15">ROUND(B51*E51/10000,0)</f>
        <v>#DIV/0!</v>
      </c>
      <c r="G51" s="3770"/>
      <c r="H51" s="3759"/>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v>
      </c>
      <c r="D52" s="1073">
        <v>0.25</v>
      </c>
      <c r="E52" s="648"/>
      <c r="F52" s="645" t="e">
        <f t="shared" si="15"/>
        <v>#DIV/0!</v>
      </c>
      <c r="G52" s="3850" t="s">
        <v>2529</v>
      </c>
      <c r="H52" s="1015">
        <f>项目基本情况!B37</f>
        <v>0</v>
      </c>
      <c r="I52" s="876">
        <f>SUMIF(修正!A45:A56,H52,修正!B45:B56)</f>
        <v>0</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v>
      </c>
      <c r="D53" s="1073">
        <v>0.25</v>
      </c>
      <c r="E53" s="648"/>
      <c r="F53" s="645" t="e">
        <f t="shared" si="15"/>
        <v>#DIV/0!</v>
      </c>
      <c r="G53" s="3850"/>
      <c r="H53" s="1015">
        <f>项目基本情况!B37</f>
        <v>0</v>
      </c>
      <c r="I53" s="876">
        <f>SUMIF(修正!A45:A56,H53,修正!C45:C56)</f>
        <v>0</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v>
      </c>
      <c r="D54" s="1073">
        <v>0.25</v>
      </c>
      <c r="E54" s="648"/>
      <c r="F54" s="645" t="e">
        <f t="shared" si="15"/>
        <v>#DIV/0!</v>
      </c>
      <c r="G54" s="3850"/>
      <c r="H54" s="1015">
        <f>项目基本情况!B37</f>
        <v>0</v>
      </c>
      <c r="I54" s="876">
        <f>SUMIF(修正!A45:A56,H54,修正!D45:D56)</f>
        <v>0</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v>
      </c>
      <c r="D55" s="1073">
        <v>0.25</v>
      </c>
      <c r="E55" s="648"/>
      <c r="F55" s="645" t="e">
        <f t="shared" si="15"/>
        <v>#DIV/0!</v>
      </c>
      <c r="G55" s="3850"/>
      <c r="H55" s="1015">
        <f>项目基本情况!B37</f>
        <v>0</v>
      </c>
      <c r="I55" s="876">
        <f>SUMIF(修正!A45:A56,H55,修正!E45:E56)</f>
        <v>0</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v>
      </c>
      <c r="D56" s="1073">
        <v>0.25</v>
      </c>
      <c r="E56" s="221">
        <f>'数据-汇总表'!E11</f>
        <v>0</v>
      </c>
      <c r="F56" s="645" t="e">
        <f t="shared" si="15"/>
        <v>#DIV/0!</v>
      </c>
      <c r="G56" s="2138" t="s">
        <v>2534</v>
      </c>
      <c r="H56" s="1015">
        <f>项目基本情况!C37</f>
        <v>0</v>
      </c>
      <c r="I56" s="876">
        <f>SUMIF(修正!A45:A56,H56,修正!F45:F56)</f>
        <v>0</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v>
      </c>
      <c r="D57" s="1073">
        <v>0.25</v>
      </c>
      <c r="E57" s="221">
        <f>'数据-汇总表'!E12</f>
        <v>0</v>
      </c>
      <c r="F57" s="645" t="e">
        <f t="shared" si="15"/>
        <v>#DIV/0!</v>
      </c>
      <c r="G57" s="1020" t="s">
        <v>2536</v>
      </c>
      <c r="H57" s="1015">
        <f>IF(G57="商业",项目基本情况!B37,IF(G57="办公",项目基本情况!C37,IF(G57="住宅",项目基本情况!D37,项目基本情况!E37)))</f>
        <v>0</v>
      </c>
      <c r="I57" s="876">
        <f>SUMIF(修正!A45:A56,H57,修正!G45:G56)</f>
        <v>0</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三级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v>
      </c>
      <c r="D59" s="1073">
        <v>0.25</v>
      </c>
      <c r="E59" s="221">
        <f>'数据-汇总表'!E14</f>
        <v>0</v>
      </c>
      <c r="F59" s="645" t="e">
        <f t="shared" si="15"/>
        <v>#DIV/0!</v>
      </c>
      <c r="G59" s="2138" t="s">
        <v>2529</v>
      </c>
      <c r="H59" s="1015">
        <f>项目基本情况!B37</f>
        <v>0</v>
      </c>
      <c r="I59" s="876">
        <f>SUMIF(修正!A45:A56,H59,修正!H45:H56)</f>
        <v>0</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4.4" thickBot="1">
      <c r="A60" s="647" t="s">
        <v>2540</v>
      </c>
      <c r="B60" s="222" t="e">
        <f t="shared" si="17"/>
        <v>#DIV/0!</v>
      </c>
      <c r="C60" s="174">
        <f t="shared" si="16"/>
        <v>0</v>
      </c>
      <c r="D60" s="1073">
        <v>0.25</v>
      </c>
      <c r="E60" s="221">
        <f>'数据-汇总表'!E15</f>
        <v>0</v>
      </c>
      <c r="F60" s="645" t="e">
        <f t="shared" si="15"/>
        <v>#DIV/0!</v>
      </c>
      <c r="G60" s="2139" t="s">
        <v>2534</v>
      </c>
      <c r="H60" s="1025">
        <f>项目基本情况!C37</f>
        <v>0</v>
      </c>
      <c r="I60" s="876">
        <f>SUMIF(修正!A45:A56,H60,修正!H45:H56)</f>
        <v>0</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4.4" thickBot="1">
      <c r="A61" s="649" t="s">
        <v>2541</v>
      </c>
      <c r="B61" s="650" t="s">
        <v>28</v>
      </c>
      <c r="C61" s="650" t="s">
        <v>29</v>
      </c>
      <c r="D61" s="650" t="s">
        <v>997</v>
      </c>
      <c r="E61" s="650">
        <f>IF(B41="楼面地价",SUM(E51:E60),'数据-汇总表'!D3)</f>
        <v>21500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2018-6-1</v>
      </c>
      <c r="D63" s="698">
        <f>EDATE(C63,-3)</f>
        <v>43160</v>
      </c>
      <c r="E63" s="698">
        <f>EDATE(D63,-3)</f>
        <v>43070</v>
      </c>
      <c r="F63" s="698">
        <f t="shared" ref="F63:O63" si="18">EDATE(E63,-3)</f>
        <v>42979</v>
      </c>
      <c r="G63" s="698">
        <f t="shared" si="18"/>
        <v>42887</v>
      </c>
      <c r="H63" s="698">
        <f t="shared" si="18"/>
        <v>42795</v>
      </c>
      <c r="I63" s="698">
        <f t="shared" si="18"/>
        <v>42705</v>
      </c>
      <c r="J63" s="698">
        <f t="shared" si="18"/>
        <v>42614</v>
      </c>
      <c r="K63" s="698">
        <f t="shared" si="18"/>
        <v>42522</v>
      </c>
      <c r="L63" s="698">
        <f t="shared" si="18"/>
        <v>42430</v>
      </c>
      <c r="M63" s="698">
        <f t="shared" si="18"/>
        <v>42339</v>
      </c>
      <c r="N63" s="698">
        <f t="shared" si="18"/>
        <v>42248</v>
      </c>
      <c r="O63" s="698">
        <f t="shared" si="18"/>
        <v>42156</v>
      </c>
      <c r="P63" s="2917"/>
      <c r="Q63" s="2917"/>
      <c r="R63" s="2917"/>
      <c r="S63" s="2917"/>
      <c r="T63" s="2917"/>
      <c r="U63" s="2917"/>
      <c r="V63" s="2917"/>
      <c r="W63" s="2917"/>
      <c r="X63" s="2917"/>
      <c r="Y63" s="2917"/>
      <c r="Z63" s="2917"/>
      <c r="AA63" s="2917"/>
      <c r="AB63" s="2917"/>
      <c r="AC63" s="2917"/>
      <c r="AD63" s="2917"/>
      <c r="AE63" s="2917"/>
    </row>
    <row r="64" spans="1:31" ht="22.2"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4.4">
      <c r="A65" s="2140" t="s">
        <v>2542</v>
      </c>
      <c r="B65" s="1236"/>
      <c r="C65" s="1311" t="str">
        <f>YEAR(C63)&amp;"-"&amp;ROUNDUP(MONTH(C63)/3,0)</f>
        <v>2018-2</v>
      </c>
      <c r="D65" s="1311" t="str">
        <f t="shared" ref="D65:O65" si="19">YEAR(D63)&amp;"-"&amp;ROUNDUP(MONTH(D63)/3,0)</f>
        <v>2018-1</v>
      </c>
      <c r="E65" s="1311" t="str">
        <f t="shared" si="19"/>
        <v>2017-4</v>
      </c>
      <c r="F65" s="1311" t="str">
        <f t="shared" si="19"/>
        <v>2017-3</v>
      </c>
      <c r="G65" s="1311" t="str">
        <f t="shared" si="19"/>
        <v>2017-2</v>
      </c>
      <c r="H65" s="1311" t="str">
        <f t="shared" si="19"/>
        <v>2017-1</v>
      </c>
      <c r="I65" s="1311" t="str">
        <f t="shared" si="19"/>
        <v>2016-4</v>
      </c>
      <c r="J65" s="1311" t="str">
        <f t="shared" si="19"/>
        <v>2016-3</v>
      </c>
      <c r="K65" s="1311" t="str">
        <f t="shared" si="19"/>
        <v>2016-2</v>
      </c>
      <c r="L65" s="1311" t="str">
        <f t="shared" si="19"/>
        <v>2016-1</v>
      </c>
      <c r="M65" s="1311" t="str">
        <f t="shared" si="19"/>
        <v>2015-4</v>
      </c>
      <c r="N65" s="1311" t="str">
        <f t="shared" si="19"/>
        <v>2015-3</v>
      </c>
      <c r="O65" s="1311" t="str">
        <f t="shared" si="19"/>
        <v>2015-2</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北京市平均增长率1.49%</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4.4">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4.4"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ht="14.4">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4.4"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9.4"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4.4"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4.4"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4.4"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4.4"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4.4"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4.4"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4.4"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4.4"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ht="14.4">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4.4"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4.4"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29.4"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4.4"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9.4"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4.4"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4.4"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4.4"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4.4"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9.4"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4.4"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4.4"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4.4"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4.4"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4.4"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4.4"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4.4"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4.4"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ht="14.4">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4.4"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4.4"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4.4"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4.4"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4.4"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4.4"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4.4"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4.4"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4.4"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4.4"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2" customWidth="1"/>
    <col min="2" max="2" width="37.21875" style="1642" customWidth="1"/>
    <col min="3" max="3" width="11.33203125" style="1642" customWidth="1"/>
    <col min="4" max="4" width="31.77734375" style="1642" customWidth="1"/>
    <col min="5" max="5" width="0.44140625" style="1642" customWidth="1"/>
    <col min="6" max="7" width="13" style="1642" customWidth="1"/>
    <col min="8" max="16384" width="9" style="1642"/>
  </cols>
  <sheetData>
    <row r="1" spans="1:5" ht="17.399999999999999">
      <c r="A1" s="1640" t="s">
        <v>1526</v>
      </c>
      <c r="B1" s="1641"/>
      <c r="C1" s="1641"/>
      <c r="D1" s="1641"/>
      <c r="E1" s="1641"/>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6"/>
      <c r="C2" s="3556"/>
      <c r="D2" s="3556"/>
      <c r="E2" s="3556"/>
    </row>
    <row r="3" spans="1:5" ht="17.399999999999999">
      <c r="A3" s="3557" t="str">
        <f>IF(项目基本情况!B9="房地产市场价值","估价结果一览表（市场价值不需“结果表-1”）","估价结果一览表")</f>
        <v>估价结果一览表（市场价值不需“结果表-1”）</v>
      </c>
      <c r="B3" s="3557"/>
      <c r="C3" s="3557"/>
      <c r="D3" s="3557"/>
      <c r="E3" s="3557"/>
    </row>
    <row r="4" spans="1:5" ht="18" thickBot="1">
      <c r="A4" s="1643"/>
      <c r="B4" s="3555" t="s">
        <v>1535</v>
      </c>
      <c r="C4" s="3555"/>
      <c r="D4" s="3555"/>
      <c r="E4" s="1643"/>
    </row>
    <row r="5" spans="1:5" ht="16.2" thickTop="1">
      <c r="A5" s="1641"/>
      <c r="B5" s="3553" t="s">
        <v>1527</v>
      </c>
      <c r="C5" s="1644" t="s">
        <v>1528</v>
      </c>
      <c r="D5" s="956" t="e">
        <f ca="1">结果表!H101</f>
        <v>#REF!</v>
      </c>
      <c r="E5" s="1641"/>
    </row>
    <row r="6" spans="1:5" ht="15.6">
      <c r="A6" s="1641"/>
      <c r="B6" s="3553"/>
      <c r="C6" s="1644" t="s">
        <v>1529</v>
      </c>
      <c r="D6" s="956" t="e">
        <f ca="1">NUMBERSTRING(INT(D5*10000),2)&amp;"元整"</f>
        <v>#REF!</v>
      </c>
      <c r="E6" s="1641"/>
    </row>
    <row r="7" spans="1:5" ht="15.6">
      <c r="A7" s="1641"/>
      <c r="B7" s="3558"/>
      <c r="C7" s="1645" t="s">
        <v>1530</v>
      </c>
      <c r="D7" s="957" t="e">
        <f ca="1">结果表!H102</f>
        <v>#REF!</v>
      </c>
      <c r="E7" s="1641"/>
    </row>
    <row r="8" spans="1:5" ht="15.6">
      <c r="A8" s="1641"/>
      <c r="B8" s="3559" t="str">
        <f>结果表!E103</f>
        <v>2.估价师知悉的法定优先受偿款</v>
      </c>
      <c r="C8" s="1646" t="s">
        <v>1531</v>
      </c>
      <c r="D8" s="957">
        <f>结果表!H103</f>
        <v>0</v>
      </c>
      <c r="E8" s="1641"/>
    </row>
    <row r="9" spans="1:5" ht="15.6">
      <c r="A9" s="1641"/>
      <c r="B9" s="3561"/>
      <c r="C9" s="1644" t="s">
        <v>1529</v>
      </c>
      <c r="D9" s="956" t="str">
        <f>NUMBERSTRING(INT(D8*10000),2)&amp;"元整"</f>
        <v>零元整</v>
      </c>
      <c r="E9" s="1641"/>
    </row>
    <row r="10" spans="1:5" ht="15.6">
      <c r="A10" s="1641"/>
      <c r="B10" s="1647" t="s">
        <v>1534</v>
      </c>
      <c r="C10" s="1648" t="s">
        <v>1532</v>
      </c>
      <c r="D10" s="958">
        <f>结果表!H104</f>
        <v>0</v>
      </c>
      <c r="E10" s="1641"/>
    </row>
    <row r="11" spans="1:5" ht="15.6">
      <c r="A11" s="1641"/>
      <c r="B11" s="1647" t="s">
        <v>1536</v>
      </c>
      <c r="C11" s="1648" t="s">
        <v>1537</v>
      </c>
      <c r="D11" s="958">
        <f>结果表!H105</f>
        <v>0</v>
      </c>
      <c r="E11" s="1641"/>
    </row>
    <row r="12" spans="1:5" ht="15.6">
      <c r="A12" s="1641"/>
      <c r="B12" s="1647" t="s">
        <v>1538</v>
      </c>
      <c r="C12" s="1648" t="s">
        <v>1537</v>
      </c>
      <c r="D12" s="958">
        <f>结果表!H106</f>
        <v>0</v>
      </c>
      <c r="E12" s="1641"/>
    </row>
    <row r="13" spans="1:5" ht="15.6">
      <c r="A13" s="1641"/>
      <c r="B13" s="3552" t="str">
        <f>结果表!E107</f>
        <v>3.房地产抵押价值</v>
      </c>
      <c r="C13" s="1649" t="s">
        <v>1528</v>
      </c>
      <c r="D13" s="959" t="e">
        <f ca="1">结果表!H107</f>
        <v>#REF!</v>
      </c>
      <c r="E13" s="1641"/>
    </row>
    <row r="14" spans="1:5" ht="15.6">
      <c r="A14" s="1641"/>
      <c r="B14" s="3553"/>
      <c r="C14" s="1644" t="s">
        <v>1529</v>
      </c>
      <c r="D14" s="956" t="e">
        <f ca="1">NUMBERSTRING(INT(D13*10000),2)&amp;"元整"</f>
        <v>#REF!</v>
      </c>
      <c r="E14" s="1641"/>
    </row>
    <row r="15" spans="1:5" ht="15.6">
      <c r="A15" s="1641"/>
      <c r="B15" s="3558"/>
      <c r="C15" s="1645" t="s">
        <v>1539</v>
      </c>
      <c r="D15" s="965" t="e">
        <f ca="1">结果表!H108</f>
        <v>#REF!</v>
      </c>
      <c r="E15" s="1641"/>
    </row>
    <row r="16" spans="1:5" ht="15.6">
      <c r="A16" s="1641"/>
      <c r="B16" s="3559" t="str">
        <f>结果表!E109</f>
        <v>——</v>
      </c>
      <c r="C16" s="1649" t="s">
        <v>1540</v>
      </c>
      <c r="D16" s="1650" t="str">
        <f>结果表!H109</f>
        <v>——</v>
      </c>
      <c r="E16" s="1641"/>
    </row>
    <row r="17" spans="1:5" ht="15.6">
      <c r="A17" s="1641"/>
      <c r="B17" s="3560"/>
      <c r="C17" s="1644" t="s">
        <v>1541</v>
      </c>
      <c r="D17" s="956" t="e">
        <f>NUMBERSTRING(INT(D16*10000),2)&amp;"元整"</f>
        <v>#VALUE!</v>
      </c>
      <c r="E17" s="1641"/>
    </row>
    <row r="18" spans="1:5" ht="15.6">
      <c r="A18" s="1641"/>
      <c r="B18" s="3561"/>
      <c r="C18" s="1645" t="s">
        <v>1530</v>
      </c>
      <c r="D18" s="965" t="str">
        <f>结果表!H110</f>
        <v>——</v>
      </c>
      <c r="E18" s="1641"/>
    </row>
    <row r="19" spans="1:5" ht="15.6">
      <c r="A19" s="1641"/>
      <c r="B19" s="3552" t="str">
        <f>结果表!E111</f>
        <v>——</v>
      </c>
      <c r="C19" s="1649" t="s">
        <v>1528</v>
      </c>
      <c r="D19" s="957" t="str">
        <f>结果表!H111</f>
        <v>——</v>
      </c>
      <c r="E19" s="1641"/>
    </row>
    <row r="20" spans="1:5" ht="15.6">
      <c r="A20" s="1641"/>
      <c r="B20" s="3553"/>
      <c r="C20" s="1644" t="s">
        <v>1541</v>
      </c>
      <c r="D20" s="956" t="e">
        <f>NUMBERSTRING(INT(D19*10000),2)&amp;"元整"</f>
        <v>#VALUE!</v>
      </c>
      <c r="E20" s="1641"/>
    </row>
    <row r="21" spans="1:5" ht="16.2" thickBot="1">
      <c r="A21" s="1641"/>
      <c r="B21" s="3554"/>
      <c r="C21" s="1651" t="s">
        <v>1539</v>
      </c>
      <c r="D21" s="966" t="str">
        <f>结果表!H112</f>
        <v>——</v>
      </c>
      <c r="E21" s="1641"/>
    </row>
    <row r="22" spans="1:5" ht="14.4" thickTop="1">
      <c r="A22" s="1641"/>
      <c r="B22" s="1652" t="s">
        <v>1542</v>
      </c>
      <c r="C22" s="1641"/>
      <c r="D22" s="1641"/>
      <c r="E22" s="1641"/>
    </row>
    <row r="23" spans="1:5">
      <c r="A23" s="1641"/>
      <c r="B23" s="1641"/>
      <c r="C23" s="1641"/>
      <c r="D23" s="1641"/>
      <c r="E23" s="1641"/>
    </row>
    <row r="24" spans="1:5" ht="17.399999999999999">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2" customWidth="1"/>
    <col min="2" max="9" width="8.21875" style="814" customWidth="1"/>
    <col min="10" max="13" width="8.21875" style="752"/>
    <col min="14" max="14" width="10" style="752" customWidth="1"/>
    <col min="15" max="16" width="8.21875" style="752"/>
    <col min="17" max="17" width="34.109375" style="752" customWidth="1"/>
    <col min="18" max="18" width="8.21875" style="752" customWidth="1"/>
    <col min="19" max="19" width="8.21875" style="752"/>
    <col min="20" max="20" width="11.6640625" style="752" customWidth="1"/>
    <col min="21" max="16384" width="8.2187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858" t="s">
        <v>183</v>
      </c>
      <c r="B18" s="818" t="s">
        <v>560</v>
      </c>
      <c r="C18" s="819" t="s">
        <v>561</v>
      </c>
      <c r="D18" s="820"/>
      <c r="E18" s="818">
        <v>1</v>
      </c>
      <c r="F18" s="821" t="s">
        <v>562</v>
      </c>
      <c r="G18" s="822"/>
      <c r="H18" s="814"/>
      <c r="I18" s="814"/>
    </row>
    <row r="19" spans="1:9" s="823" customFormat="1" ht="19.5" customHeight="1">
      <c r="A19" s="3858"/>
      <c r="B19" s="3858" t="s">
        <v>563</v>
      </c>
      <c r="C19" s="819" t="s">
        <v>564</v>
      </c>
      <c r="D19" s="820"/>
      <c r="E19" s="818">
        <v>0.9</v>
      </c>
      <c r="F19" s="821" t="s">
        <v>565</v>
      </c>
      <c r="G19" s="822"/>
      <c r="H19" s="814"/>
      <c r="I19" s="814"/>
    </row>
    <row r="20" spans="1:9" s="823" customFormat="1" ht="19.5" customHeight="1">
      <c r="A20" s="3858"/>
      <c r="B20" s="3858"/>
      <c r="C20" s="819" t="s">
        <v>566</v>
      </c>
      <c r="D20" s="820"/>
      <c r="E20" s="818">
        <v>1.1000000000000001</v>
      </c>
      <c r="F20" s="821" t="s">
        <v>567</v>
      </c>
      <c r="G20" s="822"/>
      <c r="H20" s="814"/>
      <c r="I20" s="814"/>
    </row>
    <row r="21" spans="1:9" s="823" customFormat="1" ht="19.5" customHeight="1">
      <c r="A21" s="3858"/>
      <c r="B21" s="3858"/>
      <c r="C21" s="819" t="s">
        <v>568</v>
      </c>
      <c r="D21" s="820"/>
      <c r="E21" s="818">
        <v>0.8</v>
      </c>
      <c r="F21" s="821" t="s">
        <v>569</v>
      </c>
      <c r="G21" s="822"/>
      <c r="H21" s="814"/>
      <c r="I21" s="814"/>
    </row>
    <row r="22" spans="1:9" s="823" customFormat="1" ht="19.5" customHeight="1">
      <c r="A22" s="3858"/>
      <c r="B22" s="3858"/>
      <c r="C22" s="819" t="s">
        <v>570</v>
      </c>
      <c r="D22" s="820"/>
      <c r="E22" s="818">
        <v>0.5</v>
      </c>
      <c r="F22" s="821"/>
      <c r="G22" s="822"/>
      <c r="H22" s="814"/>
      <c r="I22" s="814"/>
    </row>
    <row r="23" spans="1:9" s="823" customFormat="1" ht="19.5" customHeight="1">
      <c r="A23" s="3858" t="s">
        <v>184</v>
      </c>
      <c r="B23" s="818" t="s">
        <v>560</v>
      </c>
      <c r="C23" s="819" t="s">
        <v>571</v>
      </c>
      <c r="D23" s="820"/>
      <c r="E23" s="818">
        <v>1</v>
      </c>
      <c r="F23" s="821" t="s">
        <v>572</v>
      </c>
      <c r="G23" s="822"/>
      <c r="H23" s="814"/>
      <c r="I23" s="814"/>
    </row>
    <row r="24" spans="1:9" s="823" customFormat="1" ht="19.5" customHeight="1">
      <c r="A24" s="3858"/>
      <c r="B24" s="3858" t="s">
        <v>563</v>
      </c>
      <c r="C24" s="819" t="s">
        <v>573</v>
      </c>
      <c r="D24" s="820"/>
      <c r="E24" s="818">
        <v>0.5</v>
      </c>
      <c r="F24" s="821"/>
      <c r="G24" s="822"/>
      <c r="H24" s="814"/>
      <c r="I24" s="814"/>
    </row>
    <row r="25" spans="1:9" s="823" customFormat="1" ht="19.5" customHeight="1">
      <c r="A25" s="3858"/>
      <c r="B25" s="3858"/>
      <c r="C25" s="819" t="s">
        <v>574</v>
      </c>
      <c r="D25" s="820"/>
      <c r="E25" s="818">
        <v>1.1000000000000001</v>
      </c>
      <c r="F25" s="821"/>
      <c r="G25" s="822"/>
      <c r="H25" s="814"/>
      <c r="I25" s="814"/>
    </row>
    <row r="26" spans="1:9" s="823" customFormat="1" ht="19.5" customHeight="1">
      <c r="A26" s="3858"/>
      <c r="B26" s="3858"/>
      <c r="C26" s="819" t="s">
        <v>575</v>
      </c>
      <c r="D26" s="820"/>
      <c r="E26" s="818">
        <v>1.1000000000000001</v>
      </c>
      <c r="F26" s="821"/>
      <c r="G26" s="822"/>
      <c r="H26" s="814"/>
      <c r="I26" s="814"/>
    </row>
    <row r="27" spans="1:9" s="823" customFormat="1" ht="19.5" customHeight="1">
      <c r="A27" s="3858"/>
      <c r="B27" s="3858"/>
      <c r="C27" s="819" t="s">
        <v>576</v>
      </c>
      <c r="D27" s="820"/>
      <c r="E27" s="818">
        <v>0.9</v>
      </c>
      <c r="F27" s="821" t="s">
        <v>577</v>
      </c>
      <c r="G27" s="822"/>
      <c r="H27" s="814"/>
      <c r="I27" s="814"/>
    </row>
    <row r="28" spans="1:9" s="823" customFormat="1" ht="19.5" customHeight="1">
      <c r="A28" s="3858"/>
      <c r="B28" s="3858"/>
      <c r="C28" s="819" t="s">
        <v>578</v>
      </c>
      <c r="D28" s="820"/>
      <c r="E28" s="818">
        <v>0.9</v>
      </c>
      <c r="F28" s="821" t="s">
        <v>579</v>
      </c>
      <c r="G28" s="822"/>
      <c r="H28" s="814"/>
      <c r="I28" s="814"/>
    </row>
    <row r="29" spans="1:9" s="823" customFormat="1" ht="19.5" customHeight="1">
      <c r="A29" s="3858"/>
      <c r="B29" s="3858"/>
      <c r="C29" s="819" t="s">
        <v>580</v>
      </c>
      <c r="D29" s="820"/>
      <c r="E29" s="818">
        <v>0.9</v>
      </c>
      <c r="F29" s="821" t="s">
        <v>581</v>
      </c>
      <c r="G29" s="822"/>
      <c r="H29" s="814"/>
      <c r="I29" s="814"/>
    </row>
    <row r="30" spans="1:9" s="823" customFormat="1" ht="19.5" customHeight="1">
      <c r="A30" s="3858"/>
      <c r="B30" s="3858"/>
      <c r="C30" s="819" t="s">
        <v>582</v>
      </c>
      <c r="D30" s="820"/>
      <c r="E30" s="818">
        <v>0.9</v>
      </c>
      <c r="F30" s="821" t="s">
        <v>583</v>
      </c>
      <c r="G30" s="822"/>
      <c r="H30" s="814"/>
      <c r="I30" s="814"/>
    </row>
    <row r="31" spans="1:9" s="823" customFormat="1" ht="19.5" customHeight="1">
      <c r="A31" s="3858"/>
      <c r="B31" s="3858"/>
      <c r="C31" s="819" t="s">
        <v>584</v>
      </c>
      <c r="D31" s="820"/>
      <c r="E31" s="818">
        <v>0.8</v>
      </c>
      <c r="F31" s="821" t="s">
        <v>585</v>
      </c>
      <c r="G31" s="822"/>
      <c r="H31" s="814"/>
      <c r="I31" s="814"/>
    </row>
    <row r="32" spans="1:9" s="823" customFormat="1" ht="19.5" customHeight="1">
      <c r="A32" s="3858"/>
      <c r="B32" s="3858"/>
      <c r="C32" s="819" t="s">
        <v>586</v>
      </c>
      <c r="D32" s="820"/>
      <c r="E32" s="818">
        <v>0.8</v>
      </c>
      <c r="F32" s="821" t="s">
        <v>587</v>
      </c>
      <c r="G32" s="822"/>
      <c r="H32" s="814"/>
      <c r="I32" s="814"/>
    </row>
    <row r="33" spans="1:9" s="823" customFormat="1" ht="19.5" customHeight="1">
      <c r="A33" s="3858" t="s">
        <v>185</v>
      </c>
      <c r="B33" s="818" t="s">
        <v>560</v>
      </c>
      <c r="C33" s="819" t="s">
        <v>588</v>
      </c>
      <c r="D33" s="820"/>
      <c r="E33" s="818">
        <v>1</v>
      </c>
      <c r="F33" s="821" t="s">
        <v>589</v>
      </c>
      <c r="G33" s="822"/>
      <c r="H33" s="814"/>
      <c r="I33" s="814"/>
    </row>
    <row r="34" spans="1:9" s="823" customFormat="1" ht="19.5" customHeight="1">
      <c r="A34" s="3858"/>
      <c r="B34" s="818" t="s">
        <v>563</v>
      </c>
      <c r="C34" s="819" t="s">
        <v>590</v>
      </c>
      <c r="D34" s="820"/>
      <c r="E34" s="818">
        <v>1.5</v>
      </c>
      <c r="F34" s="821" t="s">
        <v>591</v>
      </c>
      <c r="G34" s="822"/>
      <c r="H34" s="814"/>
      <c r="I34" s="814"/>
    </row>
    <row r="35" spans="1:9" s="823" customFormat="1" ht="19.5" customHeight="1">
      <c r="A35" s="3858" t="s">
        <v>186</v>
      </c>
      <c r="B35" s="818" t="s">
        <v>560</v>
      </c>
      <c r="C35" s="819" t="s">
        <v>592</v>
      </c>
      <c r="D35" s="820"/>
      <c r="E35" s="818">
        <v>1</v>
      </c>
      <c r="F35" s="821" t="s">
        <v>593</v>
      </c>
      <c r="G35" s="822"/>
      <c r="H35" s="814"/>
      <c r="I35" s="814"/>
    </row>
    <row r="36" spans="1:9" s="823" customFormat="1" ht="19.5" customHeight="1">
      <c r="A36" s="3858"/>
      <c r="B36" s="3858" t="s">
        <v>563</v>
      </c>
      <c r="C36" s="819" t="s">
        <v>594</v>
      </c>
      <c r="D36" s="820"/>
      <c r="E36" s="818">
        <v>1</v>
      </c>
      <c r="F36" s="821" t="s">
        <v>595</v>
      </c>
      <c r="G36" s="822"/>
      <c r="H36" s="814"/>
      <c r="I36" s="814"/>
    </row>
    <row r="37" spans="1:9" s="823" customFormat="1" ht="19.5" customHeight="1">
      <c r="A37" s="3858"/>
      <c r="B37" s="3858"/>
      <c r="C37" s="819" t="s">
        <v>596</v>
      </c>
      <c r="D37" s="820"/>
      <c r="E37" s="818">
        <v>1.5</v>
      </c>
      <c r="F37" s="821" t="s">
        <v>597</v>
      </c>
      <c r="G37" s="822"/>
      <c r="H37" s="814"/>
      <c r="I37" s="814"/>
    </row>
    <row r="38" spans="1:9" s="823" customFormat="1" ht="19.5" customHeight="1">
      <c r="A38" s="3858"/>
      <c r="B38" s="3858"/>
      <c r="C38" s="819" t="s">
        <v>598</v>
      </c>
      <c r="D38" s="820"/>
      <c r="E38" s="818">
        <v>1</v>
      </c>
      <c r="F38" s="821" t="s">
        <v>599</v>
      </c>
      <c r="G38" s="822"/>
      <c r="H38" s="814"/>
      <c r="I38" s="814"/>
    </row>
    <row r="39" spans="1:9" s="823" customFormat="1" ht="19.5" customHeight="1">
      <c r="A39" s="3858"/>
      <c r="B39" s="3858"/>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4.4">
      <c r="A60" s="875"/>
      <c r="B60" s="875"/>
      <c r="C60" s="875" t="s">
        <v>745</v>
      </c>
      <c r="D60" s="875"/>
      <c r="E60" s="831" t="s">
        <v>1</v>
      </c>
      <c r="F60" s="875" t="s">
        <v>1</v>
      </c>
    </row>
    <row r="61" spans="1:8" s="814" customFormat="1" ht="36">
      <c r="A61" s="818">
        <v>1</v>
      </c>
      <c r="B61" s="3858" t="s">
        <v>614</v>
      </c>
      <c r="C61" s="754" t="s">
        <v>615</v>
      </c>
      <c r="D61" s="754" t="s">
        <v>616</v>
      </c>
      <c r="E61" s="831">
        <v>0.5</v>
      </c>
      <c r="F61" s="818">
        <v>80</v>
      </c>
    </row>
    <row r="62" spans="1:8" s="814" customFormat="1" ht="36">
      <c r="A62" s="818">
        <v>2</v>
      </c>
      <c r="B62" s="3858"/>
      <c r="C62" s="754" t="s">
        <v>617</v>
      </c>
      <c r="D62" s="754" t="s">
        <v>618</v>
      </c>
      <c r="E62" s="831">
        <v>0.5</v>
      </c>
      <c r="F62" s="818">
        <v>80</v>
      </c>
    </row>
    <row r="63" spans="1:8" s="814" customFormat="1" ht="48">
      <c r="A63" s="818">
        <v>3</v>
      </c>
      <c r="B63" s="3858"/>
      <c r="C63" s="754" t="s">
        <v>619</v>
      </c>
      <c r="D63" s="754" t="s">
        <v>620</v>
      </c>
      <c r="E63" s="831">
        <v>0.5</v>
      </c>
      <c r="F63" s="818">
        <v>80</v>
      </c>
    </row>
    <row r="64" spans="1:8" s="814" customFormat="1" ht="48">
      <c r="A64" s="818">
        <v>4</v>
      </c>
      <c r="B64" s="3858"/>
      <c r="C64" s="754" t="s">
        <v>621</v>
      </c>
      <c r="D64" s="754" t="s">
        <v>622</v>
      </c>
      <c r="E64" s="831">
        <v>0.4</v>
      </c>
      <c r="F64" s="818">
        <v>60</v>
      </c>
    </row>
    <row r="65" spans="1:6" s="814" customFormat="1" ht="48">
      <c r="A65" s="818">
        <v>5</v>
      </c>
      <c r="B65" s="3858"/>
      <c r="C65" s="754" t="s">
        <v>623</v>
      </c>
      <c r="D65" s="754" t="s">
        <v>624</v>
      </c>
      <c r="E65" s="831">
        <v>0.2</v>
      </c>
      <c r="F65" s="818">
        <v>30</v>
      </c>
    </row>
    <row r="66" spans="1:6" s="814" customFormat="1" ht="48">
      <c r="A66" s="818">
        <v>6</v>
      </c>
      <c r="B66" s="3858"/>
      <c r="C66" s="754" t="s">
        <v>625</v>
      </c>
      <c r="D66" s="754" t="s">
        <v>626</v>
      </c>
      <c r="E66" s="831">
        <v>0.3</v>
      </c>
      <c r="F66" s="818">
        <v>50</v>
      </c>
    </row>
    <row r="67" spans="1:6" s="814" customFormat="1" ht="48">
      <c r="A67" s="818">
        <v>7</v>
      </c>
      <c r="B67" s="3858"/>
      <c r="C67" s="754" t="s">
        <v>627</v>
      </c>
      <c r="D67" s="754" t="s">
        <v>628</v>
      </c>
      <c r="E67" s="831">
        <v>0.2</v>
      </c>
      <c r="F67" s="818">
        <v>30</v>
      </c>
    </row>
    <row r="68" spans="1:6" s="814" customFormat="1" ht="48">
      <c r="A68" s="818">
        <v>8</v>
      </c>
      <c r="B68" s="3858"/>
      <c r="C68" s="754" t="s">
        <v>629</v>
      </c>
      <c r="D68" s="754" t="s">
        <v>630</v>
      </c>
      <c r="E68" s="831">
        <v>0.2</v>
      </c>
      <c r="F68" s="818">
        <v>30</v>
      </c>
    </row>
    <row r="69" spans="1:6" s="814" customFormat="1" ht="48">
      <c r="A69" s="818">
        <v>9</v>
      </c>
      <c r="B69" s="3858"/>
      <c r="C69" s="754" t="s">
        <v>631</v>
      </c>
      <c r="D69" s="754" t="s">
        <v>632</v>
      </c>
      <c r="E69" s="831">
        <v>0.2</v>
      </c>
      <c r="F69" s="818">
        <v>30</v>
      </c>
    </row>
    <row r="70" spans="1:6" s="814" customFormat="1" ht="60">
      <c r="A70" s="818">
        <v>10</v>
      </c>
      <c r="B70" s="3858"/>
      <c r="C70" s="754" t="s">
        <v>633</v>
      </c>
      <c r="D70" s="754" t="s">
        <v>634</v>
      </c>
      <c r="E70" s="831">
        <v>0.2</v>
      </c>
      <c r="F70" s="818">
        <v>30</v>
      </c>
    </row>
    <row r="71" spans="1:6" s="814" customFormat="1" ht="60">
      <c r="A71" s="818">
        <v>11</v>
      </c>
      <c r="B71" s="3858"/>
      <c r="C71" s="754" t="s">
        <v>635</v>
      </c>
      <c r="D71" s="754" t="s">
        <v>636</v>
      </c>
      <c r="E71" s="831">
        <v>0.2</v>
      </c>
      <c r="F71" s="818">
        <v>30</v>
      </c>
    </row>
    <row r="72" spans="1:6" s="814" customFormat="1" ht="36">
      <c r="A72" s="818">
        <v>12</v>
      </c>
      <c r="B72" s="3858"/>
      <c r="C72" s="754" t="s">
        <v>637</v>
      </c>
      <c r="D72" s="754" t="s">
        <v>638</v>
      </c>
      <c r="E72" s="831">
        <v>0.5</v>
      </c>
      <c r="F72" s="818">
        <v>80</v>
      </c>
    </row>
    <row r="73" spans="1:6" s="814" customFormat="1" ht="36">
      <c r="A73" s="818">
        <v>13</v>
      </c>
      <c r="B73" s="3858"/>
      <c r="C73" s="754" t="s">
        <v>639</v>
      </c>
      <c r="D73" s="754" t="s">
        <v>640</v>
      </c>
      <c r="E73" s="831">
        <v>0.4</v>
      </c>
      <c r="F73" s="818">
        <v>60</v>
      </c>
    </row>
    <row r="74" spans="1:6" s="814" customFormat="1" ht="36">
      <c r="A74" s="818">
        <v>14</v>
      </c>
      <c r="B74" s="3858"/>
      <c r="C74" s="754" t="s">
        <v>641</v>
      </c>
      <c r="D74" s="754" t="s">
        <v>642</v>
      </c>
      <c r="E74" s="831">
        <v>0.2</v>
      </c>
      <c r="F74" s="818">
        <v>30</v>
      </c>
    </row>
    <row r="75" spans="1:6" s="814" customFormat="1" ht="36">
      <c r="A75" s="818">
        <v>15</v>
      </c>
      <c r="B75" s="3858"/>
      <c r="C75" s="754" t="s">
        <v>643</v>
      </c>
      <c r="D75" s="754" t="s">
        <v>644</v>
      </c>
      <c r="E75" s="831">
        <v>0.2</v>
      </c>
      <c r="F75" s="818">
        <v>30</v>
      </c>
    </row>
    <row r="76" spans="1:6" s="814" customFormat="1" ht="36">
      <c r="A76" s="818">
        <v>16</v>
      </c>
      <c r="B76" s="3858" t="s">
        <v>645</v>
      </c>
      <c r="C76" s="754" t="s">
        <v>646</v>
      </c>
      <c r="D76" s="754" t="s">
        <v>647</v>
      </c>
      <c r="E76" s="831">
        <v>0.5</v>
      </c>
      <c r="F76" s="818">
        <v>80</v>
      </c>
    </row>
    <row r="77" spans="1:6" s="814" customFormat="1" ht="36">
      <c r="A77" s="818">
        <v>17</v>
      </c>
      <c r="B77" s="3858"/>
      <c r="C77" s="754" t="s">
        <v>648</v>
      </c>
      <c r="D77" s="754" t="s">
        <v>649</v>
      </c>
      <c r="E77" s="831">
        <v>0.5</v>
      </c>
      <c r="F77" s="818">
        <v>80</v>
      </c>
    </row>
    <row r="78" spans="1:6" s="814" customFormat="1" ht="36">
      <c r="A78" s="818">
        <v>18</v>
      </c>
      <c r="B78" s="3858"/>
      <c r="C78" s="754" t="s">
        <v>650</v>
      </c>
      <c r="D78" s="754" t="s">
        <v>651</v>
      </c>
      <c r="E78" s="831">
        <v>0.2</v>
      </c>
      <c r="F78" s="818">
        <v>30</v>
      </c>
    </row>
    <row r="79" spans="1:6" s="814" customFormat="1" ht="36">
      <c r="A79" s="818">
        <v>19</v>
      </c>
      <c r="B79" s="3858"/>
      <c r="C79" s="754" t="s">
        <v>652</v>
      </c>
      <c r="D79" s="754" t="s">
        <v>653</v>
      </c>
      <c r="E79" s="831">
        <v>0.5</v>
      </c>
      <c r="F79" s="818">
        <v>80</v>
      </c>
    </row>
    <row r="80" spans="1:6" s="814" customFormat="1" ht="36">
      <c r="A80" s="818">
        <v>20</v>
      </c>
      <c r="B80" s="3858"/>
      <c r="C80" s="754" t="s">
        <v>654</v>
      </c>
      <c r="D80" s="754" t="s">
        <v>655</v>
      </c>
      <c r="E80" s="831">
        <v>0.2</v>
      </c>
      <c r="F80" s="818">
        <v>30</v>
      </c>
    </row>
    <row r="81" spans="1:6" s="814" customFormat="1" ht="36">
      <c r="A81" s="818">
        <v>21</v>
      </c>
      <c r="B81" s="3858"/>
      <c r="C81" s="754" t="s">
        <v>656</v>
      </c>
      <c r="D81" s="754" t="s">
        <v>657</v>
      </c>
      <c r="E81" s="831">
        <v>0.2</v>
      </c>
      <c r="F81" s="818">
        <v>30</v>
      </c>
    </row>
    <row r="82" spans="1:6" s="814" customFormat="1" ht="60">
      <c r="A82" s="818">
        <v>22</v>
      </c>
      <c r="B82" s="3858"/>
      <c r="C82" s="754" t="s">
        <v>658</v>
      </c>
      <c r="D82" s="754" t="s">
        <v>659</v>
      </c>
      <c r="E82" s="831">
        <v>0.2</v>
      </c>
      <c r="F82" s="818">
        <v>30</v>
      </c>
    </row>
    <row r="83" spans="1:6" s="814" customFormat="1" ht="60">
      <c r="A83" s="818">
        <v>23</v>
      </c>
      <c r="B83" s="3858"/>
      <c r="C83" s="754" t="s">
        <v>660</v>
      </c>
      <c r="D83" s="754" t="s">
        <v>661</v>
      </c>
      <c r="E83" s="831">
        <v>0.2</v>
      </c>
      <c r="F83" s="818">
        <v>30</v>
      </c>
    </row>
    <row r="84" spans="1:6" s="814" customFormat="1" ht="48">
      <c r="A84" s="818">
        <v>24</v>
      </c>
      <c r="B84" s="3858"/>
      <c r="C84" s="754" t="s">
        <v>662</v>
      </c>
      <c r="D84" s="754" t="s">
        <v>663</v>
      </c>
      <c r="E84" s="831">
        <v>0.2</v>
      </c>
      <c r="F84" s="818">
        <v>30</v>
      </c>
    </row>
    <row r="85" spans="1:6" s="814" customFormat="1" ht="36">
      <c r="A85" s="818">
        <v>25</v>
      </c>
      <c r="B85" s="3858"/>
      <c r="C85" s="754" t="s">
        <v>664</v>
      </c>
      <c r="D85" s="754" t="s">
        <v>665</v>
      </c>
      <c r="E85" s="831">
        <v>0.5</v>
      </c>
      <c r="F85" s="818">
        <v>80</v>
      </c>
    </row>
    <row r="86" spans="1:6" s="814" customFormat="1" ht="36">
      <c r="A86" s="818">
        <v>26</v>
      </c>
      <c r="B86" s="3858"/>
      <c r="C86" s="754" t="s">
        <v>666</v>
      </c>
      <c r="D86" s="754" t="s">
        <v>667</v>
      </c>
      <c r="E86" s="831">
        <v>0.2</v>
      </c>
      <c r="F86" s="818">
        <v>30</v>
      </c>
    </row>
    <row r="87" spans="1:6" s="814" customFormat="1" ht="36">
      <c r="A87" s="818">
        <v>27</v>
      </c>
      <c r="B87" s="3858"/>
      <c r="C87" s="754" t="s">
        <v>668</v>
      </c>
      <c r="D87" s="754" t="s">
        <v>669</v>
      </c>
      <c r="E87" s="831">
        <v>0.2</v>
      </c>
      <c r="F87" s="818">
        <v>30</v>
      </c>
    </row>
    <row r="88" spans="1:6" s="814" customFormat="1" ht="36">
      <c r="A88" s="818">
        <v>28</v>
      </c>
      <c r="B88" s="3858"/>
      <c r="C88" s="754" t="s">
        <v>670</v>
      </c>
      <c r="D88" s="754" t="s">
        <v>671</v>
      </c>
      <c r="E88" s="831">
        <v>0.2</v>
      </c>
      <c r="F88" s="818">
        <v>30</v>
      </c>
    </row>
    <row r="89" spans="1:6" s="814" customFormat="1" ht="36">
      <c r="A89" s="818">
        <v>29</v>
      </c>
      <c r="B89" s="3858"/>
      <c r="C89" s="754" t="s">
        <v>672</v>
      </c>
      <c r="D89" s="754" t="s">
        <v>673</v>
      </c>
      <c r="E89" s="831">
        <v>0.2</v>
      </c>
      <c r="F89" s="818">
        <v>30</v>
      </c>
    </row>
    <row r="90" spans="1:6" s="814" customFormat="1" ht="36">
      <c r="A90" s="818">
        <v>30</v>
      </c>
      <c r="B90" s="3858"/>
      <c r="C90" s="754" t="s">
        <v>674</v>
      </c>
      <c r="D90" s="754" t="s">
        <v>675</v>
      </c>
      <c r="E90" s="831">
        <v>0.2</v>
      </c>
      <c r="F90" s="818">
        <v>30</v>
      </c>
    </row>
    <row r="91" spans="1:6" s="814" customFormat="1" ht="48">
      <c r="A91" s="818">
        <v>31</v>
      </c>
      <c r="B91" s="3858"/>
      <c r="C91" s="754" t="s">
        <v>676</v>
      </c>
      <c r="D91" s="754" t="s">
        <v>677</v>
      </c>
      <c r="E91" s="831">
        <v>0.2</v>
      </c>
      <c r="F91" s="818">
        <v>30</v>
      </c>
    </row>
    <row r="92" spans="1:6" s="814" customFormat="1" ht="36">
      <c r="A92" s="818">
        <v>32</v>
      </c>
      <c r="B92" s="3858" t="s">
        <v>678</v>
      </c>
      <c r="C92" s="818" t="s">
        <v>679</v>
      </c>
      <c r="D92" s="754" t="s">
        <v>680</v>
      </c>
      <c r="E92" s="831">
        <v>0.2</v>
      </c>
      <c r="F92" s="818">
        <v>30</v>
      </c>
    </row>
    <row r="93" spans="1:6" s="814" customFormat="1" ht="36">
      <c r="A93" s="818">
        <v>33</v>
      </c>
      <c r="B93" s="3858"/>
      <c r="C93" s="818" t="s">
        <v>681</v>
      </c>
      <c r="D93" s="754" t="s">
        <v>682</v>
      </c>
      <c r="E93" s="831">
        <v>0.2</v>
      </c>
      <c r="F93" s="818">
        <v>30</v>
      </c>
    </row>
    <row r="94" spans="1:6" s="814" customFormat="1" ht="60">
      <c r="A94" s="818">
        <v>34</v>
      </c>
      <c r="B94" s="3858"/>
      <c r="C94" s="818" t="s">
        <v>683</v>
      </c>
      <c r="D94" s="754" t="s">
        <v>684</v>
      </c>
      <c r="E94" s="831">
        <v>0.2</v>
      </c>
      <c r="F94" s="818">
        <v>30</v>
      </c>
    </row>
    <row r="95" spans="1:6" s="814" customFormat="1" ht="48">
      <c r="A95" s="818">
        <v>35</v>
      </c>
      <c r="B95" s="3858"/>
      <c r="C95" s="818" t="s">
        <v>685</v>
      </c>
      <c r="D95" s="754" t="s">
        <v>686</v>
      </c>
      <c r="E95" s="831">
        <v>0.2</v>
      </c>
      <c r="F95" s="818">
        <v>30</v>
      </c>
    </row>
    <row r="96" spans="1:6" s="814" customFormat="1" ht="72">
      <c r="A96" s="818">
        <v>36</v>
      </c>
      <c r="B96" s="3858"/>
      <c r="C96" s="754" t="s">
        <v>687</v>
      </c>
      <c r="D96" s="754" t="s">
        <v>688</v>
      </c>
      <c r="E96" s="831">
        <v>0.2</v>
      </c>
      <c r="F96" s="818">
        <v>30</v>
      </c>
    </row>
    <row r="97" spans="1:6" s="814" customFormat="1" ht="36">
      <c r="A97" s="818">
        <v>37</v>
      </c>
      <c r="B97" s="3858"/>
      <c r="C97" s="818" t="s">
        <v>689</v>
      </c>
      <c r="D97" s="754" t="s">
        <v>690</v>
      </c>
      <c r="E97" s="831">
        <v>0.2</v>
      </c>
      <c r="F97" s="818">
        <v>30</v>
      </c>
    </row>
    <row r="98" spans="1:6" s="814" customFormat="1" ht="36">
      <c r="A98" s="818">
        <v>38</v>
      </c>
      <c r="B98" s="3858"/>
      <c r="C98" s="818" t="s">
        <v>691</v>
      </c>
      <c r="D98" s="754" t="s">
        <v>692</v>
      </c>
      <c r="E98" s="831">
        <v>0.2</v>
      </c>
      <c r="F98" s="818">
        <v>30</v>
      </c>
    </row>
    <row r="99" spans="1:6" s="814" customFormat="1" ht="36">
      <c r="A99" s="818">
        <v>39</v>
      </c>
      <c r="B99" s="3858" t="s">
        <v>693</v>
      </c>
      <c r="C99" s="818" t="s">
        <v>694</v>
      </c>
      <c r="D99" s="754" t="s">
        <v>695</v>
      </c>
      <c r="E99" s="831">
        <v>0.3</v>
      </c>
      <c r="F99" s="818">
        <v>50</v>
      </c>
    </row>
    <row r="100" spans="1:6" s="814" customFormat="1" ht="36">
      <c r="A100" s="818">
        <v>40</v>
      </c>
      <c r="B100" s="3858"/>
      <c r="C100" s="818" t="s">
        <v>696</v>
      </c>
      <c r="D100" s="754" t="s">
        <v>697</v>
      </c>
      <c r="E100" s="831">
        <v>0.2</v>
      </c>
      <c r="F100" s="818">
        <v>30</v>
      </c>
    </row>
    <row r="101" spans="1:6" s="814" customFormat="1" ht="36">
      <c r="A101" s="818">
        <v>41</v>
      </c>
      <c r="B101" s="3858"/>
      <c r="C101" s="818" t="s">
        <v>698</v>
      </c>
      <c r="D101" s="754" t="s">
        <v>695</v>
      </c>
      <c r="E101" s="831">
        <v>0.2</v>
      </c>
      <c r="F101" s="818">
        <v>30</v>
      </c>
    </row>
    <row r="102" spans="1:6" s="814" customFormat="1" ht="72">
      <c r="A102" s="818">
        <v>42</v>
      </c>
      <c r="B102" s="818" t="s">
        <v>699</v>
      </c>
      <c r="C102" s="754" t="s">
        <v>700</v>
      </c>
      <c r="D102" s="754" t="s">
        <v>701</v>
      </c>
      <c r="E102" s="831">
        <v>0.2</v>
      </c>
      <c r="F102" s="818">
        <v>30</v>
      </c>
    </row>
    <row r="103" spans="1:6" s="814" customFormat="1" ht="36">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48">
      <c r="A105" s="818">
        <v>45</v>
      </c>
      <c r="B105" s="3858" t="s">
        <v>708</v>
      </c>
      <c r="C105" s="818" t="s">
        <v>709</v>
      </c>
      <c r="D105" s="754" t="s">
        <v>710</v>
      </c>
      <c r="E105" s="831">
        <v>0.2</v>
      </c>
      <c r="F105" s="818">
        <v>30</v>
      </c>
    </row>
    <row r="106" spans="1:6" s="814" customFormat="1" ht="48">
      <c r="A106" s="818">
        <v>46</v>
      </c>
      <c r="B106" s="3858"/>
      <c r="C106" s="818" t="s">
        <v>711</v>
      </c>
      <c r="D106" s="754" t="s">
        <v>712</v>
      </c>
      <c r="E106" s="831">
        <v>0.2</v>
      </c>
      <c r="F106" s="818">
        <v>30</v>
      </c>
    </row>
    <row r="107" spans="1:6" s="814" customFormat="1" ht="36">
      <c r="A107" s="818">
        <v>47</v>
      </c>
      <c r="B107" s="3858" t="s">
        <v>713</v>
      </c>
      <c r="C107" s="818" t="s">
        <v>714</v>
      </c>
      <c r="D107" s="754" t="s">
        <v>715</v>
      </c>
      <c r="E107" s="831">
        <v>0.3</v>
      </c>
      <c r="F107" s="818">
        <v>50</v>
      </c>
    </row>
    <row r="108" spans="1:6" s="814" customFormat="1" ht="48">
      <c r="A108" s="818">
        <v>48</v>
      </c>
      <c r="B108" s="3858"/>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48">
      <c r="A110" s="818">
        <v>50</v>
      </c>
      <c r="B110" s="818" t="s">
        <v>721</v>
      </c>
      <c r="C110" s="818" t="s">
        <v>722</v>
      </c>
      <c r="D110" s="754" t="s">
        <v>723</v>
      </c>
      <c r="E110" s="831">
        <v>0.2</v>
      </c>
      <c r="F110" s="818">
        <v>30</v>
      </c>
    </row>
    <row r="111" spans="1:6" s="814" customFormat="1" ht="48">
      <c r="A111" s="818">
        <v>51</v>
      </c>
      <c r="B111" s="3858" t="s">
        <v>724</v>
      </c>
      <c r="C111" s="818" t="s">
        <v>725</v>
      </c>
      <c r="D111" s="754" t="s">
        <v>726</v>
      </c>
      <c r="E111" s="831">
        <v>0.2</v>
      </c>
      <c r="F111" s="818">
        <v>30</v>
      </c>
    </row>
    <row r="112" spans="1:6" s="814" customFormat="1" ht="36">
      <c r="A112" s="818">
        <v>52</v>
      </c>
      <c r="B112" s="3858"/>
      <c r="C112" s="818" t="s">
        <v>727</v>
      </c>
      <c r="D112" s="754" t="s">
        <v>728</v>
      </c>
      <c r="E112" s="831">
        <v>0.2</v>
      </c>
      <c r="F112" s="818">
        <v>30</v>
      </c>
    </row>
    <row r="113" spans="1:6" s="814" customFormat="1" ht="36">
      <c r="A113" s="818">
        <v>53</v>
      </c>
      <c r="B113" s="3858"/>
      <c r="C113" s="818" t="s">
        <v>729</v>
      </c>
      <c r="D113" s="754" t="s">
        <v>730</v>
      </c>
      <c r="E113" s="831">
        <v>0.2</v>
      </c>
      <c r="F113" s="818">
        <v>30</v>
      </c>
    </row>
    <row r="114" spans="1:6" ht="48">
      <c r="A114" s="818">
        <v>54</v>
      </c>
      <c r="B114" s="818" t="s">
        <v>731</v>
      </c>
      <c r="C114" s="818" t="s">
        <v>732</v>
      </c>
      <c r="D114" s="754" t="s">
        <v>733</v>
      </c>
      <c r="E114" s="831">
        <v>0.2</v>
      </c>
      <c r="F114" s="818">
        <v>30</v>
      </c>
    </row>
    <row r="115" spans="1:6" ht="36">
      <c r="A115" s="818">
        <v>55</v>
      </c>
      <c r="B115" s="818" t="s">
        <v>734</v>
      </c>
      <c r="C115" s="818" t="s">
        <v>735</v>
      </c>
      <c r="D115" s="754" t="s">
        <v>736</v>
      </c>
      <c r="E115" s="831">
        <v>0.2</v>
      </c>
      <c r="F115" s="818">
        <v>30</v>
      </c>
    </row>
    <row r="116" spans="1:6" ht="36">
      <c r="A116" s="818">
        <v>56</v>
      </c>
      <c r="B116" s="3858" t="s">
        <v>737</v>
      </c>
      <c r="C116" s="818" t="s">
        <v>738</v>
      </c>
      <c r="D116" s="754" t="s">
        <v>739</v>
      </c>
      <c r="E116" s="831">
        <v>0.2</v>
      </c>
      <c r="F116" s="818">
        <v>30</v>
      </c>
    </row>
    <row r="117" spans="1:6" ht="36">
      <c r="A117" s="818">
        <v>57</v>
      </c>
      <c r="B117" s="3858"/>
      <c r="C117" s="818" t="s">
        <v>740</v>
      </c>
      <c r="D117" s="754" t="s">
        <v>741</v>
      </c>
      <c r="E117" s="831">
        <v>0.2</v>
      </c>
      <c r="F117" s="818">
        <v>30</v>
      </c>
    </row>
    <row r="118" spans="1:6" ht="36">
      <c r="A118" s="818">
        <v>58</v>
      </c>
      <c r="B118" s="818" t="s">
        <v>742</v>
      </c>
      <c r="C118" s="818" t="s">
        <v>743</v>
      </c>
      <c r="D118" s="754" t="s">
        <v>744</v>
      </c>
      <c r="E118" s="831">
        <v>0.2</v>
      </c>
      <c r="F118" s="818">
        <v>30</v>
      </c>
    </row>
    <row r="119" spans="1:6" ht="14.4">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1"/>
    <col min="2" max="16384" width="9" style="834"/>
  </cols>
  <sheetData>
    <row r="1" spans="1:14" ht="15.6">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5.6">
      <c r="A103" s="832" t="s">
        <v>748</v>
      </c>
      <c r="B103" s="833"/>
      <c r="C103" s="833"/>
      <c r="D103" s="833"/>
      <c r="E103" s="833"/>
      <c r="F103" s="833"/>
      <c r="G103" s="833"/>
      <c r="H103" s="833"/>
      <c r="I103" s="833"/>
      <c r="J103" s="833"/>
      <c r="K103" s="833"/>
      <c r="L103" s="833"/>
      <c r="M103" s="833"/>
      <c r="N103" s="833"/>
    </row>
    <row r="104" spans="1:14" ht="15.6">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0.95330000000000004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5.6">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5.6">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7" customWidth="1"/>
    <col min="2" max="2" width="12.44140625" style="1627" customWidth="1"/>
    <col min="3" max="3" width="12.109375" style="1627" customWidth="1"/>
    <col min="4" max="4" width="14.109375" style="1627" customWidth="1"/>
    <col min="5" max="5" width="12.44140625" style="1627" customWidth="1"/>
    <col min="6" max="16384" width="9" style="1627"/>
  </cols>
  <sheetData>
    <row r="1" spans="1:16" ht="21.6">
      <c r="A1" s="2018" t="s">
        <v>2760</v>
      </c>
      <c r="B1" s="2327"/>
      <c r="C1" s="2327"/>
      <c r="D1" s="2327"/>
      <c r="E1" s="2327"/>
      <c r="F1" s="2987"/>
      <c r="G1" s="2987"/>
      <c r="H1" s="2987"/>
      <c r="I1" s="2987"/>
      <c r="J1" s="2987"/>
      <c r="K1" s="2987"/>
      <c r="L1" s="2987"/>
      <c r="M1" s="2987"/>
      <c r="N1" s="2987"/>
      <c r="O1" s="2987"/>
      <c r="P1" s="2987"/>
    </row>
    <row r="2" spans="1:16" ht="15.6">
      <c r="A2" s="2325" t="s">
        <v>2752</v>
      </c>
      <c r="B2" s="2791">
        <f ca="1">SUMIF(B6:B13,"&lt;&gt;#ref!",B6:B13)</f>
        <v>161560</v>
      </c>
      <c r="C2" s="2325" t="s">
        <v>2753</v>
      </c>
      <c r="D2" s="2325" t="s">
        <v>2754</v>
      </c>
      <c r="E2" s="2801">
        <f ca="1">SUMIF(E6:E13,"&lt;&gt;#ref!",E6:E13)</f>
        <v>46810</v>
      </c>
      <c r="F2" s="2987"/>
      <c r="G2" s="2987"/>
      <c r="H2" s="2987"/>
      <c r="I2" s="2987"/>
      <c r="J2" s="2987"/>
      <c r="K2" s="2987"/>
      <c r="L2" s="2987"/>
      <c r="M2" s="2987"/>
      <c r="N2" s="2987"/>
      <c r="O2" s="2987"/>
      <c r="P2" s="2987"/>
    </row>
    <row r="3" spans="1:16" ht="15.6">
      <c r="A3" s="2325" t="s">
        <v>2755</v>
      </c>
      <c r="B3" s="2791">
        <f ca="1">ROUND(B2*10000/E2,0)</f>
        <v>34514</v>
      </c>
      <c r="C3" s="2325" t="s">
        <v>2761</v>
      </c>
      <c r="D3" s="2987"/>
      <c r="E3" s="2987"/>
      <c r="F3" s="2987"/>
      <c r="G3" s="2987"/>
      <c r="H3" s="2987"/>
      <c r="I3" s="2987"/>
      <c r="J3" s="2987"/>
      <c r="K3" s="2987"/>
      <c r="L3" s="2987"/>
      <c r="M3" s="2987"/>
      <c r="N3" s="2987"/>
      <c r="O3" s="2987"/>
      <c r="P3" s="2987"/>
    </row>
    <row r="4" spans="1:16" ht="15.6">
      <c r="A4" s="2988"/>
      <c r="B4" s="2987"/>
      <c r="C4" s="2987"/>
      <c r="D4" s="2987"/>
      <c r="E4" s="2987"/>
      <c r="F4" s="2987"/>
      <c r="G4" s="2987"/>
      <c r="H4" s="2987"/>
      <c r="I4" s="2987"/>
      <c r="J4" s="2987"/>
      <c r="K4" s="2987"/>
      <c r="L4" s="2987"/>
      <c r="M4" s="2987"/>
      <c r="N4" s="2987"/>
      <c r="O4" s="2987"/>
      <c r="P4" s="2987"/>
    </row>
    <row r="5" spans="1:16" ht="31.2">
      <c r="A5" s="2797" t="s">
        <v>2756</v>
      </c>
      <c r="B5" s="2799" t="s">
        <v>2757</v>
      </c>
      <c r="C5" s="2326"/>
      <c r="D5" s="2987"/>
      <c r="E5" s="2800" t="s">
        <v>2758</v>
      </c>
      <c r="F5" s="2987"/>
      <c r="G5" s="2987"/>
      <c r="H5" s="2987"/>
      <c r="I5" s="2987"/>
      <c r="J5" s="2987"/>
      <c r="K5" s="2987"/>
      <c r="L5" s="2987"/>
      <c r="M5" s="2987"/>
      <c r="N5" s="2987"/>
      <c r="O5" s="2987"/>
      <c r="P5" s="2987"/>
    </row>
    <row r="6" spans="1:16" ht="15.6">
      <c r="A6" s="2798" t="s">
        <v>2759</v>
      </c>
      <c r="B6" s="2791">
        <f ca="1">SUMIF(INDIRECT("'"&amp;A6&amp;"'"&amp;"!A:A"),"总价",INDIRECT("'"&amp;A6&amp;"'"&amp;"!B:B"))</f>
        <v>161560</v>
      </c>
      <c r="C6" s="2325" t="s">
        <v>2753</v>
      </c>
      <c r="D6" s="2987"/>
      <c r="E6" s="2801">
        <f ca="1">SUMIF(INDIRECT("'"&amp;A6&amp;"'"&amp;"!C:C"),"建筑面积",INDIRECT("'"&amp;A6&amp;"'"&amp;"!D:D"))</f>
        <v>46810</v>
      </c>
      <c r="F6" s="2987"/>
      <c r="G6" s="2987"/>
      <c r="H6" s="2987"/>
      <c r="I6" s="2987"/>
      <c r="J6" s="2987"/>
      <c r="K6" s="2987"/>
      <c r="L6" s="2987"/>
      <c r="M6" s="2987"/>
      <c r="N6" s="2987"/>
      <c r="O6" s="2987"/>
      <c r="P6" s="2987"/>
    </row>
    <row r="7" spans="1:16" ht="15.6">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6">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6">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6">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6">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6">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6">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862" t="s">
        <v>2763</v>
      </c>
      <c r="D1" s="3863"/>
      <c r="E1" s="3863"/>
      <c r="F1" s="3863"/>
      <c r="G1" s="3863"/>
      <c r="H1" s="3863"/>
      <c r="I1" s="3863"/>
      <c r="J1" s="3863"/>
      <c r="K1" s="3863"/>
      <c r="L1" s="3863"/>
      <c r="M1" s="3863"/>
      <c r="N1" s="3863"/>
      <c r="O1" s="3863"/>
      <c r="P1" s="3863"/>
      <c r="Q1" s="3863"/>
      <c r="R1" s="3863"/>
      <c r="S1" s="3864"/>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8"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8"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8"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8"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8"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8"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8"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8"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2"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6">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859" t="s">
        <v>33</v>
      </c>
      <c r="D22" s="3860"/>
      <c r="E22" s="3860"/>
      <c r="F22" s="3860"/>
      <c r="G22" s="3860"/>
      <c r="H22" s="3860"/>
      <c r="I22" s="3860"/>
      <c r="J22" s="3860"/>
      <c r="K22" s="3860"/>
      <c r="L22" s="3860"/>
      <c r="M22" s="3860"/>
      <c r="N22" s="3860"/>
      <c r="O22" s="3860"/>
      <c r="P22" s="3860"/>
      <c r="Q22" s="3861"/>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7" s="204" customFormat="1" ht="21">
      <c r="A1" s="200" t="s">
        <v>83</v>
      </c>
      <c r="B1" s="201"/>
      <c r="C1" s="202"/>
      <c r="D1" s="202"/>
      <c r="E1" s="202"/>
      <c r="F1" s="202"/>
      <c r="G1" s="203"/>
    </row>
    <row r="2" spans="1:7" s="204" customFormat="1" ht="18" customHeight="1">
      <c r="A2" s="205" t="s">
        <v>84</v>
      </c>
      <c r="B2" s="206">
        <f>C52</f>
        <v>46315</v>
      </c>
      <c r="C2" s="2" t="s">
        <v>133</v>
      </c>
      <c r="D2" s="203"/>
      <c r="E2" s="203"/>
      <c r="F2" s="203"/>
      <c r="G2" s="203"/>
    </row>
    <row r="3" spans="1:7" s="204" customFormat="1" ht="18" customHeight="1" thickBot="1">
      <c r="A3" s="207" t="s">
        <v>85</v>
      </c>
      <c r="B3" s="208">
        <f>ROUND(B2*10000/'数据-汇总表'!E3,0)</f>
        <v>9181</v>
      </c>
      <c r="C3" s="2" t="s">
        <v>134</v>
      </c>
      <c r="D3" s="203"/>
      <c r="E3" s="203"/>
      <c r="F3" s="203"/>
      <c r="G3" s="203"/>
    </row>
    <row r="4" spans="1:7" s="212" customFormat="1" ht="16.2">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749</v>
      </c>
      <c r="D9" s="951">
        <f>'数据-汇总表'!E5</f>
        <v>46810</v>
      </c>
      <c r="E9" s="229">
        <f>'数据-取费表'!B27</f>
        <v>160</v>
      </c>
      <c r="F9" s="225"/>
      <c r="G9" s="230"/>
    </row>
    <row r="10" spans="1:7" s="218" customFormat="1" ht="13.5" customHeight="1">
      <c r="A10" s="884" t="s">
        <v>801</v>
      </c>
      <c r="B10" s="228" t="s">
        <v>94</v>
      </c>
      <c r="C10" s="229">
        <f>ROUND(D10*E10/10000,0)</f>
        <v>73</v>
      </c>
      <c r="D10" s="951">
        <f>'数据-汇总表'!E6</f>
        <v>3639</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1009</v>
      </c>
      <c r="D19" s="955">
        <f>'数据-汇总表'!E3</f>
        <v>50449</v>
      </c>
      <c r="E19" s="215">
        <f>'数据-取费表'!B31</f>
        <v>200</v>
      </c>
      <c r="F19" s="235"/>
      <c r="G19" s="1" t="s">
        <v>1042</v>
      </c>
    </row>
    <row r="20" spans="1:7" s="218" customFormat="1" ht="13.5" customHeight="1">
      <c r="A20" s="882" t="s">
        <v>1025</v>
      </c>
      <c r="B20" s="214" t="s">
        <v>104</v>
      </c>
      <c r="C20" s="236">
        <f>ROUND((C5+C19)*F20,0)</f>
        <v>432</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3234</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124</v>
      </c>
      <c r="D24" s="242"/>
      <c r="E24" s="242"/>
      <c r="F24" s="243"/>
      <c r="G24" s="244" t="s">
        <v>109</v>
      </c>
    </row>
    <row r="25" spans="1:7" s="218" customFormat="1" ht="24">
      <c r="A25" s="885" t="s">
        <v>793</v>
      </c>
      <c r="B25" s="219" t="s">
        <v>1026</v>
      </c>
      <c r="C25" s="1232">
        <f>ROUND(IF('数据-取费表'!B22&lt;=1,C20*F22*'数据-取费表'!B23/2,C20*(POWER((1+F22),'数据-取费表'!B23/2)-1)),0)</f>
        <v>31</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6.4">
      <c r="A27" s="882" t="s">
        <v>787</v>
      </c>
      <c r="B27" s="248" t="s">
        <v>112</v>
      </c>
      <c r="C27" s="249">
        <f>C28</f>
        <v>662</v>
      </c>
      <c r="D27" s="239">
        <f>C29</f>
        <v>0</v>
      </c>
      <c r="E27" s="240" t="s">
        <v>126</v>
      </c>
      <c r="F27" s="250">
        <f>'数据-取费表'!Q16</f>
        <v>0.03</v>
      </c>
      <c r="G27" s="251" t="s">
        <v>1037</v>
      </c>
    </row>
    <row r="28" spans="1:7" s="218" customFormat="1" ht="13.5" customHeight="1">
      <c r="A28" s="885" t="s">
        <v>794</v>
      </c>
      <c r="B28" s="252" t="s">
        <v>1030</v>
      </c>
      <c r="C28" s="253">
        <f>ROUND((C5+C19+C20)*F27*'数据-取费表'!B21/'数据-取费表'!B20,0)</f>
        <v>662</v>
      </c>
      <c r="D28" s="239"/>
      <c r="E28" s="240"/>
      <c r="F28" s="250"/>
      <c r="G28" s="251"/>
    </row>
    <row r="29" spans="1:7" s="218" customFormat="1" ht="13.5" customHeight="1">
      <c r="A29" s="885" t="s">
        <v>792</v>
      </c>
      <c r="B29" s="252" t="s">
        <v>1031</v>
      </c>
      <c r="C29" s="242">
        <f>ROUND(C21*F27*'数据-取费表'!B21/'数据-取费表'!B20,4)</f>
        <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f>ROUND((C5+C19+C20+C22+C27)/(1-C21-D22-D27-C30/(1+'数据-取费表'!B42)),0)</f>
        <v>25947</v>
      </c>
      <c r="D31" s="234"/>
      <c r="E31" s="215"/>
      <c r="F31" s="254"/>
      <c r="G31" s="238" t="s">
        <v>1038</v>
      </c>
    </row>
    <row r="32" spans="1:7" s="212" customFormat="1" ht="16.2">
      <c r="A32" s="256" t="s">
        <v>114</v>
      </c>
      <c r="B32" s="257"/>
      <c r="C32" s="257"/>
      <c r="D32" s="257"/>
      <c r="E32" s="257"/>
      <c r="F32" s="257"/>
      <c r="G32" s="258"/>
    </row>
    <row r="33" spans="1:7" s="218" customFormat="1" ht="13.5" customHeight="1">
      <c r="A33" s="259" t="s">
        <v>782</v>
      </c>
      <c r="B33" s="214" t="s">
        <v>115</v>
      </c>
      <c r="C33" s="260">
        <f>SUM(C34:C38)</f>
        <v>18532</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15135</v>
      </c>
      <c r="D34" s="221"/>
      <c r="E34" s="224"/>
      <c r="F34" s="261">
        <f>IF('数据-取费表'!B24=0,1,'数据-取费表'!N16)</f>
        <v>1</v>
      </c>
      <c r="G34" s="223" t="s">
        <v>116</v>
      </c>
    </row>
    <row r="35" spans="1:7" ht="13.5" customHeight="1">
      <c r="A35" s="885" t="s">
        <v>796</v>
      </c>
      <c r="B35" s="219" t="s">
        <v>60</v>
      </c>
      <c r="C35" s="224">
        <f>ROUND(C34*F35,0)</f>
        <v>757</v>
      </c>
      <c r="D35" s="224"/>
      <c r="E35" s="224"/>
      <c r="F35" s="263">
        <f>'数据-取费表'!B33</f>
        <v>0.05</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1404</v>
      </c>
      <c r="D36" s="224"/>
      <c r="E36" s="224"/>
      <c r="F36" s="263">
        <f>'数据-取费表'!B34</f>
        <v>0.1</v>
      </c>
      <c r="G36" s="264" t="s">
        <v>62</v>
      </c>
    </row>
    <row r="37" spans="1:7" s="262" customFormat="1" ht="13.5" customHeight="1">
      <c r="A37" s="885" t="s">
        <v>798</v>
      </c>
      <c r="B37" s="219" t="s">
        <v>118</v>
      </c>
      <c r="C37" s="253">
        <f>ROUND(E37*D37*F34/10000,0)</f>
        <v>1009</v>
      </c>
      <c r="D37" s="221">
        <f>'数据-汇总表'!E3</f>
        <v>50449</v>
      </c>
      <c r="E37" s="253">
        <f>'数据-取费表'!B35</f>
        <v>200</v>
      </c>
      <c r="F37" s="263"/>
      <c r="G37" s="265" t="s">
        <v>119</v>
      </c>
    </row>
    <row r="38" spans="1:7" ht="13.5" customHeight="1">
      <c r="A38" s="885" t="s">
        <v>799</v>
      </c>
      <c r="B38" s="219" t="s">
        <v>63</v>
      </c>
      <c r="C38" s="224">
        <f>ROUND(C34*F38,0)</f>
        <v>227</v>
      </c>
      <c r="D38" s="224"/>
      <c r="E38" s="224"/>
      <c r="F38" s="263">
        <f>'数据-取费表'!B36</f>
        <v>1.4999999999999999E-2</v>
      </c>
      <c r="G38" s="223" t="s">
        <v>117</v>
      </c>
    </row>
    <row r="39" spans="1:7" s="218" customFormat="1" ht="13.5" customHeight="1">
      <c r="A39" s="882" t="s">
        <v>783</v>
      </c>
      <c r="B39" s="214" t="s">
        <v>104</v>
      </c>
      <c r="C39" s="236">
        <f>ROUND(C33*F20,0)</f>
        <v>371</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898</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880</v>
      </c>
      <c r="D42" s="242"/>
      <c r="E42" s="242"/>
      <c r="F42" s="243"/>
      <c r="G42" s="3727" t="s">
        <v>121</v>
      </c>
    </row>
    <row r="43" spans="1:7" ht="13.5" customHeight="1">
      <c r="A43" s="885" t="s">
        <v>792</v>
      </c>
      <c r="B43" s="219" t="s">
        <v>1032</v>
      </c>
      <c r="C43" s="242">
        <f>ROUND(IF('数据-取费表'!B22&lt;=1,C39*F22*'数据-取费表'!B21/2,C39*(POWER((1+F22),'数据-取费表'!B21/2)-1)),0)</f>
        <v>18</v>
      </c>
      <c r="D43" s="242"/>
      <c r="E43" s="242"/>
      <c r="F43" s="243"/>
      <c r="G43" s="3728"/>
    </row>
    <row r="44" spans="1:7" ht="13.5" customHeight="1">
      <c r="A44" s="885" t="s">
        <v>793</v>
      </c>
      <c r="B44" s="219" t="s">
        <v>1034</v>
      </c>
      <c r="C44" s="242">
        <f>ROUND(IF('数据-取费表'!B22&lt;=1,C40*F22*'数据-取费表'!B21/2,C40*(POWER((1+F22),'数据-取费表'!B21/2)-1)),4)</f>
        <v>0</v>
      </c>
      <c r="D44" s="242"/>
      <c r="E44" s="242"/>
      <c r="F44" s="243"/>
      <c r="G44" s="3729"/>
    </row>
    <row r="45" spans="1:7" s="218" customFormat="1" ht="13.5" customHeight="1">
      <c r="A45" s="882" t="s">
        <v>786</v>
      </c>
      <c r="B45" s="248" t="s">
        <v>112</v>
      </c>
      <c r="C45" s="249">
        <f>C46</f>
        <v>567</v>
      </c>
      <c r="D45" s="239">
        <f>C47</f>
        <v>0</v>
      </c>
      <c r="E45" s="240" t="s">
        <v>129</v>
      </c>
      <c r="F45" s="250"/>
      <c r="G45" s="251" t="s">
        <v>1040</v>
      </c>
    </row>
    <row r="46" spans="1:7" s="218" customFormat="1" ht="13.5" customHeight="1">
      <c r="A46" s="885" t="s">
        <v>794</v>
      </c>
      <c r="B46" s="252" t="s">
        <v>1033</v>
      </c>
      <c r="C46" s="253">
        <f>ROUND((C33+C39)*F27,0)</f>
        <v>567</v>
      </c>
      <c r="D46" s="267"/>
      <c r="E46" s="240"/>
      <c r="F46" s="250"/>
      <c r="G46" s="251"/>
    </row>
    <row r="47" spans="1:7" s="218" customFormat="1" ht="13.5" customHeight="1">
      <c r="A47" s="885" t="s">
        <v>792</v>
      </c>
      <c r="B47" s="252" t="s">
        <v>1035</v>
      </c>
      <c r="C47" s="242">
        <f>ROUND(C40*F27,4)</f>
        <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f>ROUND((C33+C39+C41+C45)/(1-C40-D41-D45-C48/(1+'数据-取费表'!B42)),0)</f>
        <v>20368</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f>ROUND(C49*F50,0)</f>
        <v>20368</v>
      </c>
      <c r="D51" s="236"/>
      <c r="E51" s="236"/>
      <c r="F51" s="268"/>
      <c r="G51" s="238" t="s">
        <v>64</v>
      </c>
    </row>
    <row r="52" spans="1:7" s="212" customFormat="1" ht="16.8" thickBot="1">
      <c r="A52" s="269" t="s">
        <v>65</v>
      </c>
      <c r="B52" s="270"/>
      <c r="C52" s="271">
        <f>C31+C51</f>
        <v>46315</v>
      </c>
      <c r="D52" s="270"/>
      <c r="E52" s="270"/>
      <c r="F52" s="270"/>
      <c r="G52" s="272"/>
    </row>
    <row r="55" spans="1:7" ht="15">
      <c r="B55" s="274" t="s">
        <v>66</v>
      </c>
      <c r="C55" s="275"/>
    </row>
    <row r="56" spans="1:7">
      <c r="B56" s="277" t="s">
        <v>67</v>
      </c>
      <c r="C56" s="278">
        <f>ROUND(C51/C52,3)</f>
        <v>0.44</v>
      </c>
    </row>
    <row r="57" spans="1:7">
      <c r="B57" s="277" t="s">
        <v>68</v>
      </c>
      <c r="C57" s="279">
        <f>1-C56</f>
        <v>0.56000000000000005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1" customWidth="1"/>
    <col min="2" max="5" width="10.21875" style="749" customWidth="1"/>
    <col min="6" max="6" width="9" style="749"/>
    <col min="7" max="8" width="9" style="764"/>
    <col min="9" max="16384" width="9" style="749"/>
  </cols>
  <sheetData>
    <row r="1" spans="1:19">
      <c r="A1" s="3865" t="s">
        <v>156</v>
      </c>
      <c r="B1" s="3865"/>
      <c r="C1" s="3865"/>
      <c r="D1" s="3865"/>
      <c r="E1" s="3865"/>
      <c r="F1" s="386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5" thickBot="1">
      <c r="A2" s="3866" t="s">
        <v>169</v>
      </c>
      <c r="B2" s="3866"/>
      <c r="C2" s="3866"/>
      <c r="D2" s="3866"/>
      <c r="E2" s="3866"/>
      <c r="F2" s="386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6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86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1" customWidth="1"/>
    <col min="2" max="2" width="10.21875" style="749" customWidth="1"/>
  </cols>
  <sheetData>
    <row r="1" spans="1:6">
      <c r="A1" s="3865" t="s">
        <v>839</v>
      </c>
      <c r="B1" s="3865"/>
    </row>
    <row r="2" spans="1:6" ht="15" thickBot="1">
      <c r="A2" s="969"/>
      <c r="B2" s="969"/>
    </row>
    <row r="3" spans="1:6" ht="15" thickBot="1">
      <c r="A3" s="969"/>
      <c r="B3" s="969"/>
      <c r="C3" s="972" t="s">
        <v>842</v>
      </c>
      <c r="D3" s="972" t="s">
        <v>843</v>
      </c>
      <c r="E3" s="972" t="s">
        <v>844</v>
      </c>
      <c r="F3" s="972" t="s">
        <v>845</v>
      </c>
    </row>
    <row r="4" spans="1:6" ht="15" thickBot="1">
      <c r="A4" s="970" t="s">
        <v>840</v>
      </c>
      <c r="B4" s="971" t="s">
        <v>841</v>
      </c>
      <c r="C4" s="972"/>
      <c r="D4" s="972"/>
      <c r="E4" s="972"/>
      <c r="F4" s="972"/>
    </row>
    <row r="5" spans="1:6" ht="15" thickBot="1">
      <c r="A5" s="776" t="s">
        <v>846</v>
      </c>
      <c r="B5" s="777" t="s">
        <v>847</v>
      </c>
      <c r="C5" s="973">
        <v>8.8999999999999996E-2</v>
      </c>
      <c r="D5" s="973">
        <v>7.3999999999999996E-2</v>
      </c>
      <c r="E5" s="973">
        <v>7.4999999999999997E-2</v>
      </c>
      <c r="F5" s="974">
        <v>0.1</v>
      </c>
    </row>
    <row r="6" spans="1:6" ht="15" thickBot="1">
      <c r="A6" s="776" t="s">
        <v>212</v>
      </c>
      <c r="B6" s="770" t="s">
        <v>848</v>
      </c>
      <c r="C6" s="975">
        <v>0.1</v>
      </c>
      <c r="D6" s="975">
        <v>9.0999999999999998E-2</v>
      </c>
      <c r="E6" s="975">
        <v>9.0999999999999998E-2</v>
      </c>
      <c r="F6" s="976">
        <v>0.1</v>
      </c>
    </row>
    <row r="7" spans="1:6" ht="15" thickBot="1">
      <c r="A7" s="776" t="s">
        <v>212</v>
      </c>
      <c r="B7" s="780" t="s">
        <v>201</v>
      </c>
      <c r="C7" s="975">
        <v>8.5999999999999993E-2</v>
      </c>
      <c r="D7" s="975">
        <v>9.6000000000000002E-2</v>
      </c>
      <c r="E7" s="975">
        <v>7.5999999999999998E-2</v>
      </c>
      <c r="F7" s="976">
        <v>0.1</v>
      </c>
    </row>
    <row r="8" spans="1:6" ht="15" thickBot="1">
      <c r="A8" s="776" t="s">
        <v>212</v>
      </c>
      <c r="B8" s="770" t="s">
        <v>213</v>
      </c>
      <c r="C8" s="975">
        <v>9.9000000000000005E-2</v>
      </c>
      <c r="D8" s="975">
        <v>9.8000000000000004E-2</v>
      </c>
      <c r="E8" s="975">
        <v>9.8000000000000004E-2</v>
      </c>
      <c r="F8" s="976">
        <v>0.1</v>
      </c>
    </row>
    <row r="9" spans="1:6" ht="15" thickBot="1">
      <c r="A9" s="786" t="s">
        <v>212</v>
      </c>
      <c r="B9" s="781" t="s">
        <v>225</v>
      </c>
      <c r="C9" s="977">
        <v>0.05</v>
      </c>
      <c r="D9" s="985"/>
      <c r="E9" s="985"/>
      <c r="F9" s="986"/>
    </row>
    <row r="10" spans="1:6" ht="15" thickBot="1">
      <c r="A10" s="776" t="s">
        <v>269</v>
      </c>
      <c r="B10" s="777" t="s">
        <v>849</v>
      </c>
      <c r="C10" s="973">
        <v>8.8999999999999996E-2</v>
      </c>
      <c r="D10" s="973">
        <v>7.2999999999999995E-2</v>
      </c>
      <c r="E10" s="973">
        <v>8.2000000000000003E-2</v>
      </c>
      <c r="F10" s="974">
        <v>0.1</v>
      </c>
    </row>
    <row r="11" spans="1:6" ht="15" thickBot="1">
      <c r="A11" s="776" t="s">
        <v>269</v>
      </c>
      <c r="B11" s="780" t="s">
        <v>188</v>
      </c>
      <c r="C11" s="975">
        <v>8.8999999999999996E-2</v>
      </c>
      <c r="D11" s="975">
        <v>7.2999999999999995E-2</v>
      </c>
      <c r="E11" s="975">
        <v>8.2000000000000003E-2</v>
      </c>
      <c r="F11" s="976">
        <v>0.1</v>
      </c>
    </row>
    <row r="12" spans="1:6" ht="15" thickBot="1">
      <c r="A12" s="776" t="s">
        <v>269</v>
      </c>
      <c r="B12" s="780" t="s">
        <v>138</v>
      </c>
      <c r="C12" s="975">
        <v>6.0999999999999999E-2</v>
      </c>
      <c r="D12" s="975">
        <v>7.0999999999999994E-2</v>
      </c>
      <c r="E12" s="975">
        <v>9.6000000000000002E-2</v>
      </c>
      <c r="F12" s="976">
        <v>0.1</v>
      </c>
    </row>
    <row r="13" spans="1:6" ht="15" thickBot="1">
      <c r="A13" s="776" t="s">
        <v>269</v>
      </c>
      <c r="B13" s="780" t="s">
        <v>214</v>
      </c>
      <c r="C13" s="975">
        <v>6.9000000000000006E-2</v>
      </c>
      <c r="D13" s="975">
        <v>6.5000000000000002E-2</v>
      </c>
      <c r="E13" s="975">
        <v>6.6000000000000003E-2</v>
      </c>
      <c r="F13" s="976">
        <v>0.1</v>
      </c>
    </row>
    <row r="14" spans="1:6" ht="15" thickBot="1">
      <c r="A14" s="776" t="s">
        <v>269</v>
      </c>
      <c r="B14" s="780" t="s">
        <v>226</v>
      </c>
      <c r="C14" s="975">
        <v>0.1</v>
      </c>
      <c r="D14" s="975">
        <v>6.5000000000000002E-2</v>
      </c>
      <c r="E14" s="975">
        <v>7.0000000000000007E-2</v>
      </c>
      <c r="F14" s="976">
        <v>0.1</v>
      </c>
    </row>
    <row r="15" spans="1:6" ht="15" thickBot="1">
      <c r="A15" s="776" t="s">
        <v>269</v>
      </c>
      <c r="B15" s="780" t="s">
        <v>237</v>
      </c>
      <c r="C15" s="975">
        <v>9.8000000000000004E-2</v>
      </c>
      <c r="D15" s="975">
        <v>8.8999999999999996E-2</v>
      </c>
      <c r="E15" s="975">
        <v>8.8999999999999996E-2</v>
      </c>
      <c r="F15" s="976">
        <v>0.1</v>
      </c>
    </row>
    <row r="16" spans="1:6" ht="15" thickBot="1">
      <c r="A16" s="776" t="s">
        <v>269</v>
      </c>
      <c r="B16" s="780" t="s">
        <v>248</v>
      </c>
      <c r="C16" s="975">
        <v>7.0000000000000007E-2</v>
      </c>
      <c r="D16" s="975">
        <v>9.2999999999999999E-2</v>
      </c>
      <c r="E16" s="975">
        <v>9.6000000000000002E-2</v>
      </c>
      <c r="F16" s="976">
        <v>0.1</v>
      </c>
    </row>
    <row r="17" spans="1:6" ht="15" thickBot="1">
      <c r="A17" s="776" t="s">
        <v>269</v>
      </c>
      <c r="B17" s="780" t="s">
        <v>259</v>
      </c>
      <c r="C17" s="975">
        <v>9.5000000000000001E-2</v>
      </c>
      <c r="D17" s="975">
        <v>0.1</v>
      </c>
      <c r="E17" s="975">
        <v>0.1</v>
      </c>
      <c r="F17" s="987"/>
    </row>
    <row r="18" spans="1:6" ht="15" thickBot="1">
      <c r="A18" s="776" t="s">
        <v>269</v>
      </c>
      <c r="B18" s="780" t="s">
        <v>271</v>
      </c>
      <c r="C18" s="975">
        <v>7.3999999999999996E-2</v>
      </c>
      <c r="D18" s="975">
        <v>9.9000000000000005E-2</v>
      </c>
      <c r="E18" s="975">
        <v>0.1</v>
      </c>
      <c r="F18" s="987"/>
    </row>
    <row r="19" spans="1:6" ht="15" thickBot="1">
      <c r="A19" s="776" t="s">
        <v>269</v>
      </c>
      <c r="B19" s="780" t="s">
        <v>281</v>
      </c>
      <c r="C19" s="975">
        <v>9.9000000000000005E-2</v>
      </c>
      <c r="D19" s="975">
        <v>7.5999999999999998E-2</v>
      </c>
      <c r="E19" s="975">
        <v>8.6999999999999994E-2</v>
      </c>
      <c r="F19" s="987"/>
    </row>
    <row r="20" spans="1:6" ht="15" thickBot="1">
      <c r="A20" s="776" t="s">
        <v>269</v>
      </c>
      <c r="B20" s="780" t="s">
        <v>291</v>
      </c>
      <c r="C20" s="975">
        <v>9.8000000000000004E-2</v>
      </c>
      <c r="D20" s="975">
        <v>8.5000000000000006E-2</v>
      </c>
      <c r="E20" s="975">
        <v>8.2000000000000003E-2</v>
      </c>
      <c r="F20" s="987"/>
    </row>
    <row r="21" spans="1:6" ht="15" thickBot="1">
      <c r="A21" s="776" t="s">
        <v>269</v>
      </c>
      <c r="B21" s="780" t="s">
        <v>301</v>
      </c>
      <c r="C21" s="975">
        <v>6.6000000000000003E-2</v>
      </c>
      <c r="D21" s="975">
        <v>6.4000000000000001E-2</v>
      </c>
      <c r="E21" s="975">
        <v>6.5000000000000002E-2</v>
      </c>
      <c r="F21" s="987"/>
    </row>
    <row r="22" spans="1:6" ht="15" thickBot="1">
      <c r="A22" s="776" t="s">
        <v>269</v>
      </c>
      <c r="B22" s="780" t="s">
        <v>850</v>
      </c>
      <c r="C22" s="975">
        <v>0.08</v>
      </c>
      <c r="D22" s="975">
        <v>9.8000000000000004E-2</v>
      </c>
      <c r="E22" s="975">
        <v>9.8000000000000004E-2</v>
      </c>
      <c r="F22" s="987"/>
    </row>
    <row r="23" spans="1:6" ht="15" thickBot="1">
      <c r="A23" s="776" t="s">
        <v>269</v>
      </c>
      <c r="B23" s="780" t="s">
        <v>322</v>
      </c>
      <c r="C23" s="975">
        <v>9.9000000000000005E-2</v>
      </c>
      <c r="D23" s="975">
        <v>9.8000000000000004E-2</v>
      </c>
      <c r="E23" s="975">
        <v>9.0999999999999998E-2</v>
      </c>
      <c r="F23" s="987"/>
    </row>
    <row r="24" spans="1:6" ht="15" thickBot="1">
      <c r="A24" s="776" t="s">
        <v>269</v>
      </c>
      <c r="B24" s="780" t="s">
        <v>333</v>
      </c>
      <c r="C24" s="975">
        <v>8.8999999999999996E-2</v>
      </c>
      <c r="D24" s="975">
        <v>9.7000000000000003E-2</v>
      </c>
      <c r="E24" s="975">
        <v>7.0000000000000007E-2</v>
      </c>
      <c r="F24" s="987"/>
    </row>
    <row r="25" spans="1:6" ht="15" thickBot="1">
      <c r="A25" s="776" t="s">
        <v>269</v>
      </c>
      <c r="B25" s="780" t="s">
        <v>343</v>
      </c>
      <c r="C25" s="975">
        <v>8.8999999999999996E-2</v>
      </c>
      <c r="D25" s="975">
        <v>0.1</v>
      </c>
      <c r="E25" s="975">
        <v>8.1000000000000003E-2</v>
      </c>
      <c r="F25" s="987"/>
    </row>
    <row r="26" spans="1:6" ht="15" thickBot="1">
      <c r="A26" s="776" t="s">
        <v>269</v>
      </c>
      <c r="B26" s="780" t="s">
        <v>353</v>
      </c>
      <c r="C26" s="988"/>
      <c r="D26" s="975">
        <v>9.6000000000000002E-2</v>
      </c>
      <c r="E26" s="975">
        <v>9.2999999999999999E-2</v>
      </c>
      <c r="F26" s="987"/>
    </row>
    <row r="27" spans="1:6" ht="15" thickBot="1">
      <c r="A27" s="776" t="s">
        <v>269</v>
      </c>
      <c r="B27" s="780" t="s">
        <v>363</v>
      </c>
      <c r="C27" s="988"/>
      <c r="D27" s="975">
        <v>7.5999999999999998E-2</v>
      </c>
      <c r="E27" s="975">
        <v>9.1999999999999998E-2</v>
      </c>
      <c r="F27" s="987"/>
    </row>
    <row r="28" spans="1:6" ht="15" thickBot="1">
      <c r="A28" s="786" t="s">
        <v>269</v>
      </c>
      <c r="B28" s="781" t="s">
        <v>373</v>
      </c>
      <c r="C28" s="985"/>
      <c r="D28" s="977">
        <v>7.5999999999999998E-2</v>
      </c>
      <c r="E28" s="977">
        <v>9.1999999999999998E-2</v>
      </c>
      <c r="F28" s="986"/>
    </row>
    <row r="29" spans="1:6" ht="15" thickBot="1">
      <c r="A29" s="776" t="s">
        <v>442</v>
      </c>
      <c r="B29" s="777" t="s">
        <v>851</v>
      </c>
      <c r="C29" s="973">
        <v>6.4000000000000001E-2</v>
      </c>
      <c r="D29" s="973">
        <v>6.5000000000000002E-2</v>
      </c>
      <c r="E29" s="973">
        <v>6.9000000000000006E-2</v>
      </c>
      <c r="F29" s="974">
        <v>0.1</v>
      </c>
    </row>
    <row r="30" spans="1:6" ht="15" thickBot="1">
      <c r="A30" s="776" t="s">
        <v>442</v>
      </c>
      <c r="B30" s="780" t="s">
        <v>189</v>
      </c>
      <c r="C30" s="975">
        <v>6.4000000000000001E-2</v>
      </c>
      <c r="D30" s="975">
        <v>9.9000000000000005E-2</v>
      </c>
      <c r="E30" s="975">
        <v>0.1</v>
      </c>
      <c r="F30" s="976">
        <v>0.1</v>
      </c>
    </row>
    <row r="31" spans="1:6" ht="15" thickBot="1">
      <c r="A31" s="776" t="s">
        <v>442</v>
      </c>
      <c r="B31" s="780" t="s">
        <v>202</v>
      </c>
      <c r="C31" s="975">
        <v>0.1</v>
      </c>
      <c r="D31" s="975">
        <v>9.5000000000000001E-2</v>
      </c>
      <c r="E31" s="975">
        <v>8.8999999999999996E-2</v>
      </c>
      <c r="F31" s="976">
        <v>0.1</v>
      </c>
    </row>
    <row r="32" spans="1:6" ht="15" thickBot="1">
      <c r="A32" s="776" t="s">
        <v>442</v>
      </c>
      <c r="B32" s="780" t="s">
        <v>215</v>
      </c>
      <c r="C32" s="975">
        <v>0.05</v>
      </c>
      <c r="D32" s="975">
        <v>0.05</v>
      </c>
      <c r="E32" s="975">
        <v>8.7999999999999995E-2</v>
      </c>
      <c r="F32" s="976">
        <v>0.1</v>
      </c>
    </row>
    <row r="33" spans="1:6" ht="15" thickBot="1">
      <c r="A33" s="776" t="s">
        <v>442</v>
      </c>
      <c r="B33" s="780" t="s">
        <v>227</v>
      </c>
      <c r="C33" s="975">
        <v>7.4999999999999997E-2</v>
      </c>
      <c r="D33" s="975">
        <v>9.4E-2</v>
      </c>
      <c r="E33" s="975">
        <v>9.7000000000000003E-2</v>
      </c>
      <c r="F33" s="976">
        <v>0.1</v>
      </c>
    </row>
    <row r="34" spans="1:6" ht="15" thickBot="1">
      <c r="A34" s="776" t="s">
        <v>442</v>
      </c>
      <c r="B34" s="780" t="s">
        <v>238</v>
      </c>
      <c r="C34" s="975">
        <v>9.8000000000000004E-2</v>
      </c>
      <c r="D34" s="975">
        <v>8.5999999999999993E-2</v>
      </c>
      <c r="E34" s="975">
        <v>9.7000000000000003E-2</v>
      </c>
      <c r="F34" s="976">
        <v>0.1</v>
      </c>
    </row>
    <row r="35" spans="1:6" ht="15" thickBot="1">
      <c r="A35" s="776" t="s">
        <v>442</v>
      </c>
      <c r="B35" s="780" t="s">
        <v>249</v>
      </c>
      <c r="C35" s="975">
        <v>5.8999999999999997E-2</v>
      </c>
      <c r="D35" s="975">
        <v>6.5000000000000002E-2</v>
      </c>
      <c r="E35" s="975">
        <v>7.0000000000000007E-2</v>
      </c>
      <c r="F35" s="976">
        <v>0.1</v>
      </c>
    </row>
    <row r="36" spans="1:6" ht="15" thickBot="1">
      <c r="A36" s="776" t="s">
        <v>442</v>
      </c>
      <c r="B36" s="780" t="s">
        <v>260</v>
      </c>
      <c r="C36" s="975">
        <v>6.3E-2</v>
      </c>
      <c r="D36" s="975">
        <v>0.1</v>
      </c>
      <c r="E36" s="975">
        <v>0.1</v>
      </c>
      <c r="F36" s="976">
        <v>0.1</v>
      </c>
    </row>
    <row r="37" spans="1:6" ht="15" thickBot="1">
      <c r="A37" s="776" t="s">
        <v>442</v>
      </c>
      <c r="B37" s="780" t="s">
        <v>272</v>
      </c>
      <c r="C37" s="975">
        <v>7.3999999999999996E-2</v>
      </c>
      <c r="D37" s="975">
        <v>0.1</v>
      </c>
      <c r="E37" s="975">
        <v>0.1</v>
      </c>
      <c r="F37" s="976">
        <v>0.1</v>
      </c>
    </row>
    <row r="38" spans="1:6" ht="15" thickBot="1">
      <c r="A38" s="776" t="s">
        <v>442</v>
      </c>
      <c r="B38" s="780" t="s">
        <v>282</v>
      </c>
      <c r="C38" s="975">
        <v>0.1</v>
      </c>
      <c r="D38" s="975">
        <v>9.6000000000000002E-2</v>
      </c>
      <c r="E38" s="975">
        <v>9.6000000000000002E-2</v>
      </c>
      <c r="F38" s="987"/>
    </row>
    <row r="39" spans="1:6" ht="15" thickBot="1">
      <c r="A39" s="776" t="s">
        <v>442</v>
      </c>
      <c r="B39" s="780" t="s">
        <v>292</v>
      </c>
      <c r="C39" s="975">
        <v>0.1</v>
      </c>
      <c r="D39" s="975">
        <v>9.6000000000000002E-2</v>
      </c>
      <c r="E39" s="975">
        <v>9.6000000000000002E-2</v>
      </c>
      <c r="F39" s="987"/>
    </row>
    <row r="40" spans="1:6" ht="15" thickBot="1">
      <c r="A40" s="776" t="s">
        <v>442</v>
      </c>
      <c r="B40" s="780" t="s">
        <v>302</v>
      </c>
      <c r="C40" s="975">
        <v>9.6000000000000002E-2</v>
      </c>
      <c r="D40" s="975">
        <v>0.1</v>
      </c>
      <c r="E40" s="975">
        <v>9.9000000000000005E-2</v>
      </c>
      <c r="F40" s="987"/>
    </row>
    <row r="41" spans="1:6" ht="15" thickBot="1">
      <c r="A41" s="776" t="s">
        <v>442</v>
      </c>
      <c r="B41" s="780" t="s">
        <v>312</v>
      </c>
      <c r="C41" s="975">
        <v>9.6000000000000002E-2</v>
      </c>
      <c r="D41" s="975">
        <v>9.8000000000000004E-2</v>
      </c>
      <c r="E41" s="975">
        <v>9.8000000000000004E-2</v>
      </c>
      <c r="F41" s="987"/>
    </row>
    <row r="42" spans="1:6" ht="15" thickBot="1">
      <c r="A42" s="776" t="s">
        <v>442</v>
      </c>
      <c r="B42" s="780" t="s">
        <v>323</v>
      </c>
      <c r="C42" s="975">
        <v>0.1</v>
      </c>
      <c r="D42" s="975">
        <v>8.7999999999999995E-2</v>
      </c>
      <c r="E42" s="975">
        <v>0.1</v>
      </c>
      <c r="F42" s="987"/>
    </row>
    <row r="43" spans="1:6" ht="15" thickBot="1">
      <c r="A43" s="776" t="s">
        <v>442</v>
      </c>
      <c r="B43" s="780" t="s">
        <v>334</v>
      </c>
      <c r="C43" s="975">
        <v>9.8000000000000004E-2</v>
      </c>
      <c r="D43" s="975">
        <v>9.7000000000000003E-2</v>
      </c>
      <c r="E43" s="975">
        <v>9.6000000000000002E-2</v>
      </c>
      <c r="F43" s="987"/>
    </row>
    <row r="44" spans="1:6" ht="15" thickBot="1">
      <c r="A44" s="776" t="s">
        <v>442</v>
      </c>
      <c r="B44" s="780" t="s">
        <v>344</v>
      </c>
      <c r="C44" s="975">
        <v>8.5999999999999993E-2</v>
      </c>
      <c r="D44" s="975">
        <v>7.9000000000000001E-2</v>
      </c>
      <c r="E44" s="975">
        <v>7.0999999999999994E-2</v>
      </c>
      <c r="F44" s="987"/>
    </row>
    <row r="45" spans="1:6" ht="15" thickBot="1">
      <c r="A45" s="776" t="s">
        <v>442</v>
      </c>
      <c r="B45" s="780" t="s">
        <v>354</v>
      </c>
      <c r="C45" s="975">
        <v>9.8000000000000004E-2</v>
      </c>
      <c r="D45" s="975">
        <v>9.6000000000000002E-2</v>
      </c>
      <c r="E45" s="975">
        <v>9.6000000000000002E-2</v>
      </c>
      <c r="F45" s="987"/>
    </row>
    <row r="46" spans="1:6" ht="15" thickBot="1">
      <c r="A46" s="776" t="s">
        <v>442</v>
      </c>
      <c r="B46" s="780" t="s">
        <v>364</v>
      </c>
      <c r="C46" s="975">
        <v>8.5999999999999993E-2</v>
      </c>
      <c r="D46" s="975">
        <v>9.8000000000000004E-2</v>
      </c>
      <c r="E46" s="975">
        <v>8.7999999999999995E-2</v>
      </c>
      <c r="F46" s="987"/>
    </row>
    <row r="47" spans="1:6" ht="15" thickBot="1">
      <c r="A47" s="776" t="s">
        <v>442</v>
      </c>
      <c r="B47" s="780" t="s">
        <v>374</v>
      </c>
      <c r="C47" s="975">
        <v>9.6000000000000002E-2</v>
      </c>
      <c r="D47" s="988"/>
      <c r="E47" s="975">
        <v>6.9000000000000006E-2</v>
      </c>
      <c r="F47" s="987"/>
    </row>
    <row r="48" spans="1:6" ht="15" thickBot="1">
      <c r="A48" s="786" t="s">
        <v>442</v>
      </c>
      <c r="B48" s="781" t="s">
        <v>383</v>
      </c>
      <c r="C48" s="977">
        <v>9.8000000000000004E-2</v>
      </c>
      <c r="D48" s="985"/>
      <c r="E48" s="977">
        <v>9.5000000000000001E-2</v>
      </c>
      <c r="F48" s="986"/>
    </row>
    <row r="49" spans="1:6" ht="15" thickBot="1">
      <c r="A49" s="776" t="s">
        <v>137</v>
      </c>
      <c r="B49" s="777" t="s">
        <v>852</v>
      </c>
      <c r="C49" s="973">
        <v>9.7000000000000003E-2</v>
      </c>
      <c r="D49" s="973">
        <v>9.5000000000000001E-2</v>
      </c>
      <c r="E49" s="973">
        <v>9.7000000000000003E-2</v>
      </c>
      <c r="F49" s="974">
        <v>0.1</v>
      </c>
    </row>
    <row r="50" spans="1:6" ht="15" thickBot="1">
      <c r="A50" s="776" t="s">
        <v>137</v>
      </c>
      <c r="B50" s="770" t="s">
        <v>190</v>
      </c>
      <c r="C50" s="975">
        <v>7.4999999999999997E-2</v>
      </c>
      <c r="D50" s="975">
        <v>9.5000000000000001E-2</v>
      </c>
      <c r="E50" s="975">
        <v>0.1</v>
      </c>
      <c r="F50" s="976">
        <v>0.1</v>
      </c>
    </row>
    <row r="51" spans="1:6" ht="15" thickBot="1">
      <c r="A51" s="776" t="s">
        <v>137</v>
      </c>
      <c r="B51" s="770" t="s">
        <v>203</v>
      </c>
      <c r="C51" s="975">
        <v>9.8000000000000004E-2</v>
      </c>
      <c r="D51" s="975">
        <v>8.8999999999999996E-2</v>
      </c>
      <c r="E51" s="975">
        <v>0.1</v>
      </c>
      <c r="F51" s="976">
        <v>0.1</v>
      </c>
    </row>
    <row r="52" spans="1:6" ht="15" thickBot="1">
      <c r="A52" s="776" t="s">
        <v>137</v>
      </c>
      <c r="B52" s="770" t="s">
        <v>216</v>
      </c>
      <c r="C52" s="975">
        <v>9.8000000000000004E-2</v>
      </c>
      <c r="D52" s="975">
        <v>9.7000000000000003E-2</v>
      </c>
      <c r="E52" s="975">
        <v>8.1000000000000003E-2</v>
      </c>
      <c r="F52" s="976">
        <v>0.1</v>
      </c>
    </row>
    <row r="53" spans="1:6" ht="15" thickBot="1">
      <c r="A53" s="776" t="s">
        <v>137</v>
      </c>
      <c r="B53" s="770" t="s">
        <v>228</v>
      </c>
      <c r="C53" s="975">
        <v>9.7000000000000003E-2</v>
      </c>
      <c r="D53" s="975">
        <v>7.5999999999999998E-2</v>
      </c>
      <c r="E53" s="975">
        <v>7.0999999999999994E-2</v>
      </c>
      <c r="F53" s="976">
        <v>0.1</v>
      </c>
    </row>
    <row r="54" spans="1:6" ht="15" thickBot="1">
      <c r="A54" s="776" t="s">
        <v>137</v>
      </c>
      <c r="B54" s="770" t="s">
        <v>239</v>
      </c>
      <c r="C54" s="975">
        <v>7.5999999999999998E-2</v>
      </c>
      <c r="D54" s="975">
        <v>0.1</v>
      </c>
      <c r="E54" s="975">
        <v>9.9000000000000005E-2</v>
      </c>
      <c r="F54" s="976">
        <v>0.1</v>
      </c>
    </row>
    <row r="55" spans="1:6" ht="15" thickBot="1">
      <c r="A55" s="776" t="s">
        <v>137</v>
      </c>
      <c r="B55" s="770" t="s">
        <v>250</v>
      </c>
      <c r="C55" s="975">
        <v>0.1</v>
      </c>
      <c r="D55" s="975">
        <v>0.1</v>
      </c>
      <c r="E55" s="975">
        <v>9.6000000000000002E-2</v>
      </c>
      <c r="F55" s="976">
        <v>0.1</v>
      </c>
    </row>
    <row r="56" spans="1:6" ht="15" thickBot="1">
      <c r="A56" s="776" t="s">
        <v>137</v>
      </c>
      <c r="B56" s="770" t="s">
        <v>261</v>
      </c>
      <c r="C56" s="975">
        <v>0.1</v>
      </c>
      <c r="D56" s="975">
        <v>9.6000000000000002E-2</v>
      </c>
      <c r="E56" s="975">
        <v>5.1999999999999998E-2</v>
      </c>
      <c r="F56" s="976">
        <v>0.1</v>
      </c>
    </row>
    <row r="57" spans="1:6" ht="15" thickBot="1">
      <c r="A57" s="776" t="s">
        <v>137</v>
      </c>
      <c r="B57" s="770" t="s">
        <v>273</v>
      </c>
      <c r="C57" s="975">
        <v>9.7000000000000003E-2</v>
      </c>
      <c r="D57" s="975">
        <v>9.6000000000000002E-2</v>
      </c>
      <c r="E57" s="975">
        <v>9.6000000000000002E-2</v>
      </c>
      <c r="F57" s="976">
        <v>0.1</v>
      </c>
    </row>
    <row r="58" spans="1:6" ht="15" thickBot="1">
      <c r="A58" s="776" t="s">
        <v>137</v>
      </c>
      <c r="B58" s="770" t="s">
        <v>283</v>
      </c>
      <c r="C58" s="975">
        <v>9.6000000000000002E-2</v>
      </c>
      <c r="D58" s="975">
        <v>9.9000000000000005E-2</v>
      </c>
      <c r="E58" s="975">
        <v>9.6000000000000002E-2</v>
      </c>
      <c r="F58" s="976">
        <v>0.1</v>
      </c>
    </row>
    <row r="59" spans="1:6" ht="15" thickBot="1">
      <c r="A59" s="776" t="s">
        <v>137</v>
      </c>
      <c r="B59" s="770" t="s">
        <v>293</v>
      </c>
      <c r="C59" s="975">
        <v>7.1999999999999995E-2</v>
      </c>
      <c r="D59" s="975">
        <v>9.6000000000000002E-2</v>
      </c>
      <c r="E59" s="975">
        <v>7.0999999999999994E-2</v>
      </c>
      <c r="F59" s="976">
        <v>0.1</v>
      </c>
    </row>
    <row r="60" spans="1:6" ht="15" thickBot="1">
      <c r="A60" s="776" t="s">
        <v>137</v>
      </c>
      <c r="B60" s="770" t="s">
        <v>303</v>
      </c>
      <c r="C60" s="975">
        <v>9.6000000000000002E-2</v>
      </c>
      <c r="D60" s="975">
        <v>8.8999999999999996E-2</v>
      </c>
      <c r="E60" s="975">
        <v>9.6000000000000002E-2</v>
      </c>
      <c r="F60" s="976">
        <v>0.1</v>
      </c>
    </row>
    <row r="61" spans="1:6" ht="15" thickBot="1">
      <c r="A61" s="776" t="s">
        <v>137</v>
      </c>
      <c r="B61" s="770" t="s">
        <v>313</v>
      </c>
      <c r="C61" s="975">
        <v>8.8999999999999996E-2</v>
      </c>
      <c r="D61" s="975">
        <v>9.8000000000000004E-2</v>
      </c>
      <c r="E61" s="975">
        <v>8.7999999999999995E-2</v>
      </c>
      <c r="F61" s="987"/>
    </row>
    <row r="62" spans="1:6" ht="15" thickBot="1">
      <c r="A62" s="776" t="s">
        <v>137</v>
      </c>
      <c r="B62" s="770" t="s">
        <v>324</v>
      </c>
      <c r="C62" s="975">
        <v>9.8000000000000004E-2</v>
      </c>
      <c r="D62" s="975">
        <v>9.2999999999999999E-2</v>
      </c>
      <c r="E62" s="975">
        <v>9.7000000000000003E-2</v>
      </c>
      <c r="F62" s="987"/>
    </row>
    <row r="63" spans="1:6" ht="15" thickBot="1">
      <c r="A63" s="776" t="s">
        <v>137</v>
      </c>
      <c r="B63" s="770" t="s">
        <v>335</v>
      </c>
      <c r="C63" s="975">
        <v>9.6000000000000002E-2</v>
      </c>
      <c r="D63" s="975">
        <v>9.8000000000000004E-2</v>
      </c>
      <c r="E63" s="975">
        <v>0.09</v>
      </c>
      <c r="F63" s="987"/>
    </row>
    <row r="64" spans="1:6" ht="15" thickBot="1">
      <c r="A64" s="776" t="s">
        <v>137</v>
      </c>
      <c r="B64" s="770" t="s">
        <v>345</v>
      </c>
      <c r="C64" s="975">
        <v>9.9000000000000005E-2</v>
      </c>
      <c r="D64" s="975">
        <v>9.7000000000000003E-2</v>
      </c>
      <c r="E64" s="975">
        <v>9.9000000000000005E-2</v>
      </c>
      <c r="F64" s="987"/>
    </row>
    <row r="65" spans="1:6" ht="15" thickBot="1">
      <c r="A65" s="776" t="s">
        <v>137</v>
      </c>
      <c r="B65" s="770" t="s">
        <v>355</v>
      </c>
      <c r="C65" s="975">
        <v>9.8000000000000004E-2</v>
      </c>
      <c r="D65" s="975">
        <v>9.6000000000000002E-2</v>
      </c>
      <c r="E65" s="975">
        <v>9.6000000000000002E-2</v>
      </c>
      <c r="F65" s="987"/>
    </row>
    <row r="66" spans="1:6" ht="15" thickBot="1">
      <c r="A66" s="776" t="s">
        <v>137</v>
      </c>
      <c r="B66" s="770" t="s">
        <v>365</v>
      </c>
      <c r="C66" s="975">
        <v>9.6000000000000002E-2</v>
      </c>
      <c r="D66" s="975">
        <v>9.1999999999999998E-2</v>
      </c>
      <c r="E66" s="975">
        <v>9.6000000000000002E-2</v>
      </c>
      <c r="F66" s="987"/>
    </row>
    <row r="67" spans="1:6" ht="15" thickBot="1">
      <c r="A67" s="776" t="s">
        <v>137</v>
      </c>
      <c r="B67" s="770" t="s">
        <v>375</v>
      </c>
      <c r="C67" s="975">
        <v>9.4E-2</v>
      </c>
      <c r="D67" s="975">
        <v>0.1</v>
      </c>
      <c r="E67" s="975">
        <v>8.7999999999999995E-2</v>
      </c>
      <c r="F67" s="987"/>
    </row>
    <row r="68" spans="1:6" ht="15" thickBot="1">
      <c r="A68" s="776" t="s">
        <v>137</v>
      </c>
      <c r="B68" s="770" t="s">
        <v>384</v>
      </c>
      <c r="C68" s="975">
        <v>0.1</v>
      </c>
      <c r="D68" s="975">
        <v>8.7999999999999995E-2</v>
      </c>
      <c r="E68" s="975">
        <v>9.7000000000000003E-2</v>
      </c>
      <c r="F68" s="987"/>
    </row>
    <row r="69" spans="1:6" ht="15" thickBot="1">
      <c r="A69" s="776" t="s">
        <v>137</v>
      </c>
      <c r="B69" s="770" t="s">
        <v>393</v>
      </c>
      <c r="C69" s="975">
        <v>6.4000000000000001E-2</v>
      </c>
      <c r="D69" s="975">
        <v>0.1</v>
      </c>
      <c r="E69" s="975">
        <v>0.1</v>
      </c>
      <c r="F69" s="987"/>
    </row>
    <row r="70" spans="1:6" ht="15" thickBot="1">
      <c r="A70" s="776" t="s">
        <v>137</v>
      </c>
      <c r="B70" s="770" t="s">
        <v>401</v>
      </c>
      <c r="C70" s="975">
        <v>9.0999999999999998E-2</v>
      </c>
      <c r="D70" s="988"/>
      <c r="E70" s="988"/>
      <c r="F70" s="987"/>
    </row>
    <row r="71" spans="1:6" ht="15" thickBot="1">
      <c r="A71" s="776" t="s">
        <v>137</v>
      </c>
      <c r="B71" s="770" t="s">
        <v>408</v>
      </c>
      <c r="C71" s="975">
        <v>0.1</v>
      </c>
      <c r="D71" s="988"/>
      <c r="E71" s="988"/>
      <c r="F71" s="987"/>
    </row>
    <row r="72" spans="1:6" ht="24.6" thickBot="1">
      <c r="A72" s="776" t="s">
        <v>137</v>
      </c>
      <c r="B72" s="770" t="s">
        <v>853</v>
      </c>
      <c r="C72" s="988"/>
      <c r="D72" s="988"/>
      <c r="E72" s="988"/>
      <c r="F72" s="976">
        <v>0.05</v>
      </c>
    </row>
    <row r="73" spans="1:6" ht="24.6" thickBot="1">
      <c r="A73" s="776" t="s">
        <v>137</v>
      </c>
      <c r="B73" s="770" t="s">
        <v>854</v>
      </c>
      <c r="C73" s="988"/>
      <c r="D73" s="988"/>
      <c r="E73" s="988"/>
      <c r="F73" s="976">
        <v>0.05</v>
      </c>
    </row>
    <row r="74" spans="1:6" ht="24.6" thickBot="1">
      <c r="A74" s="776" t="s">
        <v>137</v>
      </c>
      <c r="B74" s="770" t="s">
        <v>855</v>
      </c>
      <c r="C74" s="988"/>
      <c r="D74" s="988"/>
      <c r="E74" s="988"/>
      <c r="F74" s="976">
        <v>0.05</v>
      </c>
    </row>
    <row r="75" spans="1:6" ht="24.6" thickBot="1">
      <c r="A75" s="786" t="s">
        <v>137</v>
      </c>
      <c r="B75" s="782" t="s">
        <v>856</v>
      </c>
      <c r="C75" s="985"/>
      <c r="D75" s="985"/>
      <c r="E75" s="985"/>
      <c r="F75" s="978">
        <v>0.05</v>
      </c>
    </row>
    <row r="76" spans="1:6" ht="15" thickBot="1">
      <c r="A76" s="776" t="s">
        <v>523</v>
      </c>
      <c r="B76" s="777" t="s">
        <v>857</v>
      </c>
      <c r="C76" s="973">
        <v>0.1</v>
      </c>
      <c r="D76" s="973">
        <v>0.1</v>
      </c>
      <c r="E76" s="973">
        <v>0.1</v>
      </c>
      <c r="F76" s="974">
        <v>0.1</v>
      </c>
    </row>
    <row r="77" spans="1:6" ht="15" thickBot="1">
      <c r="A77" s="776" t="s">
        <v>523</v>
      </c>
      <c r="B77" s="770" t="s">
        <v>191</v>
      </c>
      <c r="C77" s="975">
        <v>8.7999999999999995E-2</v>
      </c>
      <c r="D77" s="975">
        <v>8.6999999999999994E-2</v>
      </c>
      <c r="E77" s="975">
        <v>7.9000000000000001E-2</v>
      </c>
      <c r="F77" s="976">
        <v>0.1</v>
      </c>
    </row>
    <row r="78" spans="1:6" ht="15" thickBot="1">
      <c r="A78" s="776" t="s">
        <v>523</v>
      </c>
      <c r="B78" s="770" t="s">
        <v>204</v>
      </c>
      <c r="C78" s="975">
        <v>8.6999999999999994E-2</v>
      </c>
      <c r="D78" s="975">
        <v>8.4000000000000005E-2</v>
      </c>
      <c r="E78" s="975">
        <v>9.6000000000000002E-2</v>
      </c>
      <c r="F78" s="976">
        <v>0.1</v>
      </c>
    </row>
    <row r="79" spans="1:6" ht="15" thickBot="1">
      <c r="A79" s="776" t="s">
        <v>523</v>
      </c>
      <c r="B79" s="770" t="s">
        <v>217</v>
      </c>
      <c r="C79" s="975">
        <v>9.8000000000000004E-2</v>
      </c>
      <c r="D79" s="975">
        <v>9.8000000000000004E-2</v>
      </c>
      <c r="E79" s="975">
        <v>9.0999999999999998E-2</v>
      </c>
      <c r="F79" s="976">
        <v>0.1</v>
      </c>
    </row>
    <row r="80" spans="1:6" ht="15" thickBot="1">
      <c r="A80" s="776" t="s">
        <v>523</v>
      </c>
      <c r="B80" s="770" t="s">
        <v>229</v>
      </c>
      <c r="C80" s="975">
        <v>9.6000000000000002E-2</v>
      </c>
      <c r="D80" s="975">
        <v>9.6000000000000002E-2</v>
      </c>
      <c r="E80" s="975">
        <v>0.1</v>
      </c>
      <c r="F80" s="976">
        <v>0.1</v>
      </c>
    </row>
    <row r="81" spans="1:6" ht="15" thickBot="1">
      <c r="A81" s="776" t="s">
        <v>523</v>
      </c>
      <c r="B81" s="770" t="s">
        <v>240</v>
      </c>
      <c r="C81" s="975">
        <v>9.9000000000000005E-2</v>
      </c>
      <c r="D81" s="975">
        <v>9.9000000000000005E-2</v>
      </c>
      <c r="E81" s="975">
        <v>9.8000000000000004E-2</v>
      </c>
      <c r="F81" s="976">
        <v>0.1</v>
      </c>
    </row>
    <row r="82" spans="1:6" ht="15" thickBot="1">
      <c r="A82" s="776" t="s">
        <v>523</v>
      </c>
      <c r="B82" s="770" t="s">
        <v>251</v>
      </c>
      <c r="C82" s="975">
        <v>9.9000000000000005E-2</v>
      </c>
      <c r="D82" s="975">
        <v>9.9000000000000005E-2</v>
      </c>
      <c r="E82" s="975">
        <v>9.7000000000000003E-2</v>
      </c>
      <c r="F82" s="976">
        <v>0.1</v>
      </c>
    </row>
    <row r="83" spans="1:6" ht="15" thickBot="1">
      <c r="A83" s="776" t="s">
        <v>523</v>
      </c>
      <c r="B83" s="770" t="s">
        <v>262</v>
      </c>
      <c r="C83" s="975">
        <v>9.8000000000000004E-2</v>
      </c>
      <c r="D83" s="975">
        <v>9.8000000000000004E-2</v>
      </c>
      <c r="E83" s="975">
        <v>9.8000000000000004E-2</v>
      </c>
      <c r="F83" s="976">
        <v>0.1</v>
      </c>
    </row>
    <row r="84" spans="1:6" ht="15" thickBot="1">
      <c r="A84" s="776" t="s">
        <v>523</v>
      </c>
      <c r="B84" s="770" t="s">
        <v>274</v>
      </c>
      <c r="C84" s="975">
        <v>9.9000000000000005E-2</v>
      </c>
      <c r="D84" s="975">
        <v>9.9000000000000005E-2</v>
      </c>
      <c r="E84" s="975">
        <v>9.9000000000000005E-2</v>
      </c>
      <c r="F84" s="976">
        <v>0.1</v>
      </c>
    </row>
    <row r="85" spans="1:6" ht="15" thickBot="1">
      <c r="A85" s="776" t="s">
        <v>523</v>
      </c>
      <c r="B85" s="770" t="s">
        <v>284</v>
      </c>
      <c r="C85" s="975">
        <v>9.9000000000000005E-2</v>
      </c>
      <c r="D85" s="975">
        <v>9.9000000000000005E-2</v>
      </c>
      <c r="E85" s="975">
        <v>9.9000000000000005E-2</v>
      </c>
      <c r="F85" s="976">
        <v>0.1</v>
      </c>
    </row>
    <row r="86" spans="1:6" ht="15" thickBot="1">
      <c r="A86" s="776" t="s">
        <v>523</v>
      </c>
      <c r="B86" s="770" t="s">
        <v>294</v>
      </c>
      <c r="C86" s="975">
        <v>0.1</v>
      </c>
      <c r="D86" s="975">
        <v>0.1</v>
      </c>
      <c r="E86" s="975">
        <v>7.6999999999999999E-2</v>
      </c>
      <c r="F86" s="976">
        <v>0.1</v>
      </c>
    </row>
    <row r="87" spans="1:6" ht="15" thickBot="1">
      <c r="A87" s="776" t="s">
        <v>523</v>
      </c>
      <c r="B87" s="770" t="s">
        <v>304</v>
      </c>
      <c r="C87" s="975">
        <v>0.1</v>
      </c>
      <c r="D87" s="975">
        <v>0.1</v>
      </c>
      <c r="E87" s="975">
        <v>9.8000000000000004E-2</v>
      </c>
      <c r="F87" s="987"/>
    </row>
    <row r="88" spans="1:6" ht="15" thickBot="1">
      <c r="A88" s="776" t="s">
        <v>523</v>
      </c>
      <c r="B88" s="770" t="s">
        <v>314</v>
      </c>
      <c r="C88" s="975">
        <v>9.1999999999999998E-2</v>
      </c>
      <c r="D88" s="975">
        <v>8.5000000000000006E-2</v>
      </c>
      <c r="E88" s="975">
        <v>9.6000000000000002E-2</v>
      </c>
      <c r="F88" s="987"/>
    </row>
    <row r="89" spans="1:6" ht="15" thickBot="1">
      <c r="A89" s="776" t="s">
        <v>523</v>
      </c>
      <c r="B89" s="770" t="s">
        <v>325</v>
      </c>
      <c r="C89" s="975">
        <v>0.1</v>
      </c>
      <c r="D89" s="975">
        <v>0.1</v>
      </c>
      <c r="E89" s="975">
        <v>9.7000000000000003E-2</v>
      </c>
      <c r="F89" s="987"/>
    </row>
    <row r="90" spans="1:6" ht="15" thickBot="1">
      <c r="A90" s="776" t="s">
        <v>523</v>
      </c>
      <c r="B90" s="770" t="s">
        <v>336</v>
      </c>
      <c r="C90" s="975">
        <v>9.8000000000000004E-2</v>
      </c>
      <c r="D90" s="975">
        <v>9.8000000000000004E-2</v>
      </c>
      <c r="E90" s="975">
        <v>8.7999999999999995E-2</v>
      </c>
      <c r="F90" s="987"/>
    </row>
    <row r="91" spans="1:6" ht="15" thickBot="1">
      <c r="A91" s="776" t="s">
        <v>523</v>
      </c>
      <c r="B91" s="770" t="s">
        <v>346</v>
      </c>
      <c r="C91" s="975">
        <v>9.9000000000000005E-2</v>
      </c>
      <c r="D91" s="975">
        <v>9.9000000000000005E-2</v>
      </c>
      <c r="E91" s="975">
        <v>9.0999999999999998E-2</v>
      </c>
      <c r="F91" s="987"/>
    </row>
    <row r="92" spans="1:6" ht="15" thickBot="1">
      <c r="A92" s="776" t="s">
        <v>523</v>
      </c>
      <c r="B92" s="770" t="s">
        <v>356</v>
      </c>
      <c r="C92" s="975">
        <v>9.6000000000000002E-2</v>
      </c>
      <c r="D92" s="975">
        <v>9.6000000000000002E-2</v>
      </c>
      <c r="E92" s="975">
        <v>7.2999999999999995E-2</v>
      </c>
      <c r="F92" s="987"/>
    </row>
    <row r="93" spans="1:6" ht="15" thickBot="1">
      <c r="A93" s="776" t="s">
        <v>523</v>
      </c>
      <c r="B93" s="770" t="s">
        <v>366</v>
      </c>
      <c r="C93" s="975">
        <v>9.6000000000000002E-2</v>
      </c>
      <c r="D93" s="975">
        <v>9.6000000000000002E-2</v>
      </c>
      <c r="E93" s="975">
        <v>9.9000000000000005E-2</v>
      </c>
      <c r="F93" s="987"/>
    </row>
    <row r="94" spans="1:6" ht="15" thickBot="1">
      <c r="A94" s="776" t="s">
        <v>523</v>
      </c>
      <c r="B94" s="770" t="s">
        <v>376</v>
      </c>
      <c r="C94" s="975">
        <v>7.5999999999999998E-2</v>
      </c>
      <c r="D94" s="975">
        <v>7.3999999999999996E-2</v>
      </c>
      <c r="E94" s="975">
        <v>9.7000000000000003E-2</v>
      </c>
      <c r="F94" s="987"/>
    </row>
    <row r="95" spans="1:6" ht="15" thickBot="1">
      <c r="A95" s="776" t="s">
        <v>523</v>
      </c>
      <c r="B95" s="770" t="s">
        <v>385</v>
      </c>
      <c r="C95" s="975">
        <v>9.9000000000000005E-2</v>
      </c>
      <c r="D95" s="975">
        <v>9.4E-2</v>
      </c>
      <c r="E95" s="975">
        <v>9.6000000000000002E-2</v>
      </c>
      <c r="F95" s="987"/>
    </row>
    <row r="96" spans="1:6" ht="15" thickBot="1">
      <c r="A96" s="776" t="s">
        <v>523</v>
      </c>
      <c r="B96" s="770" t="s">
        <v>394</v>
      </c>
      <c r="C96" s="975">
        <v>9.9000000000000005E-2</v>
      </c>
      <c r="D96" s="975">
        <v>9.9000000000000005E-2</v>
      </c>
      <c r="E96" s="975">
        <v>9.9000000000000005E-2</v>
      </c>
      <c r="F96" s="987"/>
    </row>
    <row r="97" spans="1:6" ht="15" thickBot="1">
      <c r="A97" s="776" t="s">
        <v>523</v>
      </c>
      <c r="B97" s="770" t="s">
        <v>402</v>
      </c>
      <c r="C97" s="975">
        <v>9.8000000000000004E-2</v>
      </c>
      <c r="D97" s="975">
        <v>9.8000000000000004E-2</v>
      </c>
      <c r="E97" s="975">
        <v>9.7000000000000003E-2</v>
      </c>
      <c r="F97" s="987"/>
    </row>
    <row r="98" spans="1:6" ht="15" thickBot="1">
      <c r="A98" s="776" t="s">
        <v>523</v>
      </c>
      <c r="B98" s="770" t="s">
        <v>409</v>
      </c>
      <c r="C98" s="975">
        <v>0.1</v>
      </c>
      <c r="D98" s="975">
        <v>0.1</v>
      </c>
      <c r="E98" s="975">
        <v>9.7000000000000003E-2</v>
      </c>
      <c r="F98" s="987"/>
    </row>
    <row r="99" spans="1:6" ht="15" thickBot="1">
      <c r="A99" s="776" t="s">
        <v>523</v>
      </c>
      <c r="B99" s="770" t="s">
        <v>416</v>
      </c>
      <c r="C99" s="975">
        <v>0.1</v>
      </c>
      <c r="D99" s="975">
        <v>0.1</v>
      </c>
      <c r="E99" s="988"/>
      <c r="F99" s="987"/>
    </row>
    <row r="100" spans="1:6" ht="15" thickBot="1">
      <c r="A100" s="776" t="s">
        <v>523</v>
      </c>
      <c r="B100" s="770" t="s">
        <v>423</v>
      </c>
      <c r="C100" s="975">
        <v>0.09</v>
      </c>
      <c r="D100" s="975">
        <v>8.8999999999999996E-2</v>
      </c>
      <c r="E100" s="988"/>
      <c r="F100" s="987"/>
    </row>
    <row r="101" spans="1:6" ht="15" thickBot="1">
      <c r="A101" s="776" t="s">
        <v>523</v>
      </c>
      <c r="B101" s="770" t="s">
        <v>430</v>
      </c>
      <c r="C101" s="975">
        <v>9.8000000000000004E-2</v>
      </c>
      <c r="D101" s="975">
        <v>9.7000000000000003E-2</v>
      </c>
      <c r="E101" s="988"/>
      <c r="F101" s="987"/>
    </row>
    <row r="102" spans="1:6" ht="24.6" thickBot="1">
      <c r="A102" s="776" t="s">
        <v>523</v>
      </c>
      <c r="B102" s="770" t="s">
        <v>858</v>
      </c>
      <c r="C102" s="988"/>
      <c r="D102" s="988"/>
      <c r="E102" s="988"/>
      <c r="F102" s="976">
        <v>0.05</v>
      </c>
    </row>
    <row r="103" spans="1:6" ht="24.6" thickBot="1">
      <c r="A103" s="776" t="s">
        <v>523</v>
      </c>
      <c r="B103" s="770" t="s">
        <v>859</v>
      </c>
      <c r="C103" s="988"/>
      <c r="D103" s="988"/>
      <c r="E103" s="988"/>
      <c r="F103" s="976">
        <v>0.05</v>
      </c>
    </row>
    <row r="104" spans="1:6" ht="15" thickBot="1">
      <c r="A104" s="776" t="s">
        <v>523</v>
      </c>
      <c r="B104" s="770" t="s">
        <v>860</v>
      </c>
      <c r="C104" s="988"/>
      <c r="D104" s="988"/>
      <c r="E104" s="988"/>
      <c r="F104" s="976">
        <v>0.05</v>
      </c>
    </row>
    <row r="105" spans="1:6" ht="24.6" thickBot="1">
      <c r="A105" s="776" t="s">
        <v>523</v>
      </c>
      <c r="B105" s="770" t="s">
        <v>861</v>
      </c>
      <c r="C105" s="988"/>
      <c r="D105" s="988"/>
      <c r="E105" s="988"/>
      <c r="F105" s="976">
        <v>0.05</v>
      </c>
    </row>
    <row r="106" spans="1:6" ht="24.6" thickBot="1">
      <c r="A106" s="776" t="s">
        <v>523</v>
      </c>
      <c r="B106" s="770" t="s">
        <v>862</v>
      </c>
      <c r="C106" s="988"/>
      <c r="D106" s="988"/>
      <c r="E106" s="988"/>
      <c r="F106" s="976">
        <v>0.05</v>
      </c>
    </row>
    <row r="107" spans="1:6" ht="24.6" thickBot="1">
      <c r="A107" s="776" t="s">
        <v>523</v>
      </c>
      <c r="B107" s="770" t="s">
        <v>863</v>
      </c>
      <c r="C107" s="988"/>
      <c r="D107" s="988"/>
      <c r="E107" s="988"/>
      <c r="F107" s="976">
        <v>0.05</v>
      </c>
    </row>
    <row r="108" spans="1:6" ht="24.6" thickBot="1">
      <c r="A108" s="776" t="s">
        <v>523</v>
      </c>
      <c r="B108" s="770" t="s">
        <v>864</v>
      </c>
      <c r="C108" s="988"/>
      <c r="D108" s="988"/>
      <c r="E108" s="988"/>
      <c r="F108" s="976">
        <v>0.05</v>
      </c>
    </row>
    <row r="109" spans="1:6" ht="24.6" thickBot="1">
      <c r="A109" s="786" t="s">
        <v>523</v>
      </c>
      <c r="B109" s="782" t="s">
        <v>865</v>
      </c>
      <c r="C109" s="985"/>
      <c r="D109" s="985"/>
      <c r="E109" s="985"/>
      <c r="F109" s="978">
        <v>0.05</v>
      </c>
    </row>
    <row r="110" spans="1:6" ht="15" thickBot="1">
      <c r="A110" s="776" t="s">
        <v>56</v>
      </c>
      <c r="B110" s="777" t="s">
        <v>866</v>
      </c>
      <c r="C110" s="973">
        <v>0.129</v>
      </c>
      <c r="D110" s="973">
        <v>0.129</v>
      </c>
      <c r="E110" s="973">
        <v>0.126</v>
      </c>
      <c r="F110" s="974">
        <v>0.13</v>
      </c>
    </row>
    <row r="111" spans="1:6" ht="15" thickBot="1">
      <c r="A111" s="776" t="s">
        <v>56</v>
      </c>
      <c r="B111" s="770" t="s">
        <v>192</v>
      </c>
      <c r="C111" s="975">
        <v>0.11</v>
      </c>
      <c r="D111" s="975">
        <v>0.11</v>
      </c>
      <c r="E111" s="975">
        <v>9.9000000000000005E-2</v>
      </c>
      <c r="F111" s="976">
        <v>0.128</v>
      </c>
    </row>
    <row r="112" spans="1:6" ht="15" thickBot="1">
      <c r="A112" s="776" t="s">
        <v>56</v>
      </c>
      <c r="B112" s="770" t="s">
        <v>205</v>
      </c>
      <c r="C112" s="975">
        <v>0.125</v>
      </c>
      <c r="D112" s="975">
        <v>0.125</v>
      </c>
      <c r="E112" s="975">
        <v>0.12</v>
      </c>
      <c r="F112" s="976">
        <v>0.125</v>
      </c>
    </row>
    <row r="113" spans="1:6" ht="15" thickBot="1">
      <c r="A113" s="776" t="s">
        <v>56</v>
      </c>
      <c r="B113" s="770" t="s">
        <v>218</v>
      </c>
      <c r="C113" s="975">
        <v>0.13</v>
      </c>
      <c r="D113" s="975">
        <v>0.13</v>
      </c>
      <c r="E113" s="975">
        <v>0.13</v>
      </c>
      <c r="F113" s="976">
        <v>0.13</v>
      </c>
    </row>
    <row r="114" spans="1:6" ht="15" thickBot="1">
      <c r="A114" s="776" t="s">
        <v>56</v>
      </c>
      <c r="B114" s="770" t="s">
        <v>230</v>
      </c>
      <c r="C114" s="975">
        <v>0.123</v>
      </c>
      <c r="D114" s="975">
        <v>0.123</v>
      </c>
      <c r="E114" s="975">
        <v>0.12</v>
      </c>
      <c r="F114" s="976">
        <v>0.13</v>
      </c>
    </row>
    <row r="115" spans="1:6" ht="15" thickBot="1">
      <c r="A115" s="776" t="s">
        <v>56</v>
      </c>
      <c r="B115" s="770" t="s">
        <v>241</v>
      </c>
      <c r="C115" s="975">
        <v>0.125</v>
      </c>
      <c r="D115" s="975">
        <v>0.125</v>
      </c>
      <c r="E115" s="975">
        <v>0.11700000000000001</v>
      </c>
      <c r="F115" s="976">
        <v>0.13</v>
      </c>
    </row>
    <row r="116" spans="1:6" ht="15" thickBot="1">
      <c r="A116" s="776" t="s">
        <v>56</v>
      </c>
      <c r="B116" s="770" t="s">
        <v>252</v>
      </c>
      <c r="C116" s="975">
        <v>0.11700000000000001</v>
      </c>
      <c r="D116" s="975">
        <v>0.11700000000000001</v>
      </c>
      <c r="E116" s="975">
        <v>8.7999999999999995E-2</v>
      </c>
      <c r="F116" s="976">
        <v>0.13</v>
      </c>
    </row>
    <row r="117" spans="1:6" ht="15" thickBot="1">
      <c r="A117" s="776" t="s">
        <v>56</v>
      </c>
      <c r="B117" s="770" t="s">
        <v>263</v>
      </c>
      <c r="C117" s="975">
        <v>0.13</v>
      </c>
      <c r="D117" s="975">
        <v>0.13</v>
      </c>
      <c r="E117" s="975">
        <v>0.129</v>
      </c>
      <c r="F117" s="976">
        <v>0.13</v>
      </c>
    </row>
    <row r="118" spans="1:6" ht="15" thickBot="1">
      <c r="A118" s="776" t="s">
        <v>56</v>
      </c>
      <c r="B118" s="770" t="s">
        <v>275</v>
      </c>
      <c r="C118" s="975">
        <v>0.123</v>
      </c>
      <c r="D118" s="975">
        <v>0.123</v>
      </c>
      <c r="E118" s="975">
        <v>0.11600000000000001</v>
      </c>
      <c r="F118" s="976">
        <v>0.13</v>
      </c>
    </row>
    <row r="119" spans="1:6" ht="15" thickBot="1">
      <c r="A119" s="776" t="s">
        <v>56</v>
      </c>
      <c r="B119" s="770" t="s">
        <v>285</v>
      </c>
      <c r="C119" s="975">
        <v>0.127</v>
      </c>
      <c r="D119" s="975">
        <v>0.127</v>
      </c>
      <c r="E119" s="975">
        <v>0.124</v>
      </c>
      <c r="F119" s="976">
        <v>0.13</v>
      </c>
    </row>
    <row r="120" spans="1:6" ht="15" thickBot="1">
      <c r="A120" s="776" t="s">
        <v>56</v>
      </c>
      <c r="B120" s="770" t="s">
        <v>295</v>
      </c>
      <c r="C120" s="975">
        <v>0.125</v>
      </c>
      <c r="D120" s="975">
        <v>0.125</v>
      </c>
      <c r="E120" s="975">
        <v>0.122</v>
      </c>
      <c r="F120" s="976">
        <v>0.13</v>
      </c>
    </row>
    <row r="121" spans="1:6" ht="15" thickBot="1">
      <c r="A121" s="776" t="s">
        <v>56</v>
      </c>
      <c r="B121" s="770" t="s">
        <v>305</v>
      </c>
      <c r="C121" s="975">
        <v>0.13</v>
      </c>
      <c r="D121" s="975">
        <v>0.13</v>
      </c>
      <c r="E121" s="975">
        <v>0.13</v>
      </c>
      <c r="F121" s="976">
        <v>0.13</v>
      </c>
    </row>
    <row r="122" spans="1:6" ht="15" thickBot="1">
      <c r="A122" s="776" t="s">
        <v>56</v>
      </c>
      <c r="B122" s="770" t="s">
        <v>315</v>
      </c>
      <c r="C122" s="975">
        <v>0.13</v>
      </c>
      <c r="D122" s="975">
        <v>0.13</v>
      </c>
      <c r="E122" s="975">
        <v>0.125</v>
      </c>
      <c r="F122" s="976">
        <v>0.13</v>
      </c>
    </row>
    <row r="123" spans="1:6" ht="15" thickBot="1">
      <c r="A123" s="776" t="s">
        <v>56</v>
      </c>
      <c r="B123" s="770" t="s">
        <v>326</v>
      </c>
      <c r="C123" s="975">
        <v>0.129</v>
      </c>
      <c r="D123" s="975">
        <v>0.129</v>
      </c>
      <c r="E123" s="975">
        <v>0.123</v>
      </c>
      <c r="F123" s="976">
        <v>0.13</v>
      </c>
    </row>
    <row r="124" spans="1:6" ht="15" thickBot="1">
      <c r="A124" s="776" t="s">
        <v>56</v>
      </c>
      <c r="B124" s="770" t="s">
        <v>337</v>
      </c>
      <c r="C124" s="975">
        <v>0.10199999999999999</v>
      </c>
      <c r="D124" s="975">
        <v>0.10100000000000001</v>
      </c>
      <c r="E124" s="975">
        <v>0.08</v>
      </c>
      <c r="F124" s="987"/>
    </row>
    <row r="125" spans="1:6" ht="15" thickBot="1">
      <c r="A125" s="776" t="s">
        <v>56</v>
      </c>
      <c r="B125" s="770" t="s">
        <v>347</v>
      </c>
      <c r="C125" s="975">
        <v>0.13</v>
      </c>
      <c r="D125" s="975">
        <v>0.13</v>
      </c>
      <c r="E125" s="975">
        <v>0.129</v>
      </c>
      <c r="F125" s="987"/>
    </row>
    <row r="126" spans="1:6" ht="15" thickBot="1">
      <c r="A126" s="776" t="s">
        <v>56</v>
      </c>
      <c r="B126" s="770" t="s">
        <v>357</v>
      </c>
      <c r="C126" s="975">
        <v>0.13</v>
      </c>
      <c r="D126" s="975">
        <v>0.13</v>
      </c>
      <c r="E126" s="975">
        <v>0.126</v>
      </c>
      <c r="F126" s="987"/>
    </row>
    <row r="127" spans="1:6" ht="15" thickBot="1">
      <c r="A127" s="776" t="s">
        <v>56</v>
      </c>
      <c r="B127" s="770" t="s">
        <v>367</v>
      </c>
      <c r="C127" s="975">
        <v>0.125</v>
      </c>
      <c r="D127" s="975">
        <v>0.125</v>
      </c>
      <c r="E127" s="975">
        <v>0.121</v>
      </c>
      <c r="F127" s="987"/>
    </row>
    <row r="128" spans="1:6" ht="15" thickBot="1">
      <c r="A128" s="776" t="s">
        <v>56</v>
      </c>
      <c r="B128" s="770" t="s">
        <v>377</v>
      </c>
      <c r="C128" s="975">
        <v>0.12</v>
      </c>
      <c r="D128" s="975">
        <v>0.12</v>
      </c>
      <c r="E128" s="975">
        <v>0.105</v>
      </c>
      <c r="F128" s="987"/>
    </row>
    <row r="129" spans="1:6" ht="15" thickBot="1">
      <c r="A129" s="776" t="s">
        <v>56</v>
      </c>
      <c r="B129" s="770" t="s">
        <v>386</v>
      </c>
      <c r="C129" s="975">
        <v>0.13</v>
      </c>
      <c r="D129" s="975">
        <v>0.13</v>
      </c>
      <c r="E129" s="975">
        <v>0.126</v>
      </c>
      <c r="F129" s="987"/>
    </row>
    <row r="130" spans="1:6" ht="15" thickBot="1">
      <c r="A130" s="776" t="s">
        <v>56</v>
      </c>
      <c r="B130" s="770" t="s">
        <v>395</v>
      </c>
      <c r="C130" s="975">
        <v>0.125</v>
      </c>
      <c r="D130" s="975">
        <v>0.125</v>
      </c>
      <c r="E130" s="975">
        <v>0.122</v>
      </c>
      <c r="F130" s="987"/>
    </row>
    <row r="131" spans="1:6" ht="15" thickBot="1">
      <c r="A131" s="776" t="s">
        <v>56</v>
      </c>
      <c r="B131" s="770" t="s">
        <v>403</v>
      </c>
      <c r="C131" s="975">
        <v>0.127</v>
      </c>
      <c r="D131" s="975">
        <v>0.126</v>
      </c>
      <c r="E131" s="975">
        <v>0.123</v>
      </c>
      <c r="F131" s="987"/>
    </row>
    <row r="132" spans="1:6" ht="15" thickBot="1">
      <c r="A132" s="776" t="s">
        <v>56</v>
      </c>
      <c r="B132" s="770" t="s">
        <v>410</v>
      </c>
      <c r="C132" s="975">
        <v>9.0999999999999998E-2</v>
      </c>
      <c r="D132" s="975">
        <v>0.121</v>
      </c>
      <c r="E132" s="975">
        <v>9.9000000000000005E-2</v>
      </c>
      <c r="F132" s="987"/>
    </row>
    <row r="133" spans="1:6" ht="15" thickBot="1">
      <c r="A133" s="776" t="s">
        <v>56</v>
      </c>
      <c r="B133" s="770" t="s">
        <v>417</v>
      </c>
      <c r="C133" s="975">
        <v>0.13</v>
      </c>
      <c r="D133" s="975">
        <v>0.13</v>
      </c>
      <c r="E133" s="975">
        <v>0.129</v>
      </c>
      <c r="F133" s="987"/>
    </row>
    <row r="134" spans="1:6" ht="15" thickBot="1">
      <c r="A134" s="776" t="s">
        <v>56</v>
      </c>
      <c r="B134" s="770" t="s">
        <v>867</v>
      </c>
      <c r="C134" s="975">
        <v>6.8000000000000005E-2</v>
      </c>
      <c r="D134" s="975">
        <v>6.5000000000000002E-2</v>
      </c>
      <c r="E134" s="975">
        <v>6.5000000000000002E-2</v>
      </c>
      <c r="F134" s="976">
        <v>0.13</v>
      </c>
    </row>
    <row r="135" spans="1:6" ht="15" thickBot="1">
      <c r="A135" s="776" t="s">
        <v>56</v>
      </c>
      <c r="B135" s="770" t="s">
        <v>431</v>
      </c>
      <c r="C135" s="975">
        <v>0.123</v>
      </c>
      <c r="D135" s="975">
        <v>0.123</v>
      </c>
      <c r="E135" s="975">
        <v>0.11</v>
      </c>
      <c r="F135" s="987"/>
    </row>
    <row r="136" spans="1:6" ht="15" thickBot="1">
      <c r="A136" s="776" t="s">
        <v>56</v>
      </c>
      <c r="B136" s="770" t="s">
        <v>438</v>
      </c>
      <c r="C136" s="975">
        <v>0.13</v>
      </c>
      <c r="D136" s="975">
        <v>0.13</v>
      </c>
      <c r="E136" s="975">
        <v>0.125</v>
      </c>
      <c r="F136" s="987"/>
    </row>
    <row r="137" spans="1:6" ht="15" thickBot="1">
      <c r="A137" s="776" t="s">
        <v>56</v>
      </c>
      <c r="B137" s="770" t="s">
        <v>445</v>
      </c>
      <c r="C137" s="975">
        <v>0.121</v>
      </c>
      <c r="D137" s="975">
        <v>0.122</v>
      </c>
      <c r="E137" s="975">
        <v>0.115</v>
      </c>
      <c r="F137" s="987"/>
    </row>
    <row r="138" spans="1:6" ht="15" thickBot="1">
      <c r="A138" s="776" t="s">
        <v>56</v>
      </c>
      <c r="B138" s="770" t="s">
        <v>868</v>
      </c>
      <c r="C138" s="975">
        <v>0.105</v>
      </c>
      <c r="D138" s="975">
        <v>0.125</v>
      </c>
      <c r="E138" s="975">
        <v>0.112</v>
      </c>
      <c r="F138" s="987"/>
    </row>
    <row r="139" spans="1:6" ht="15" thickBot="1">
      <c r="A139" s="776" t="s">
        <v>56</v>
      </c>
      <c r="B139" s="770" t="s">
        <v>869</v>
      </c>
      <c r="C139" s="975">
        <v>0.127</v>
      </c>
      <c r="D139" s="975">
        <v>0.127</v>
      </c>
      <c r="E139" s="975">
        <v>0.122</v>
      </c>
      <c r="F139" s="976">
        <v>0.13</v>
      </c>
    </row>
    <row r="140" spans="1:6" ht="15" thickBot="1">
      <c r="A140" s="776" t="s">
        <v>56</v>
      </c>
      <c r="B140" s="770" t="s">
        <v>870</v>
      </c>
      <c r="C140" s="975">
        <v>0.125</v>
      </c>
      <c r="D140" s="975">
        <v>0.125</v>
      </c>
      <c r="E140" s="975">
        <v>0.11899999999999999</v>
      </c>
      <c r="F140" s="976">
        <v>0.13</v>
      </c>
    </row>
    <row r="141" spans="1:6" ht="15" thickBot="1">
      <c r="A141" s="776" t="s">
        <v>56</v>
      </c>
      <c r="B141" s="770" t="s">
        <v>464</v>
      </c>
      <c r="C141" s="975">
        <v>0.125</v>
      </c>
      <c r="D141" s="975">
        <v>0.125</v>
      </c>
      <c r="E141" s="975">
        <v>0.11700000000000001</v>
      </c>
      <c r="F141" s="987"/>
    </row>
    <row r="142" spans="1:6" ht="15" thickBot="1">
      <c r="A142" s="776" t="s">
        <v>56</v>
      </c>
      <c r="B142" s="770" t="s">
        <v>469</v>
      </c>
      <c r="C142" s="975">
        <v>0.125</v>
      </c>
      <c r="D142" s="975">
        <v>0.125</v>
      </c>
      <c r="E142" s="975">
        <v>0.115</v>
      </c>
      <c r="F142" s="987"/>
    </row>
    <row r="143" spans="1:6" ht="15" thickBot="1">
      <c r="A143" s="776" t="s">
        <v>56</v>
      </c>
      <c r="B143" s="770" t="s">
        <v>474</v>
      </c>
      <c r="C143" s="975">
        <v>0.121</v>
      </c>
      <c r="D143" s="975">
        <v>0.121</v>
      </c>
      <c r="E143" s="975">
        <v>0.108</v>
      </c>
      <c r="F143" s="987"/>
    </row>
    <row r="144" spans="1:6" ht="15" thickBot="1">
      <c r="A144" s="776" t="s">
        <v>56</v>
      </c>
      <c r="B144" s="979" t="s">
        <v>871</v>
      </c>
      <c r="C144" s="980">
        <v>0.126</v>
      </c>
      <c r="D144" s="980">
        <v>0.126</v>
      </c>
      <c r="E144" s="980">
        <v>0.121</v>
      </c>
      <c r="F144" s="987"/>
    </row>
    <row r="145" spans="1:6" ht="15" thickBot="1">
      <c r="A145" s="786" t="s">
        <v>56</v>
      </c>
      <c r="B145" s="981" t="s">
        <v>872</v>
      </c>
      <c r="C145" s="989"/>
      <c r="D145" s="989"/>
      <c r="E145" s="989"/>
      <c r="F145" s="982">
        <v>0.05</v>
      </c>
    </row>
    <row r="146" spans="1:6" ht="24.6" thickBot="1">
      <c r="A146" s="983" t="s">
        <v>56</v>
      </c>
      <c r="B146" s="780" t="s">
        <v>873</v>
      </c>
      <c r="C146" s="988"/>
      <c r="D146" s="988"/>
      <c r="E146" s="988"/>
      <c r="F146" s="984">
        <v>0.05</v>
      </c>
    </row>
    <row r="147" spans="1:6" ht="24.6" thickBot="1">
      <c r="A147" s="776" t="s">
        <v>56</v>
      </c>
      <c r="B147" s="770" t="s">
        <v>874</v>
      </c>
      <c r="C147" s="988"/>
      <c r="D147" s="988"/>
      <c r="E147" s="988"/>
      <c r="F147" s="976">
        <v>0.05</v>
      </c>
    </row>
    <row r="148" spans="1:6" ht="24.6" thickBot="1">
      <c r="A148" s="776" t="s">
        <v>56</v>
      </c>
      <c r="B148" s="770" t="s">
        <v>875</v>
      </c>
      <c r="C148" s="988"/>
      <c r="D148" s="988"/>
      <c r="E148" s="988"/>
      <c r="F148" s="976">
        <v>0.05</v>
      </c>
    </row>
    <row r="149" spans="1:6" ht="24.6" thickBot="1">
      <c r="A149" s="776" t="s">
        <v>56</v>
      </c>
      <c r="B149" s="770" t="s">
        <v>876</v>
      </c>
      <c r="C149" s="988"/>
      <c r="D149" s="988"/>
      <c r="E149" s="988"/>
      <c r="F149" s="976">
        <v>0.05</v>
      </c>
    </row>
    <row r="150" spans="1:6" ht="24.6" thickBot="1">
      <c r="A150" s="776" t="s">
        <v>56</v>
      </c>
      <c r="B150" s="770" t="s">
        <v>877</v>
      </c>
      <c r="C150" s="988"/>
      <c r="D150" s="988"/>
      <c r="E150" s="988"/>
      <c r="F150" s="976">
        <v>0.05</v>
      </c>
    </row>
    <row r="151" spans="1:6" ht="24.6" thickBot="1">
      <c r="A151" s="776" t="s">
        <v>56</v>
      </c>
      <c r="B151" s="770" t="s">
        <v>878</v>
      </c>
      <c r="C151" s="988"/>
      <c r="D151" s="988"/>
      <c r="E151" s="988"/>
      <c r="F151" s="976">
        <v>0.05</v>
      </c>
    </row>
    <row r="152" spans="1:6" ht="24.6" thickBot="1">
      <c r="A152" s="776" t="s">
        <v>56</v>
      </c>
      <c r="B152" s="770" t="s">
        <v>507</v>
      </c>
      <c r="C152" s="988"/>
      <c r="D152" s="988"/>
      <c r="E152" s="988"/>
      <c r="F152" s="976">
        <v>0.05</v>
      </c>
    </row>
    <row r="153" spans="1:6" ht="15" thickBot="1">
      <c r="A153" s="776" t="s">
        <v>56</v>
      </c>
      <c r="B153" s="770" t="s">
        <v>879</v>
      </c>
      <c r="C153" s="988"/>
      <c r="D153" s="988"/>
      <c r="E153" s="988"/>
      <c r="F153" s="976">
        <v>0.05</v>
      </c>
    </row>
    <row r="154" spans="1:6" ht="15" thickBot="1">
      <c r="A154" s="776" t="s">
        <v>56</v>
      </c>
      <c r="B154" s="770" t="s">
        <v>880</v>
      </c>
      <c r="C154" s="988"/>
      <c r="D154" s="988"/>
      <c r="E154" s="988"/>
      <c r="F154" s="976">
        <v>0.05</v>
      </c>
    </row>
    <row r="155" spans="1:6" ht="24.6" thickBot="1">
      <c r="A155" s="776" t="s">
        <v>56</v>
      </c>
      <c r="B155" s="770" t="s">
        <v>881</v>
      </c>
      <c r="C155" s="988"/>
      <c r="D155" s="988"/>
      <c r="E155" s="988"/>
      <c r="F155" s="976">
        <v>0.05</v>
      </c>
    </row>
    <row r="156" spans="1:6" ht="24.6" thickBot="1">
      <c r="A156" s="776" t="s">
        <v>56</v>
      </c>
      <c r="B156" s="770" t="s">
        <v>882</v>
      </c>
      <c r="C156" s="988"/>
      <c r="D156" s="988"/>
      <c r="E156" s="988"/>
      <c r="F156" s="976">
        <v>0.05</v>
      </c>
    </row>
    <row r="157" spans="1:6" ht="24.6" thickBot="1">
      <c r="A157" s="786" t="s">
        <v>56</v>
      </c>
      <c r="B157" s="782" t="s">
        <v>883</v>
      </c>
      <c r="C157" s="985"/>
      <c r="D157" s="985"/>
      <c r="E157" s="985"/>
      <c r="F157" s="978">
        <v>0.05</v>
      </c>
    </row>
    <row r="158" spans="1:6" ht="15" thickBot="1">
      <c r="A158" s="776" t="s">
        <v>526</v>
      </c>
      <c r="B158" s="777" t="s">
        <v>884</v>
      </c>
      <c r="C158" s="973">
        <v>0.13</v>
      </c>
      <c r="D158" s="973">
        <v>0.13</v>
      </c>
      <c r="E158" s="973">
        <v>0.13</v>
      </c>
      <c r="F158" s="974">
        <v>0.13</v>
      </c>
    </row>
    <row r="159" spans="1:6" ht="15" thickBot="1">
      <c r="A159" s="776" t="s">
        <v>526</v>
      </c>
      <c r="B159" s="770" t="s">
        <v>193</v>
      </c>
      <c r="C159" s="975">
        <v>0.13</v>
      </c>
      <c r="D159" s="975">
        <v>0.13</v>
      </c>
      <c r="E159" s="975">
        <v>0.13</v>
      </c>
      <c r="F159" s="976">
        <v>0.13</v>
      </c>
    </row>
    <row r="160" spans="1:6" ht="15" thickBot="1">
      <c r="A160" s="776" t="s">
        <v>526</v>
      </c>
      <c r="B160" s="770" t="s">
        <v>206</v>
      </c>
      <c r="C160" s="975">
        <v>0.13</v>
      </c>
      <c r="D160" s="975">
        <v>0.13</v>
      </c>
      <c r="E160" s="975">
        <v>0.129</v>
      </c>
      <c r="F160" s="976">
        <v>0.13</v>
      </c>
    </row>
    <row r="161" spans="1:6" ht="15" thickBot="1">
      <c r="A161" s="776" t="s">
        <v>526</v>
      </c>
      <c r="B161" s="770" t="s">
        <v>219</v>
      </c>
      <c r="C161" s="975">
        <v>0.128</v>
      </c>
      <c r="D161" s="975">
        <v>0.128</v>
      </c>
      <c r="E161" s="975">
        <v>0.125</v>
      </c>
      <c r="F161" s="976">
        <v>0.13</v>
      </c>
    </row>
    <row r="162" spans="1:6" ht="15" thickBot="1">
      <c r="A162" s="776" t="s">
        <v>526</v>
      </c>
      <c r="B162" s="770" t="s">
        <v>231</v>
      </c>
      <c r="C162" s="975">
        <v>0.122</v>
      </c>
      <c r="D162" s="975">
        <v>0.122</v>
      </c>
      <c r="E162" s="975">
        <v>0.126</v>
      </c>
      <c r="F162" s="976">
        <v>0.122</v>
      </c>
    </row>
    <row r="163" spans="1:6" ht="15" thickBot="1">
      <c r="A163" s="776" t="s">
        <v>526</v>
      </c>
      <c r="B163" s="770" t="s">
        <v>242</v>
      </c>
      <c r="C163" s="975">
        <v>0.13</v>
      </c>
      <c r="D163" s="975">
        <v>0.13</v>
      </c>
      <c r="E163" s="975">
        <v>0.125</v>
      </c>
      <c r="F163" s="976">
        <v>0.13</v>
      </c>
    </row>
    <row r="164" spans="1:6" ht="15" thickBot="1">
      <c r="A164" s="776" t="s">
        <v>526</v>
      </c>
      <c r="B164" s="770" t="s">
        <v>253</v>
      </c>
      <c r="C164" s="975">
        <v>0.13</v>
      </c>
      <c r="D164" s="975">
        <v>0.13</v>
      </c>
      <c r="E164" s="975">
        <v>0.13</v>
      </c>
      <c r="F164" s="976">
        <v>0.13</v>
      </c>
    </row>
    <row r="165" spans="1:6" ht="15" thickBot="1">
      <c r="A165" s="776" t="s">
        <v>526</v>
      </c>
      <c r="B165" s="770" t="s">
        <v>264</v>
      </c>
      <c r="C165" s="975">
        <v>0.13</v>
      </c>
      <c r="D165" s="975">
        <v>0.13</v>
      </c>
      <c r="E165" s="975">
        <v>0.124</v>
      </c>
      <c r="F165" s="976">
        <v>0.13</v>
      </c>
    </row>
    <row r="166" spans="1:6" ht="15" thickBot="1">
      <c r="A166" s="776" t="s">
        <v>526</v>
      </c>
      <c r="B166" s="770" t="s">
        <v>276</v>
      </c>
      <c r="C166" s="975">
        <v>0.13</v>
      </c>
      <c r="D166" s="975">
        <v>0.13</v>
      </c>
      <c r="E166" s="975">
        <v>0.13</v>
      </c>
      <c r="F166" s="976">
        <v>0.13</v>
      </c>
    </row>
    <row r="167" spans="1:6" ht="15" thickBot="1">
      <c r="A167" s="776" t="s">
        <v>526</v>
      </c>
      <c r="B167" s="770" t="s">
        <v>286</v>
      </c>
      <c r="C167" s="975">
        <v>0.125</v>
      </c>
      <c r="D167" s="975">
        <v>0.125</v>
      </c>
      <c r="E167" s="975">
        <v>0.121</v>
      </c>
      <c r="F167" s="987"/>
    </row>
    <row r="168" spans="1:6" ht="15" thickBot="1">
      <c r="A168" s="776" t="s">
        <v>526</v>
      </c>
      <c r="B168" s="770" t="s">
        <v>296</v>
      </c>
      <c r="C168" s="975">
        <v>0.13</v>
      </c>
      <c r="D168" s="975">
        <v>0.13</v>
      </c>
      <c r="E168" s="975">
        <v>0.126</v>
      </c>
      <c r="F168" s="987"/>
    </row>
    <row r="169" spans="1:6" ht="15" thickBot="1">
      <c r="A169" s="776" t="s">
        <v>526</v>
      </c>
      <c r="B169" s="770" t="s">
        <v>306</v>
      </c>
      <c r="C169" s="975">
        <v>0.128</v>
      </c>
      <c r="D169" s="975">
        <v>0.129</v>
      </c>
      <c r="E169" s="975">
        <v>0.13</v>
      </c>
      <c r="F169" s="987"/>
    </row>
    <row r="170" spans="1:6" ht="15" thickBot="1">
      <c r="A170" s="776" t="s">
        <v>526</v>
      </c>
      <c r="B170" s="770" t="s">
        <v>316</v>
      </c>
      <c r="C170" s="975">
        <v>0.14099999999999999</v>
      </c>
      <c r="D170" s="975">
        <v>0.13</v>
      </c>
      <c r="E170" s="975">
        <v>0.125</v>
      </c>
      <c r="F170" s="987"/>
    </row>
    <row r="171" spans="1:6" ht="15" thickBot="1">
      <c r="A171" s="776" t="s">
        <v>526</v>
      </c>
      <c r="B171" s="770" t="s">
        <v>885</v>
      </c>
      <c r="C171" s="975">
        <v>0.127</v>
      </c>
      <c r="D171" s="975">
        <v>0.126</v>
      </c>
      <c r="E171" s="975">
        <v>0.126</v>
      </c>
      <c r="F171" s="976">
        <v>0.11799999999999999</v>
      </c>
    </row>
    <row r="172" spans="1:6" ht="15" thickBot="1">
      <c r="A172" s="776" t="s">
        <v>526</v>
      </c>
      <c r="B172" s="770" t="s">
        <v>886</v>
      </c>
      <c r="C172" s="975">
        <v>0.13</v>
      </c>
      <c r="D172" s="975">
        <v>0.13</v>
      </c>
      <c r="E172" s="975">
        <v>0.13</v>
      </c>
      <c r="F172" s="987"/>
    </row>
    <row r="173" spans="1:6" ht="15" thickBot="1">
      <c r="A173" s="776" t="s">
        <v>526</v>
      </c>
      <c r="B173" s="770" t="s">
        <v>348</v>
      </c>
      <c r="C173" s="975">
        <v>0.13</v>
      </c>
      <c r="D173" s="975">
        <v>0.13</v>
      </c>
      <c r="E173" s="975">
        <v>0.13</v>
      </c>
      <c r="F173" s="987"/>
    </row>
    <row r="174" spans="1:6" ht="15" thickBot="1">
      <c r="A174" s="776" t="s">
        <v>526</v>
      </c>
      <c r="B174" s="770" t="s">
        <v>887</v>
      </c>
      <c r="C174" s="975">
        <v>0.13</v>
      </c>
      <c r="D174" s="975">
        <v>0.13</v>
      </c>
      <c r="E174" s="975">
        <v>0.13</v>
      </c>
      <c r="F174" s="976">
        <v>0.13</v>
      </c>
    </row>
    <row r="175" spans="1:6" ht="15" thickBot="1">
      <c r="A175" s="776" t="s">
        <v>526</v>
      </c>
      <c r="B175" s="770" t="s">
        <v>888</v>
      </c>
      <c r="C175" s="975">
        <v>0.13</v>
      </c>
      <c r="D175" s="975">
        <v>0.13</v>
      </c>
      <c r="E175" s="975">
        <v>0.13</v>
      </c>
      <c r="F175" s="976">
        <v>0.13</v>
      </c>
    </row>
    <row r="176" spans="1:6" ht="15" thickBot="1">
      <c r="A176" s="776" t="s">
        <v>526</v>
      </c>
      <c r="B176" s="770" t="s">
        <v>378</v>
      </c>
      <c r="C176" s="975">
        <v>0.13</v>
      </c>
      <c r="D176" s="975">
        <v>0.13</v>
      </c>
      <c r="E176" s="975">
        <v>0.13</v>
      </c>
      <c r="F176" s="976">
        <v>0.13</v>
      </c>
    </row>
    <row r="177" spans="1:6" ht="15" thickBot="1">
      <c r="A177" s="776" t="s">
        <v>526</v>
      </c>
      <c r="B177" s="770" t="s">
        <v>889</v>
      </c>
      <c r="C177" s="975">
        <v>0.13</v>
      </c>
      <c r="D177" s="975">
        <v>0.13</v>
      </c>
      <c r="E177" s="975">
        <v>0.13</v>
      </c>
      <c r="F177" s="976">
        <v>0.13</v>
      </c>
    </row>
    <row r="178" spans="1:6" ht="15" thickBot="1">
      <c r="A178" s="776" t="s">
        <v>526</v>
      </c>
      <c r="B178" s="770" t="s">
        <v>396</v>
      </c>
      <c r="C178" s="975">
        <v>0.13</v>
      </c>
      <c r="D178" s="975">
        <v>0.13</v>
      </c>
      <c r="E178" s="975">
        <v>0.13</v>
      </c>
      <c r="F178" s="976">
        <v>0.127</v>
      </c>
    </row>
    <row r="179" spans="1:6" ht="15" thickBot="1">
      <c r="A179" s="776" t="s">
        <v>526</v>
      </c>
      <c r="B179" s="770" t="s">
        <v>404</v>
      </c>
      <c r="C179" s="975">
        <v>0.13</v>
      </c>
      <c r="D179" s="975">
        <v>0.13</v>
      </c>
      <c r="E179" s="975">
        <v>0.13</v>
      </c>
      <c r="F179" s="987"/>
    </row>
    <row r="180" spans="1:6" ht="15" thickBot="1">
      <c r="A180" s="776" t="s">
        <v>526</v>
      </c>
      <c r="B180" s="770" t="s">
        <v>890</v>
      </c>
      <c r="C180" s="975">
        <v>0.13</v>
      </c>
      <c r="D180" s="975">
        <v>0.13</v>
      </c>
      <c r="E180" s="975">
        <v>0.125</v>
      </c>
      <c r="F180" s="976">
        <v>0.13</v>
      </c>
    </row>
    <row r="181" spans="1:6" ht="15" thickBot="1">
      <c r="A181" s="776" t="s">
        <v>526</v>
      </c>
      <c r="B181" s="770" t="s">
        <v>418</v>
      </c>
      <c r="C181" s="975">
        <v>0.122</v>
      </c>
      <c r="D181" s="975">
        <v>0.123</v>
      </c>
      <c r="E181" s="975">
        <v>0.126</v>
      </c>
      <c r="F181" s="976">
        <v>0.121</v>
      </c>
    </row>
    <row r="182" spans="1:6" ht="15" thickBot="1">
      <c r="A182" s="776" t="s">
        <v>526</v>
      </c>
      <c r="B182" s="770" t="s">
        <v>425</v>
      </c>
      <c r="C182" s="975">
        <v>0.125</v>
      </c>
      <c r="D182" s="975">
        <v>0.125</v>
      </c>
      <c r="E182" s="975">
        <v>0.11700000000000001</v>
      </c>
      <c r="F182" s="976">
        <v>0.13</v>
      </c>
    </row>
    <row r="183" spans="1:6" ht="15" thickBot="1">
      <c r="A183" s="776" t="s">
        <v>526</v>
      </c>
      <c r="B183" s="770" t="s">
        <v>432</v>
      </c>
      <c r="C183" s="975">
        <v>0.127</v>
      </c>
      <c r="D183" s="975">
        <v>0.127</v>
      </c>
      <c r="E183" s="975">
        <v>0.128</v>
      </c>
      <c r="F183" s="987"/>
    </row>
    <row r="184" spans="1:6" ht="15" thickBot="1">
      <c r="A184" s="776" t="s">
        <v>526</v>
      </c>
      <c r="B184" s="770" t="s">
        <v>439</v>
      </c>
      <c r="C184" s="975">
        <v>0.125</v>
      </c>
      <c r="D184" s="975">
        <v>0.125</v>
      </c>
      <c r="E184" s="975">
        <v>0.127</v>
      </c>
      <c r="F184" s="987"/>
    </row>
    <row r="185" spans="1:6" ht="15" thickBot="1">
      <c r="A185" s="776" t="s">
        <v>526</v>
      </c>
      <c r="B185" s="770" t="s">
        <v>891</v>
      </c>
      <c r="C185" s="975">
        <v>0.127</v>
      </c>
      <c r="D185" s="975">
        <v>0.127</v>
      </c>
      <c r="E185" s="975">
        <v>0.128</v>
      </c>
      <c r="F185" s="976">
        <v>0.13</v>
      </c>
    </row>
    <row r="186" spans="1:6" ht="24.6" thickBot="1">
      <c r="A186" s="776" t="s">
        <v>526</v>
      </c>
      <c r="B186" s="770" t="s">
        <v>892</v>
      </c>
      <c r="C186" s="988"/>
      <c r="D186" s="988"/>
      <c r="E186" s="988"/>
      <c r="F186" s="976">
        <v>0.05</v>
      </c>
    </row>
    <row r="187" spans="1:6" ht="15" thickBot="1">
      <c r="A187" s="776" t="s">
        <v>526</v>
      </c>
      <c r="B187" s="770" t="s">
        <v>893</v>
      </c>
      <c r="C187" s="988"/>
      <c r="D187" s="988"/>
      <c r="E187" s="988"/>
      <c r="F187" s="976">
        <v>0.05</v>
      </c>
    </row>
    <row r="188" spans="1:6" ht="24.6" thickBot="1">
      <c r="A188" s="776" t="s">
        <v>526</v>
      </c>
      <c r="B188" s="770" t="s">
        <v>894</v>
      </c>
      <c r="C188" s="988"/>
      <c r="D188" s="988"/>
      <c r="E188" s="988"/>
      <c r="F188" s="976">
        <v>0.05</v>
      </c>
    </row>
    <row r="189" spans="1:6" ht="24.6" thickBot="1">
      <c r="A189" s="776" t="s">
        <v>526</v>
      </c>
      <c r="B189" s="770" t="s">
        <v>895</v>
      </c>
      <c r="C189" s="988"/>
      <c r="D189" s="988"/>
      <c r="E189" s="988"/>
      <c r="F189" s="976">
        <v>0.05</v>
      </c>
    </row>
    <row r="190" spans="1:6" ht="24.6" thickBot="1">
      <c r="A190" s="776" t="s">
        <v>526</v>
      </c>
      <c r="B190" s="770" t="s">
        <v>896</v>
      </c>
      <c r="C190" s="988"/>
      <c r="D190" s="988"/>
      <c r="E190" s="988"/>
      <c r="F190" s="976">
        <v>0.05</v>
      </c>
    </row>
    <row r="191" spans="1:6" ht="24.6" thickBot="1">
      <c r="A191" s="776" t="s">
        <v>526</v>
      </c>
      <c r="B191" s="770" t="s">
        <v>897</v>
      </c>
      <c r="C191" s="988"/>
      <c r="D191" s="988"/>
      <c r="E191" s="988"/>
      <c r="F191" s="976">
        <v>0.05</v>
      </c>
    </row>
    <row r="192" spans="1:6" ht="24.6" thickBot="1">
      <c r="A192" s="776" t="s">
        <v>526</v>
      </c>
      <c r="B192" s="770" t="s">
        <v>898</v>
      </c>
      <c r="C192" s="988"/>
      <c r="D192" s="988"/>
      <c r="E192" s="988"/>
      <c r="F192" s="976">
        <v>0.05</v>
      </c>
    </row>
    <row r="193" spans="1:6" ht="24.6" thickBot="1">
      <c r="A193" s="776" t="s">
        <v>526</v>
      </c>
      <c r="B193" s="770" t="s">
        <v>899</v>
      </c>
      <c r="C193" s="988"/>
      <c r="D193" s="988"/>
      <c r="E193" s="988"/>
      <c r="F193" s="976">
        <v>0.05</v>
      </c>
    </row>
    <row r="194" spans="1:6" ht="24.6" thickBot="1">
      <c r="A194" s="776" t="s">
        <v>526</v>
      </c>
      <c r="B194" s="770" t="s">
        <v>900</v>
      </c>
      <c r="C194" s="988"/>
      <c r="D194" s="988"/>
      <c r="E194" s="988"/>
      <c r="F194" s="976">
        <v>0.05</v>
      </c>
    </row>
    <row r="195" spans="1:6" ht="15" thickBot="1">
      <c r="A195" s="776" t="s">
        <v>526</v>
      </c>
      <c r="B195" s="770" t="s">
        <v>901</v>
      </c>
      <c r="C195" s="988"/>
      <c r="D195" s="988"/>
      <c r="E195" s="988"/>
      <c r="F195" s="976">
        <v>0.05</v>
      </c>
    </row>
    <row r="196" spans="1:6" ht="24.6" thickBot="1">
      <c r="A196" s="776" t="s">
        <v>526</v>
      </c>
      <c r="B196" s="770" t="s">
        <v>902</v>
      </c>
      <c r="C196" s="988"/>
      <c r="D196" s="988"/>
      <c r="E196" s="988"/>
      <c r="F196" s="976">
        <v>0.05</v>
      </c>
    </row>
    <row r="197" spans="1:6" ht="24.6" thickBot="1">
      <c r="A197" s="776" t="s">
        <v>526</v>
      </c>
      <c r="B197" s="770" t="s">
        <v>903</v>
      </c>
      <c r="C197" s="988"/>
      <c r="D197" s="988"/>
      <c r="E197" s="988"/>
      <c r="F197" s="976">
        <v>0.05</v>
      </c>
    </row>
    <row r="198" spans="1:6" ht="24.6" thickBot="1">
      <c r="A198" s="776" t="s">
        <v>526</v>
      </c>
      <c r="B198" s="770" t="s">
        <v>904</v>
      </c>
      <c r="C198" s="988"/>
      <c r="D198" s="988"/>
      <c r="E198" s="988"/>
      <c r="F198" s="976">
        <v>0.05</v>
      </c>
    </row>
    <row r="199" spans="1:6" ht="24.6" thickBot="1">
      <c r="A199" s="776" t="s">
        <v>526</v>
      </c>
      <c r="B199" s="770" t="s">
        <v>905</v>
      </c>
      <c r="C199" s="988"/>
      <c r="D199" s="988"/>
      <c r="E199" s="988"/>
      <c r="F199" s="976">
        <v>0.05</v>
      </c>
    </row>
    <row r="200" spans="1:6" ht="24.6" thickBot="1">
      <c r="A200" s="776" t="s">
        <v>526</v>
      </c>
      <c r="B200" s="770" t="s">
        <v>906</v>
      </c>
      <c r="C200" s="988"/>
      <c r="D200" s="988"/>
      <c r="E200" s="988"/>
      <c r="F200" s="976">
        <v>0.05</v>
      </c>
    </row>
    <row r="201" spans="1:6" ht="24.6" thickBot="1">
      <c r="A201" s="776" t="s">
        <v>526</v>
      </c>
      <c r="B201" s="770" t="s">
        <v>907</v>
      </c>
      <c r="C201" s="988"/>
      <c r="D201" s="988"/>
      <c r="E201" s="988"/>
      <c r="F201" s="976">
        <v>0.05</v>
      </c>
    </row>
    <row r="202" spans="1:6" ht="24.6" thickBot="1">
      <c r="A202" s="776" t="s">
        <v>526</v>
      </c>
      <c r="B202" s="770" t="s">
        <v>908</v>
      </c>
      <c r="C202" s="988"/>
      <c r="D202" s="988"/>
      <c r="E202" s="988"/>
      <c r="F202" s="976">
        <v>0.05</v>
      </c>
    </row>
    <row r="203" spans="1:6" ht="24.6" thickBot="1">
      <c r="A203" s="776" t="s">
        <v>526</v>
      </c>
      <c r="B203" s="770" t="s">
        <v>909</v>
      </c>
      <c r="C203" s="988"/>
      <c r="D203" s="988"/>
      <c r="E203" s="988"/>
      <c r="F203" s="976">
        <v>0.05</v>
      </c>
    </row>
    <row r="204" spans="1:6" ht="15" thickBot="1">
      <c r="A204" s="776" t="s">
        <v>526</v>
      </c>
      <c r="B204" s="770" t="s">
        <v>910</v>
      </c>
      <c r="C204" s="988"/>
      <c r="D204" s="988"/>
      <c r="E204" s="988"/>
      <c r="F204" s="976">
        <v>0.05</v>
      </c>
    </row>
    <row r="205" spans="1:6" ht="15" thickBot="1">
      <c r="A205" s="786" t="s">
        <v>526</v>
      </c>
      <c r="B205" s="782" t="s">
        <v>911</v>
      </c>
      <c r="C205" s="985"/>
      <c r="D205" s="985"/>
      <c r="E205" s="985"/>
      <c r="F205" s="978">
        <v>0.05</v>
      </c>
    </row>
    <row r="206" spans="1:6" ht="15" thickBot="1">
      <c r="A206" s="776" t="s">
        <v>528</v>
      </c>
      <c r="B206" s="777" t="s">
        <v>912</v>
      </c>
      <c r="C206" s="973">
        <v>0.15</v>
      </c>
      <c r="D206" s="973">
        <v>0.15</v>
      </c>
      <c r="E206" s="973">
        <v>0.15</v>
      </c>
      <c r="F206" s="974">
        <v>0.15</v>
      </c>
    </row>
    <row r="207" spans="1:6" ht="15" thickBot="1">
      <c r="A207" s="776" t="s">
        <v>528</v>
      </c>
      <c r="B207" s="770" t="s">
        <v>194</v>
      </c>
      <c r="C207" s="975">
        <v>0.15</v>
      </c>
      <c r="D207" s="975">
        <v>0.15</v>
      </c>
      <c r="E207" s="975">
        <v>0.15</v>
      </c>
      <c r="F207" s="976">
        <v>0.14399999999999999</v>
      </c>
    </row>
    <row r="208" spans="1:6" ht="15" thickBot="1">
      <c r="A208" s="776" t="s">
        <v>528</v>
      </c>
      <c r="B208" s="770" t="s">
        <v>207</v>
      </c>
      <c r="C208" s="975">
        <v>0.15</v>
      </c>
      <c r="D208" s="975">
        <v>0.15</v>
      </c>
      <c r="E208" s="975">
        <v>0.15</v>
      </c>
      <c r="F208" s="976">
        <v>0.15</v>
      </c>
    </row>
    <row r="209" spans="1:6" ht="15" thickBot="1">
      <c r="A209" s="776" t="s">
        <v>528</v>
      </c>
      <c r="B209" s="770" t="s">
        <v>220</v>
      </c>
      <c r="C209" s="975">
        <v>0.13700000000000001</v>
      </c>
      <c r="D209" s="975">
        <v>0.13700000000000001</v>
      </c>
      <c r="E209" s="975">
        <v>0.14000000000000001</v>
      </c>
      <c r="F209" s="976">
        <v>0.11700000000000001</v>
      </c>
    </row>
    <row r="210" spans="1:6" ht="15" thickBot="1">
      <c r="A210" s="776" t="s">
        <v>528</v>
      </c>
      <c r="B210" s="770" t="s">
        <v>913</v>
      </c>
      <c r="C210" s="975">
        <v>0.15</v>
      </c>
      <c r="D210" s="975">
        <v>0.15</v>
      </c>
      <c r="E210" s="975">
        <v>0.15</v>
      </c>
      <c r="F210" s="976">
        <v>0.13800000000000001</v>
      </c>
    </row>
    <row r="211" spans="1:6" ht="15" thickBot="1">
      <c r="A211" s="776" t="s">
        <v>528</v>
      </c>
      <c r="B211" s="770" t="s">
        <v>914</v>
      </c>
      <c r="C211" s="975">
        <v>0.13700000000000001</v>
      </c>
      <c r="D211" s="975">
        <v>0.13500000000000001</v>
      </c>
      <c r="E211" s="975">
        <v>0.13600000000000001</v>
      </c>
      <c r="F211" s="976">
        <v>0.1</v>
      </c>
    </row>
    <row r="212" spans="1:6" ht="15" thickBot="1">
      <c r="A212" s="776" t="s">
        <v>528</v>
      </c>
      <c r="B212" s="770" t="s">
        <v>915</v>
      </c>
      <c r="C212" s="975">
        <v>0.15</v>
      </c>
      <c r="D212" s="975">
        <v>0.15</v>
      </c>
      <c r="E212" s="975">
        <v>0.14799999999999999</v>
      </c>
      <c r="F212" s="976">
        <v>0.13600000000000001</v>
      </c>
    </row>
    <row r="213" spans="1:6" ht="15" thickBot="1">
      <c r="A213" s="776" t="s">
        <v>528</v>
      </c>
      <c r="B213" s="770" t="s">
        <v>265</v>
      </c>
      <c r="C213" s="975">
        <v>0.15</v>
      </c>
      <c r="D213" s="975">
        <v>0.15</v>
      </c>
      <c r="E213" s="975">
        <v>0.15</v>
      </c>
      <c r="F213" s="976">
        <v>0.13800000000000001</v>
      </c>
    </row>
    <row r="214" spans="1:6" ht="15" thickBot="1">
      <c r="A214" s="776" t="s">
        <v>528</v>
      </c>
      <c r="B214" s="770" t="s">
        <v>277</v>
      </c>
      <c r="C214" s="975">
        <v>9.0999999999999998E-2</v>
      </c>
      <c r="D214" s="975">
        <v>0.09</v>
      </c>
      <c r="E214" s="975">
        <v>9.1999999999999998E-2</v>
      </c>
      <c r="F214" s="987"/>
    </row>
    <row r="215" spans="1:6" ht="15" thickBot="1">
      <c r="A215" s="776" t="s">
        <v>528</v>
      </c>
      <c r="B215" s="770" t="s">
        <v>916</v>
      </c>
      <c r="C215" s="975">
        <v>0.15</v>
      </c>
      <c r="D215" s="975">
        <v>0.15</v>
      </c>
      <c r="E215" s="975">
        <v>0.15</v>
      </c>
      <c r="F215" s="976">
        <v>0.15</v>
      </c>
    </row>
    <row r="216" spans="1:6" ht="15" thickBot="1">
      <c r="A216" s="776" t="s">
        <v>528</v>
      </c>
      <c r="B216" s="770" t="s">
        <v>297</v>
      </c>
      <c r="C216" s="975">
        <v>0.14699999999999999</v>
      </c>
      <c r="D216" s="975">
        <v>0.14699999999999999</v>
      </c>
      <c r="E216" s="975">
        <v>0.15</v>
      </c>
      <c r="F216" s="976">
        <v>0.14000000000000001</v>
      </c>
    </row>
    <row r="217" spans="1:6" ht="15" thickBot="1">
      <c r="A217" s="776" t="s">
        <v>528</v>
      </c>
      <c r="B217" s="770" t="s">
        <v>307</v>
      </c>
      <c r="C217" s="975">
        <v>0.15</v>
      </c>
      <c r="D217" s="975">
        <v>0.15</v>
      </c>
      <c r="E217" s="975">
        <v>0.15</v>
      </c>
      <c r="F217" s="976">
        <v>0.15</v>
      </c>
    </row>
    <row r="218" spans="1:6" ht="15" thickBot="1">
      <c r="A218" s="776" t="s">
        <v>528</v>
      </c>
      <c r="B218" s="770" t="s">
        <v>917</v>
      </c>
      <c r="C218" s="975">
        <v>0.15</v>
      </c>
      <c r="D218" s="975">
        <v>0.15</v>
      </c>
      <c r="E218" s="975">
        <v>0.15</v>
      </c>
      <c r="F218" s="976">
        <v>0.15</v>
      </c>
    </row>
    <row r="219" spans="1:6" ht="15" thickBot="1">
      <c r="A219" s="776" t="s">
        <v>528</v>
      </c>
      <c r="B219" s="770" t="s">
        <v>328</v>
      </c>
      <c r="C219" s="975">
        <v>0.15</v>
      </c>
      <c r="D219" s="975">
        <v>0.15</v>
      </c>
      <c r="E219" s="975">
        <v>0.15</v>
      </c>
      <c r="F219" s="976">
        <v>0.14799999999999999</v>
      </c>
    </row>
    <row r="220" spans="1:6" ht="15" thickBot="1">
      <c r="A220" s="776" t="s">
        <v>528</v>
      </c>
      <c r="B220" s="770" t="s">
        <v>918</v>
      </c>
      <c r="C220" s="975">
        <v>0.15</v>
      </c>
      <c r="D220" s="975">
        <v>0.15</v>
      </c>
      <c r="E220" s="975">
        <v>0.15</v>
      </c>
      <c r="F220" s="976">
        <v>0.15</v>
      </c>
    </row>
    <row r="221" spans="1:6" ht="15" thickBot="1">
      <c r="A221" s="776" t="s">
        <v>528</v>
      </c>
      <c r="B221" s="770" t="s">
        <v>349</v>
      </c>
      <c r="C221" s="975"/>
      <c r="D221" s="988"/>
      <c r="E221" s="988"/>
      <c r="F221" s="976">
        <v>0.14799999999999999</v>
      </c>
    </row>
    <row r="222" spans="1:6" ht="15" thickBot="1">
      <c r="A222" s="776" t="s">
        <v>528</v>
      </c>
      <c r="B222" s="770" t="s">
        <v>359</v>
      </c>
      <c r="C222" s="975"/>
      <c r="D222" s="988"/>
      <c r="E222" s="988"/>
      <c r="F222" s="976">
        <v>0.1</v>
      </c>
    </row>
    <row r="223" spans="1:6" ht="15" thickBot="1">
      <c r="A223" s="776" t="s">
        <v>528</v>
      </c>
      <c r="B223" s="770" t="s">
        <v>369</v>
      </c>
      <c r="C223" s="975"/>
      <c r="D223" s="988"/>
      <c r="E223" s="988"/>
      <c r="F223" s="976">
        <v>0.15</v>
      </c>
    </row>
    <row r="224" spans="1:6" ht="15" thickBot="1">
      <c r="A224" s="776" t="s">
        <v>528</v>
      </c>
      <c r="B224" s="770" t="s">
        <v>379</v>
      </c>
      <c r="C224" s="975"/>
      <c r="D224" s="988"/>
      <c r="E224" s="988"/>
      <c r="F224" s="976">
        <v>0.15</v>
      </c>
    </row>
    <row r="225" spans="1:6" ht="15" thickBot="1">
      <c r="A225" s="776" t="s">
        <v>528</v>
      </c>
      <c r="B225" s="770" t="s">
        <v>919</v>
      </c>
      <c r="C225" s="975">
        <v>0.15</v>
      </c>
      <c r="D225" s="975">
        <v>0.15</v>
      </c>
      <c r="E225" s="975">
        <v>0.15</v>
      </c>
      <c r="F225" s="976">
        <v>0.15</v>
      </c>
    </row>
    <row r="226" spans="1:6" ht="15" thickBot="1">
      <c r="A226" s="776" t="s">
        <v>528</v>
      </c>
      <c r="B226" s="770" t="s">
        <v>397</v>
      </c>
      <c r="C226" s="975">
        <v>0.15</v>
      </c>
      <c r="D226" s="975">
        <v>0.15</v>
      </c>
      <c r="E226" s="975">
        <v>0.15</v>
      </c>
      <c r="F226" s="976">
        <v>0.14799999999999999</v>
      </c>
    </row>
    <row r="227" spans="1:6" ht="15" thickBot="1">
      <c r="A227" s="776" t="s">
        <v>528</v>
      </c>
      <c r="B227" s="770" t="s">
        <v>920</v>
      </c>
      <c r="C227" s="975">
        <v>0.15</v>
      </c>
      <c r="D227" s="975">
        <v>0.15</v>
      </c>
      <c r="E227" s="975">
        <v>0.15</v>
      </c>
      <c r="F227" s="976">
        <v>0.15</v>
      </c>
    </row>
    <row r="228" spans="1:6" ht="15" thickBot="1">
      <c r="A228" s="776" t="s">
        <v>528</v>
      </c>
      <c r="B228" s="770" t="s">
        <v>412</v>
      </c>
      <c r="C228" s="975">
        <v>0.15</v>
      </c>
      <c r="D228" s="975">
        <v>0.15</v>
      </c>
      <c r="E228" s="975">
        <v>0.15</v>
      </c>
      <c r="F228" s="976">
        <v>0.15</v>
      </c>
    </row>
    <row r="229" spans="1:6" ht="15" thickBot="1">
      <c r="A229" s="776" t="s">
        <v>528</v>
      </c>
      <c r="B229" s="770" t="s">
        <v>419</v>
      </c>
      <c r="C229" s="975">
        <v>0.15</v>
      </c>
      <c r="D229" s="975">
        <v>0.15</v>
      </c>
      <c r="E229" s="975">
        <v>0.15</v>
      </c>
      <c r="F229" s="987"/>
    </row>
    <row r="230" spans="1:6" ht="15" thickBot="1">
      <c r="A230" s="776" t="s">
        <v>528</v>
      </c>
      <c r="B230" s="770" t="s">
        <v>426</v>
      </c>
      <c r="C230" s="975">
        <v>0.14499999999999999</v>
      </c>
      <c r="D230" s="975">
        <v>0.14499999999999999</v>
      </c>
      <c r="E230" s="975">
        <v>0.14399999999999999</v>
      </c>
      <c r="F230" s="987"/>
    </row>
    <row r="231" spans="1:6" ht="15" thickBot="1">
      <c r="A231" s="776" t="s">
        <v>528</v>
      </c>
      <c r="B231" s="770" t="s">
        <v>921</v>
      </c>
      <c r="C231" s="975">
        <v>0.128</v>
      </c>
      <c r="D231" s="975">
        <v>0.125</v>
      </c>
      <c r="E231" s="975">
        <v>0.13200000000000001</v>
      </c>
      <c r="F231" s="987"/>
    </row>
    <row r="232" spans="1:6" ht="15" thickBot="1">
      <c r="A232" s="776" t="s">
        <v>528</v>
      </c>
      <c r="B232" s="770" t="s">
        <v>922</v>
      </c>
      <c r="C232" s="975">
        <v>0.14499999999999999</v>
      </c>
      <c r="D232" s="975">
        <v>0.14399999999999999</v>
      </c>
      <c r="E232" s="975">
        <v>0.14599999999999999</v>
      </c>
      <c r="F232" s="976">
        <v>0.13800000000000001</v>
      </c>
    </row>
    <row r="233" spans="1:6" ht="15" thickBot="1">
      <c r="A233" s="776" t="s">
        <v>528</v>
      </c>
      <c r="B233" s="770" t="s">
        <v>923</v>
      </c>
      <c r="C233" s="975">
        <v>0.14499999999999999</v>
      </c>
      <c r="D233" s="975">
        <v>0.14299999999999999</v>
      </c>
      <c r="E233" s="975">
        <v>0.14199999999999999</v>
      </c>
      <c r="F233" s="987"/>
    </row>
    <row r="234" spans="1:6" ht="15" thickBot="1">
      <c r="A234" s="776" t="s">
        <v>528</v>
      </c>
      <c r="B234" s="770" t="s">
        <v>924</v>
      </c>
      <c r="C234" s="975">
        <v>0.14000000000000001</v>
      </c>
      <c r="D234" s="975">
        <v>0.14000000000000001</v>
      </c>
      <c r="E234" s="975">
        <v>0.14399999999999999</v>
      </c>
      <c r="F234" s="987"/>
    </row>
    <row r="235" spans="1:6" ht="15" thickBot="1">
      <c r="A235" s="776" t="s">
        <v>528</v>
      </c>
      <c r="B235" s="770" t="s">
        <v>925</v>
      </c>
      <c r="C235" s="975">
        <v>0.14099999999999999</v>
      </c>
      <c r="D235" s="975">
        <v>0.14199999999999999</v>
      </c>
      <c r="E235" s="975">
        <v>0.14499999999999999</v>
      </c>
      <c r="F235" s="976">
        <v>0.15</v>
      </c>
    </row>
    <row r="236" spans="1:6" ht="15" thickBot="1">
      <c r="A236" s="776" t="s">
        <v>528</v>
      </c>
      <c r="B236" s="770" t="s">
        <v>461</v>
      </c>
      <c r="C236" s="988"/>
      <c r="D236" s="988"/>
      <c r="E236" s="988"/>
      <c r="F236" s="976">
        <v>0.14299999999999999</v>
      </c>
    </row>
    <row r="237" spans="1:6" ht="24.6" thickBot="1">
      <c r="A237" s="776" t="s">
        <v>528</v>
      </c>
      <c r="B237" s="770" t="s">
        <v>926</v>
      </c>
      <c r="C237" s="988"/>
      <c r="D237" s="988"/>
      <c r="E237" s="988"/>
      <c r="F237" s="976">
        <v>0.05</v>
      </c>
    </row>
    <row r="238" spans="1:6" ht="24.6" thickBot="1">
      <c r="A238" s="776" t="s">
        <v>528</v>
      </c>
      <c r="B238" s="770" t="s">
        <v>927</v>
      </c>
      <c r="C238" s="988"/>
      <c r="D238" s="988"/>
      <c r="E238" s="988"/>
      <c r="F238" s="976">
        <v>0.05</v>
      </c>
    </row>
    <row r="239" spans="1:6" ht="24.6" thickBot="1">
      <c r="A239" s="776" t="s">
        <v>528</v>
      </c>
      <c r="B239" s="770" t="s">
        <v>928</v>
      </c>
      <c r="C239" s="988"/>
      <c r="D239" s="988"/>
      <c r="E239" s="988"/>
      <c r="F239" s="976">
        <v>0.05</v>
      </c>
    </row>
    <row r="240" spans="1:6" ht="24.6" thickBot="1">
      <c r="A240" s="776" t="s">
        <v>528</v>
      </c>
      <c r="B240" s="770" t="s">
        <v>929</v>
      </c>
      <c r="C240" s="988"/>
      <c r="D240" s="988"/>
      <c r="E240" s="988"/>
      <c r="F240" s="976">
        <v>0.05</v>
      </c>
    </row>
    <row r="241" spans="1:6" ht="24.6" thickBot="1">
      <c r="A241" s="776" t="s">
        <v>528</v>
      </c>
      <c r="B241" s="770" t="s">
        <v>930</v>
      </c>
      <c r="C241" s="988"/>
      <c r="D241" s="988"/>
      <c r="E241" s="988"/>
      <c r="F241" s="976">
        <v>0.05</v>
      </c>
    </row>
    <row r="242" spans="1:6" ht="24.6" thickBot="1">
      <c r="A242" s="776" t="s">
        <v>528</v>
      </c>
      <c r="B242" s="770" t="s">
        <v>931</v>
      </c>
      <c r="C242" s="988"/>
      <c r="D242" s="988"/>
      <c r="E242" s="988"/>
      <c r="F242" s="976">
        <v>0.05</v>
      </c>
    </row>
    <row r="243" spans="1:6" ht="24.6" thickBot="1">
      <c r="A243" s="776" t="s">
        <v>528</v>
      </c>
      <c r="B243" s="770" t="s">
        <v>932</v>
      </c>
      <c r="C243" s="988"/>
      <c r="D243" s="988"/>
      <c r="E243" s="988"/>
      <c r="F243" s="976">
        <v>0.05</v>
      </c>
    </row>
    <row r="244" spans="1:6" ht="24.6" thickBot="1">
      <c r="A244" s="786" t="s">
        <v>528</v>
      </c>
      <c r="B244" s="782" t="s">
        <v>933</v>
      </c>
      <c r="C244" s="985"/>
      <c r="D244" s="985"/>
      <c r="E244" s="985"/>
      <c r="F244" s="978">
        <v>0.05</v>
      </c>
    </row>
    <row r="245" spans="1:6" ht="15" thickBot="1">
      <c r="A245" s="776" t="s">
        <v>530</v>
      </c>
      <c r="B245" s="777" t="s">
        <v>934</v>
      </c>
      <c r="C245" s="973">
        <v>0.15</v>
      </c>
      <c r="D245" s="973">
        <v>0.15</v>
      </c>
      <c r="E245" s="973">
        <v>0.15</v>
      </c>
      <c r="F245" s="974">
        <v>0.14299999999999999</v>
      </c>
    </row>
    <row r="246" spans="1:6" ht="15" thickBot="1">
      <c r="A246" s="776" t="s">
        <v>530</v>
      </c>
      <c r="B246" s="770" t="s">
        <v>195</v>
      </c>
      <c r="C246" s="975">
        <v>0.15</v>
      </c>
      <c r="D246" s="975">
        <v>0.15</v>
      </c>
      <c r="E246" s="975">
        <v>0.15</v>
      </c>
      <c r="F246" s="976">
        <v>0.114</v>
      </c>
    </row>
    <row r="247" spans="1:6" ht="15" thickBot="1">
      <c r="A247" s="776" t="s">
        <v>530</v>
      </c>
      <c r="B247" s="770" t="s">
        <v>935</v>
      </c>
      <c r="C247" s="975">
        <v>0.15</v>
      </c>
      <c r="D247" s="975">
        <v>0.15</v>
      </c>
      <c r="E247" s="975">
        <v>0.15</v>
      </c>
      <c r="F247" s="976">
        <v>0.15</v>
      </c>
    </row>
    <row r="248" spans="1:6" ht="15" thickBot="1">
      <c r="A248" s="776" t="s">
        <v>530</v>
      </c>
      <c r="B248" s="770" t="s">
        <v>936</v>
      </c>
      <c r="C248" s="975">
        <v>0.15</v>
      </c>
      <c r="D248" s="975">
        <v>0.15</v>
      </c>
      <c r="E248" s="975">
        <v>0.15</v>
      </c>
      <c r="F248" s="976">
        <v>0.14000000000000001</v>
      </c>
    </row>
    <row r="249" spans="1:6" ht="15" thickBot="1">
      <c r="A249" s="776" t="s">
        <v>530</v>
      </c>
      <c r="B249" s="770" t="s">
        <v>937</v>
      </c>
      <c r="C249" s="975">
        <v>0.15</v>
      </c>
      <c r="D249" s="975">
        <v>0.14899999999999999</v>
      </c>
      <c r="E249" s="975">
        <v>0.15</v>
      </c>
      <c r="F249" s="976">
        <v>0.1</v>
      </c>
    </row>
    <row r="250" spans="1:6" ht="15" thickBot="1">
      <c r="A250" s="776" t="s">
        <v>530</v>
      </c>
      <c r="B250" s="770" t="s">
        <v>938</v>
      </c>
      <c r="C250" s="975">
        <v>0.15</v>
      </c>
      <c r="D250" s="975">
        <v>0.15</v>
      </c>
      <c r="E250" s="975">
        <v>0.15</v>
      </c>
      <c r="F250" s="976">
        <v>0.14399999999999999</v>
      </c>
    </row>
    <row r="251" spans="1:6" ht="15" thickBot="1">
      <c r="A251" s="776" t="s">
        <v>530</v>
      </c>
      <c r="B251" s="770" t="s">
        <v>255</v>
      </c>
      <c r="C251" s="975">
        <v>0.15</v>
      </c>
      <c r="D251" s="975">
        <v>0.15</v>
      </c>
      <c r="E251" s="975">
        <v>0.15</v>
      </c>
      <c r="F251" s="976">
        <v>0.14299999999999999</v>
      </c>
    </row>
    <row r="252" spans="1:6" ht="15" thickBot="1">
      <c r="A252" s="776" t="s">
        <v>530</v>
      </c>
      <c r="B252" s="770" t="s">
        <v>266</v>
      </c>
      <c r="C252" s="975">
        <v>0.15</v>
      </c>
      <c r="D252" s="975">
        <v>0.15</v>
      </c>
      <c r="E252" s="975">
        <v>0.15</v>
      </c>
      <c r="F252" s="976">
        <v>0.1</v>
      </c>
    </row>
    <row r="253" spans="1:6" ht="15" thickBot="1">
      <c r="A253" s="776" t="s">
        <v>530</v>
      </c>
      <c r="B253" s="770" t="s">
        <v>278</v>
      </c>
      <c r="C253" s="975">
        <v>0.15</v>
      </c>
      <c r="D253" s="975">
        <v>0.15</v>
      </c>
      <c r="E253" s="975">
        <v>0.15</v>
      </c>
      <c r="F253" s="976">
        <v>0.1</v>
      </c>
    </row>
    <row r="254" spans="1:6" ht="15" thickBot="1">
      <c r="A254" s="776" t="s">
        <v>530</v>
      </c>
      <c r="B254" s="770" t="s">
        <v>288</v>
      </c>
      <c r="C254" s="988"/>
      <c r="D254" s="988"/>
      <c r="E254" s="988"/>
      <c r="F254" s="976">
        <v>0.15</v>
      </c>
    </row>
    <row r="255" spans="1:6" ht="15" thickBot="1">
      <c r="A255" s="776" t="s">
        <v>530</v>
      </c>
      <c r="B255" s="770" t="s">
        <v>298</v>
      </c>
      <c r="C255" s="988"/>
      <c r="D255" s="988"/>
      <c r="E255" s="988"/>
      <c r="F255" s="976">
        <v>0.14299999999999999</v>
      </c>
    </row>
    <row r="256" spans="1:6" ht="15" thickBot="1">
      <c r="A256" s="776" t="s">
        <v>530</v>
      </c>
      <c r="B256" s="770" t="s">
        <v>939</v>
      </c>
      <c r="C256" s="975">
        <v>0.14599999999999999</v>
      </c>
      <c r="D256" s="975">
        <v>0.14699999999999999</v>
      </c>
      <c r="E256" s="975">
        <v>0.15</v>
      </c>
      <c r="F256" s="976">
        <v>0.13200000000000001</v>
      </c>
    </row>
    <row r="257" spans="1:6" ht="15" thickBot="1">
      <c r="A257" s="776" t="s">
        <v>530</v>
      </c>
      <c r="B257" s="770" t="s">
        <v>318</v>
      </c>
      <c r="C257" s="975">
        <v>0.15</v>
      </c>
      <c r="D257" s="975">
        <v>0.15</v>
      </c>
      <c r="E257" s="975">
        <v>0.15</v>
      </c>
      <c r="F257" s="976">
        <v>0.13900000000000001</v>
      </c>
    </row>
    <row r="258" spans="1:6" ht="15" thickBot="1">
      <c r="A258" s="776" t="s">
        <v>530</v>
      </c>
      <c r="B258" s="770" t="s">
        <v>329</v>
      </c>
      <c r="C258" s="975">
        <v>0.15</v>
      </c>
      <c r="D258" s="975">
        <v>0.15</v>
      </c>
      <c r="E258" s="975">
        <v>0.15</v>
      </c>
      <c r="F258" s="976">
        <v>0.13</v>
      </c>
    </row>
    <row r="259" spans="1:6" ht="15" thickBot="1">
      <c r="A259" s="776" t="s">
        <v>530</v>
      </c>
      <c r="B259" s="770" t="s">
        <v>940</v>
      </c>
      <c r="C259" s="975">
        <v>0.14799999999999999</v>
      </c>
      <c r="D259" s="975">
        <v>0.14899999999999999</v>
      </c>
      <c r="E259" s="975">
        <v>0.15</v>
      </c>
      <c r="F259" s="976">
        <v>0.13700000000000001</v>
      </c>
    </row>
    <row r="260" spans="1:6" ht="15" thickBot="1">
      <c r="A260" s="776" t="s">
        <v>530</v>
      </c>
      <c r="B260" s="770" t="s">
        <v>350</v>
      </c>
      <c r="C260" s="975">
        <v>0.15</v>
      </c>
      <c r="D260" s="975">
        <v>0.15</v>
      </c>
      <c r="E260" s="975">
        <v>0.15</v>
      </c>
      <c r="F260" s="976">
        <v>0.14199999999999999</v>
      </c>
    </row>
    <row r="261" spans="1:6" ht="15" thickBot="1">
      <c r="A261" s="776" t="s">
        <v>530</v>
      </c>
      <c r="B261" s="770" t="s">
        <v>360</v>
      </c>
      <c r="C261" s="975">
        <v>0.15</v>
      </c>
      <c r="D261" s="975">
        <v>0.15</v>
      </c>
      <c r="E261" s="975">
        <v>0.14899999999999999</v>
      </c>
      <c r="F261" s="976">
        <v>0.14799999999999999</v>
      </c>
    </row>
    <row r="262" spans="1:6" ht="15" thickBot="1">
      <c r="A262" s="776" t="s">
        <v>530</v>
      </c>
      <c r="B262" s="770" t="s">
        <v>370</v>
      </c>
      <c r="C262" s="975">
        <v>0.15</v>
      </c>
      <c r="D262" s="975">
        <v>0.15</v>
      </c>
      <c r="E262" s="975">
        <v>0.15</v>
      </c>
      <c r="F262" s="987"/>
    </row>
    <row r="263" spans="1:6" ht="15" thickBot="1">
      <c r="A263" s="776" t="s">
        <v>530</v>
      </c>
      <c r="B263" s="770" t="s">
        <v>941</v>
      </c>
      <c r="C263" s="975">
        <v>0.14899999999999999</v>
      </c>
      <c r="D263" s="975">
        <v>0.14899999999999999</v>
      </c>
      <c r="E263" s="975">
        <v>0.15</v>
      </c>
      <c r="F263" s="976">
        <v>0.13</v>
      </c>
    </row>
    <row r="264" spans="1:6" ht="15" thickBot="1">
      <c r="A264" s="776" t="s">
        <v>530</v>
      </c>
      <c r="B264" s="770" t="s">
        <v>389</v>
      </c>
      <c r="C264" s="975">
        <v>0.14799999999999999</v>
      </c>
      <c r="D264" s="975">
        <v>0.14699999999999999</v>
      </c>
      <c r="E264" s="975">
        <v>0.15</v>
      </c>
      <c r="F264" s="976">
        <v>7.8E-2</v>
      </c>
    </row>
    <row r="265" spans="1:6" ht="15" thickBot="1">
      <c r="A265" s="776" t="s">
        <v>530</v>
      </c>
      <c r="B265" s="770" t="s">
        <v>398</v>
      </c>
      <c r="C265" s="975">
        <v>0.15</v>
      </c>
      <c r="D265" s="975">
        <v>0.15</v>
      </c>
      <c r="E265" s="975">
        <v>0.15</v>
      </c>
      <c r="F265" s="976">
        <v>7.3999999999999996E-2</v>
      </c>
    </row>
    <row r="266" spans="1:6" ht="15" thickBot="1">
      <c r="A266" s="776" t="s">
        <v>530</v>
      </c>
      <c r="B266" s="770" t="s">
        <v>406</v>
      </c>
      <c r="C266" s="975">
        <v>0.14699999999999999</v>
      </c>
      <c r="D266" s="975">
        <v>0.14699999999999999</v>
      </c>
      <c r="E266" s="975">
        <v>0.15</v>
      </c>
      <c r="F266" s="976">
        <v>0.14299999999999999</v>
      </c>
    </row>
    <row r="267" spans="1:6" ht="15" thickBot="1">
      <c r="A267" s="776" t="s">
        <v>530</v>
      </c>
      <c r="B267" s="770" t="s">
        <v>413</v>
      </c>
      <c r="C267" s="975">
        <v>0.14199999999999999</v>
      </c>
      <c r="D267" s="975">
        <v>0.14299999999999999</v>
      </c>
      <c r="E267" s="975">
        <v>0.15</v>
      </c>
      <c r="F267" s="987"/>
    </row>
    <row r="268" spans="1:6" ht="15" thickBot="1">
      <c r="A268" s="776" t="s">
        <v>530</v>
      </c>
      <c r="B268" s="770" t="s">
        <v>942</v>
      </c>
      <c r="C268" s="975">
        <v>0.15</v>
      </c>
      <c r="D268" s="975">
        <v>0.15</v>
      </c>
      <c r="E268" s="975">
        <v>0.15</v>
      </c>
      <c r="F268" s="976">
        <v>0.13</v>
      </c>
    </row>
    <row r="269" spans="1:6" ht="15" thickBot="1">
      <c r="A269" s="776" t="s">
        <v>530</v>
      </c>
      <c r="B269" s="770" t="s">
        <v>427</v>
      </c>
      <c r="C269" s="975">
        <v>0.15</v>
      </c>
      <c r="D269" s="975">
        <v>0.15</v>
      </c>
      <c r="E269" s="975">
        <v>0.15</v>
      </c>
      <c r="F269" s="976">
        <v>0.14299999999999999</v>
      </c>
    </row>
    <row r="270" spans="1:6" ht="15" thickBot="1">
      <c r="A270" s="776" t="s">
        <v>530</v>
      </c>
      <c r="B270" s="770" t="s">
        <v>434</v>
      </c>
      <c r="C270" s="975">
        <v>0.14499999999999999</v>
      </c>
      <c r="D270" s="975">
        <v>0.14499999999999999</v>
      </c>
      <c r="E270" s="975">
        <v>0.15</v>
      </c>
      <c r="F270" s="976">
        <v>0.14699999999999999</v>
      </c>
    </row>
    <row r="271" spans="1:6" ht="15" thickBot="1">
      <c r="A271" s="776" t="s">
        <v>530</v>
      </c>
      <c r="B271" s="770" t="s">
        <v>441</v>
      </c>
      <c r="C271" s="975">
        <v>0.15</v>
      </c>
      <c r="D271" s="975">
        <v>0.15</v>
      </c>
      <c r="E271" s="975">
        <v>0.15</v>
      </c>
      <c r="F271" s="976">
        <v>0.13800000000000001</v>
      </c>
    </row>
    <row r="272" spans="1:6" ht="15" thickBot="1">
      <c r="A272" s="776" t="s">
        <v>530</v>
      </c>
      <c r="B272" s="770" t="s">
        <v>448</v>
      </c>
      <c r="C272" s="988"/>
      <c r="D272" s="988"/>
      <c r="E272" s="988"/>
      <c r="F272" s="976">
        <v>0.14000000000000001</v>
      </c>
    </row>
    <row r="273" spans="1:6" ht="15" thickBot="1">
      <c r="A273" s="776" t="s">
        <v>530</v>
      </c>
      <c r="B273" s="770" t="s">
        <v>943</v>
      </c>
      <c r="C273" s="975">
        <v>0.14199999999999999</v>
      </c>
      <c r="D273" s="975">
        <v>0.14299999999999999</v>
      </c>
      <c r="E273" s="975">
        <v>0.15</v>
      </c>
      <c r="F273" s="976">
        <v>0.1</v>
      </c>
    </row>
    <row r="274" spans="1:6" ht="15" thickBot="1">
      <c r="A274" s="776" t="s">
        <v>530</v>
      </c>
      <c r="B274" s="770" t="s">
        <v>944</v>
      </c>
      <c r="C274" s="975">
        <v>0.14799999999999999</v>
      </c>
      <c r="D274" s="975">
        <v>0.14799999999999999</v>
      </c>
      <c r="E274" s="975">
        <v>0.15</v>
      </c>
      <c r="F274" s="976">
        <v>6.7000000000000004E-2</v>
      </c>
    </row>
    <row r="275" spans="1:6" ht="15" thickBot="1">
      <c r="A275" s="776" t="s">
        <v>530</v>
      </c>
      <c r="B275" s="770" t="s">
        <v>945</v>
      </c>
      <c r="C275" s="975">
        <v>0.15</v>
      </c>
      <c r="D275" s="975">
        <v>0.15</v>
      </c>
      <c r="E275" s="975">
        <v>0.15</v>
      </c>
      <c r="F275" s="976">
        <v>0.15</v>
      </c>
    </row>
    <row r="276" spans="1:6" ht="15" thickBot="1">
      <c r="A276" s="776" t="s">
        <v>530</v>
      </c>
      <c r="B276" s="770" t="s">
        <v>946</v>
      </c>
      <c r="C276" s="975">
        <v>0.14499999999999999</v>
      </c>
      <c r="D276" s="975">
        <v>0.14299999999999999</v>
      </c>
      <c r="E276" s="975">
        <v>0.15</v>
      </c>
      <c r="F276" s="976">
        <v>5.8999999999999997E-2</v>
      </c>
    </row>
    <row r="277" spans="1:6" ht="15" thickBot="1">
      <c r="A277" s="776" t="s">
        <v>530</v>
      </c>
      <c r="B277" s="770" t="s">
        <v>947</v>
      </c>
      <c r="C277" s="975">
        <v>0.15</v>
      </c>
      <c r="D277" s="975">
        <v>0.15</v>
      </c>
      <c r="E277" s="975">
        <v>0.15</v>
      </c>
      <c r="F277" s="976">
        <v>0.121</v>
      </c>
    </row>
    <row r="278" spans="1:6" ht="15" thickBot="1">
      <c r="A278" s="776" t="s">
        <v>530</v>
      </c>
      <c r="B278" s="770" t="s">
        <v>948</v>
      </c>
      <c r="C278" s="975">
        <v>0.15</v>
      </c>
      <c r="D278" s="975">
        <v>0.15</v>
      </c>
      <c r="E278" s="975">
        <v>0.15</v>
      </c>
      <c r="F278" s="976">
        <v>0.13800000000000001</v>
      </c>
    </row>
    <row r="279" spans="1:6" ht="24.6" thickBot="1">
      <c r="A279" s="776" t="s">
        <v>530</v>
      </c>
      <c r="B279" s="770" t="s">
        <v>949</v>
      </c>
      <c r="C279" s="988"/>
      <c r="D279" s="988"/>
      <c r="E279" s="988"/>
      <c r="F279" s="976">
        <v>0.05</v>
      </c>
    </row>
    <row r="280" spans="1:6" ht="24.6" thickBot="1">
      <c r="A280" s="776" t="s">
        <v>530</v>
      </c>
      <c r="B280" s="770" t="s">
        <v>950</v>
      </c>
      <c r="C280" s="988"/>
      <c r="D280" s="988"/>
      <c r="E280" s="988"/>
      <c r="F280" s="976">
        <v>0.05</v>
      </c>
    </row>
    <row r="281" spans="1:6" ht="24.6" thickBot="1">
      <c r="A281" s="776" t="s">
        <v>530</v>
      </c>
      <c r="B281" s="770" t="s">
        <v>951</v>
      </c>
      <c r="C281" s="988"/>
      <c r="D281" s="988"/>
      <c r="E281" s="988"/>
      <c r="F281" s="976">
        <v>0.05</v>
      </c>
    </row>
    <row r="282" spans="1:6" ht="24.6" thickBot="1">
      <c r="A282" s="776" t="s">
        <v>530</v>
      </c>
      <c r="B282" s="770" t="s">
        <v>952</v>
      </c>
      <c r="C282" s="988"/>
      <c r="D282" s="988"/>
      <c r="E282" s="988"/>
      <c r="F282" s="976">
        <v>0.05</v>
      </c>
    </row>
    <row r="283" spans="1:6" ht="24.6" thickBot="1">
      <c r="A283" s="776" t="s">
        <v>530</v>
      </c>
      <c r="B283" s="770" t="s">
        <v>953</v>
      </c>
      <c r="C283" s="988"/>
      <c r="D283" s="988"/>
      <c r="E283" s="988"/>
      <c r="F283" s="976">
        <v>0.05</v>
      </c>
    </row>
    <row r="284" spans="1:6" ht="24.6" thickBot="1">
      <c r="A284" s="776" t="s">
        <v>530</v>
      </c>
      <c r="B284" s="770" t="s">
        <v>954</v>
      </c>
      <c r="C284" s="988"/>
      <c r="D284" s="988"/>
      <c r="E284" s="988"/>
      <c r="F284" s="976">
        <v>0.05</v>
      </c>
    </row>
    <row r="285" spans="1:6" ht="24.6" thickBot="1">
      <c r="A285" s="776" t="s">
        <v>530</v>
      </c>
      <c r="B285" s="770" t="s">
        <v>955</v>
      </c>
      <c r="C285" s="988"/>
      <c r="D285" s="988"/>
      <c r="E285" s="988"/>
      <c r="F285" s="976">
        <v>0.05</v>
      </c>
    </row>
    <row r="286" spans="1:6" ht="24.6" thickBot="1">
      <c r="A286" s="776" t="s">
        <v>530</v>
      </c>
      <c r="B286" s="770" t="s">
        <v>956</v>
      </c>
      <c r="C286" s="988"/>
      <c r="D286" s="988"/>
      <c r="E286" s="988"/>
      <c r="F286" s="976">
        <v>0.05</v>
      </c>
    </row>
    <row r="287" spans="1:6" ht="24.6" thickBot="1">
      <c r="A287" s="776" t="s">
        <v>530</v>
      </c>
      <c r="B287" s="770" t="s">
        <v>957</v>
      </c>
      <c r="C287" s="988"/>
      <c r="D287" s="988"/>
      <c r="E287" s="988"/>
      <c r="F287" s="976">
        <v>0.05</v>
      </c>
    </row>
    <row r="288" spans="1:6" ht="24.6" thickBot="1">
      <c r="A288" s="776" t="s">
        <v>530</v>
      </c>
      <c r="B288" s="770" t="s">
        <v>958</v>
      </c>
      <c r="C288" s="988"/>
      <c r="D288" s="988"/>
      <c r="E288" s="988"/>
      <c r="F288" s="976">
        <v>0.05</v>
      </c>
    </row>
    <row r="289" spans="1:6" ht="24.6" thickBot="1">
      <c r="A289" s="786" t="s">
        <v>530</v>
      </c>
      <c r="B289" s="782" t="s">
        <v>959</v>
      </c>
      <c r="C289" s="985"/>
      <c r="D289" s="985"/>
      <c r="E289" s="985"/>
      <c r="F289" s="978">
        <v>0.05</v>
      </c>
    </row>
    <row r="290" spans="1:6" ht="15" thickBot="1">
      <c r="A290" s="776" t="s">
        <v>534</v>
      </c>
      <c r="B290" s="777" t="s">
        <v>960</v>
      </c>
      <c r="C290" s="973">
        <v>0.15</v>
      </c>
      <c r="D290" s="973">
        <v>0.15</v>
      </c>
      <c r="E290" s="973">
        <v>0.15</v>
      </c>
      <c r="F290" s="990"/>
    </row>
    <row r="291" spans="1:6" ht="15" thickBot="1">
      <c r="A291" s="776" t="s">
        <v>534</v>
      </c>
      <c r="B291" s="770" t="s">
        <v>196</v>
      </c>
      <c r="C291" s="975">
        <v>0.15</v>
      </c>
      <c r="D291" s="975">
        <v>0.15</v>
      </c>
      <c r="E291" s="975">
        <v>0.15</v>
      </c>
      <c r="F291" s="987"/>
    </row>
    <row r="292" spans="1:6" ht="15" thickBot="1">
      <c r="A292" s="776" t="s">
        <v>534</v>
      </c>
      <c r="B292" s="770" t="s">
        <v>961</v>
      </c>
      <c r="C292" s="975">
        <v>0.15</v>
      </c>
      <c r="D292" s="975">
        <v>0.15</v>
      </c>
      <c r="E292" s="975">
        <v>0.15</v>
      </c>
      <c r="F292" s="976">
        <v>0.14699999999999999</v>
      </c>
    </row>
    <row r="293" spans="1:6" ht="15" thickBot="1">
      <c r="A293" s="776" t="s">
        <v>534</v>
      </c>
      <c r="B293" s="770" t="s">
        <v>962</v>
      </c>
      <c r="C293" s="988"/>
      <c r="D293" s="988"/>
      <c r="E293" s="988"/>
      <c r="F293" s="976">
        <v>0.1</v>
      </c>
    </row>
    <row r="294" spans="1:6" ht="15" thickBot="1">
      <c r="A294" s="776" t="s">
        <v>534</v>
      </c>
      <c r="B294" s="770" t="s">
        <v>963</v>
      </c>
      <c r="C294" s="975">
        <v>0.15</v>
      </c>
      <c r="D294" s="975">
        <v>0.15</v>
      </c>
      <c r="E294" s="975">
        <v>0.15</v>
      </c>
      <c r="F294" s="976">
        <v>0.15</v>
      </c>
    </row>
    <row r="295" spans="1:6" ht="15" thickBot="1">
      <c r="A295" s="776" t="s">
        <v>534</v>
      </c>
      <c r="B295" s="770" t="s">
        <v>234</v>
      </c>
      <c r="C295" s="975">
        <v>0.15</v>
      </c>
      <c r="D295" s="975">
        <v>0.15</v>
      </c>
      <c r="E295" s="975">
        <v>0.15</v>
      </c>
      <c r="F295" s="976">
        <v>0.15</v>
      </c>
    </row>
    <row r="296" spans="1:6" ht="15" thickBot="1">
      <c r="A296" s="776" t="s">
        <v>534</v>
      </c>
      <c r="B296" s="770" t="s">
        <v>964</v>
      </c>
      <c r="C296" s="975">
        <v>0.15</v>
      </c>
      <c r="D296" s="975">
        <v>0.15</v>
      </c>
      <c r="E296" s="975">
        <v>0.15</v>
      </c>
      <c r="F296" s="976">
        <v>0.15</v>
      </c>
    </row>
    <row r="297" spans="1:6" ht="15" thickBot="1">
      <c r="A297" s="776" t="s">
        <v>534</v>
      </c>
      <c r="B297" s="770" t="s">
        <v>965</v>
      </c>
      <c r="C297" s="975">
        <v>0.14799999999999999</v>
      </c>
      <c r="D297" s="975">
        <v>0.14899999999999999</v>
      </c>
      <c r="E297" s="975">
        <v>0.15</v>
      </c>
      <c r="F297" s="976">
        <v>0.13700000000000001</v>
      </c>
    </row>
    <row r="298" spans="1:6" ht="15" thickBot="1">
      <c r="A298" s="776" t="s">
        <v>534</v>
      </c>
      <c r="B298" s="770" t="s">
        <v>267</v>
      </c>
      <c r="C298" s="975">
        <v>0.13400000000000001</v>
      </c>
      <c r="D298" s="975">
        <v>0.13400000000000001</v>
      </c>
      <c r="E298" s="975">
        <v>0.14499999999999999</v>
      </c>
      <c r="F298" s="976">
        <v>0.14799999999999999</v>
      </c>
    </row>
    <row r="299" spans="1:6" ht="15" thickBot="1">
      <c r="A299" s="776" t="s">
        <v>534</v>
      </c>
      <c r="B299" s="770" t="s">
        <v>279</v>
      </c>
      <c r="C299" s="975">
        <v>0.15</v>
      </c>
      <c r="D299" s="975">
        <v>0.15</v>
      </c>
      <c r="E299" s="975">
        <v>0.15</v>
      </c>
      <c r="F299" s="987"/>
    </row>
    <row r="300" spans="1:6" ht="15" thickBot="1">
      <c r="A300" s="776" t="s">
        <v>534</v>
      </c>
      <c r="B300" s="770" t="s">
        <v>966</v>
      </c>
      <c r="C300" s="975">
        <v>0.15</v>
      </c>
      <c r="D300" s="975">
        <v>0.15</v>
      </c>
      <c r="E300" s="975">
        <v>0.15</v>
      </c>
      <c r="F300" s="976">
        <v>0.15</v>
      </c>
    </row>
    <row r="301" spans="1:6" ht="15" thickBot="1">
      <c r="A301" s="776" t="s">
        <v>534</v>
      </c>
      <c r="B301" s="770" t="s">
        <v>299</v>
      </c>
      <c r="C301" s="975">
        <v>0.15</v>
      </c>
      <c r="D301" s="975">
        <v>0.15</v>
      </c>
      <c r="E301" s="975">
        <v>0.15</v>
      </c>
      <c r="F301" s="987"/>
    </row>
    <row r="302" spans="1:6" ht="15" thickBot="1">
      <c r="A302" s="776" t="s">
        <v>534</v>
      </c>
      <c r="B302" s="770" t="s">
        <v>967</v>
      </c>
      <c r="C302" s="975">
        <v>0.15</v>
      </c>
      <c r="D302" s="975">
        <v>0.15</v>
      </c>
      <c r="E302" s="975">
        <v>0.15</v>
      </c>
      <c r="F302" s="976">
        <v>0.15</v>
      </c>
    </row>
    <row r="303" spans="1:6" ht="15" thickBot="1">
      <c r="A303" s="776" t="s">
        <v>534</v>
      </c>
      <c r="B303" s="770" t="s">
        <v>319</v>
      </c>
      <c r="C303" s="975">
        <v>0.15</v>
      </c>
      <c r="D303" s="975">
        <v>0.15</v>
      </c>
      <c r="E303" s="975">
        <v>0.15</v>
      </c>
      <c r="F303" s="976">
        <v>0.15</v>
      </c>
    </row>
    <row r="304" spans="1:6" ht="15" thickBot="1">
      <c r="A304" s="776" t="s">
        <v>534</v>
      </c>
      <c r="B304" s="770" t="s">
        <v>330</v>
      </c>
      <c r="C304" s="975">
        <v>0.15</v>
      </c>
      <c r="D304" s="975">
        <v>0.15</v>
      </c>
      <c r="E304" s="975">
        <v>0.15</v>
      </c>
      <c r="F304" s="987"/>
    </row>
    <row r="305" spans="1:6" ht="15" thickBot="1">
      <c r="A305" s="776" t="s">
        <v>534</v>
      </c>
      <c r="B305" s="770" t="s">
        <v>968</v>
      </c>
      <c r="C305" s="975">
        <v>0.15</v>
      </c>
      <c r="D305" s="975">
        <v>0.15</v>
      </c>
      <c r="E305" s="975">
        <v>0.15</v>
      </c>
      <c r="F305" s="976">
        <v>0.14000000000000001</v>
      </c>
    </row>
    <row r="306" spans="1:6" ht="15" thickBot="1">
      <c r="A306" s="776" t="s">
        <v>534</v>
      </c>
      <c r="B306" s="770" t="s">
        <v>351</v>
      </c>
      <c r="C306" s="975">
        <v>0.15</v>
      </c>
      <c r="D306" s="975">
        <v>0.15</v>
      </c>
      <c r="E306" s="975">
        <v>0.15</v>
      </c>
      <c r="F306" s="987"/>
    </row>
    <row r="307" spans="1:6" ht="15" thickBot="1">
      <c r="A307" s="776" t="s">
        <v>534</v>
      </c>
      <c r="B307" s="770" t="s">
        <v>969</v>
      </c>
      <c r="C307" s="975">
        <v>0.15</v>
      </c>
      <c r="D307" s="975">
        <v>0.15</v>
      </c>
      <c r="E307" s="975">
        <v>0.15</v>
      </c>
      <c r="F307" s="976">
        <v>0.14299999999999999</v>
      </c>
    </row>
    <row r="308" spans="1:6" ht="15" thickBot="1">
      <c r="A308" s="776" t="s">
        <v>534</v>
      </c>
      <c r="B308" s="770" t="s">
        <v>371</v>
      </c>
      <c r="C308" s="975">
        <v>0.15</v>
      </c>
      <c r="D308" s="975">
        <v>0.15</v>
      </c>
      <c r="E308" s="975">
        <v>0.15</v>
      </c>
      <c r="F308" s="976">
        <v>0.15</v>
      </c>
    </row>
    <row r="309" spans="1:6" ht="15" thickBot="1">
      <c r="A309" s="776" t="s">
        <v>534</v>
      </c>
      <c r="B309" s="770" t="s">
        <v>381</v>
      </c>
      <c r="C309" s="975">
        <v>0.15</v>
      </c>
      <c r="D309" s="975">
        <v>0.15</v>
      </c>
      <c r="E309" s="975">
        <v>0.15</v>
      </c>
      <c r="F309" s="987"/>
    </row>
    <row r="310" spans="1:6" ht="15" thickBot="1">
      <c r="A310" s="776" t="s">
        <v>534</v>
      </c>
      <c r="B310" s="770" t="s">
        <v>970</v>
      </c>
      <c r="C310" s="975">
        <v>0.15</v>
      </c>
      <c r="D310" s="975">
        <v>0.15</v>
      </c>
      <c r="E310" s="975">
        <v>0.15</v>
      </c>
      <c r="F310" s="976">
        <v>0.13700000000000001</v>
      </c>
    </row>
    <row r="311" spans="1:6" ht="15" thickBot="1">
      <c r="A311" s="776" t="s">
        <v>534</v>
      </c>
      <c r="B311" s="770" t="s">
        <v>971</v>
      </c>
      <c r="C311" s="975">
        <v>0.15</v>
      </c>
      <c r="D311" s="975">
        <v>0.15</v>
      </c>
      <c r="E311" s="975">
        <v>0.15</v>
      </c>
      <c r="F311" s="976">
        <v>0.15</v>
      </c>
    </row>
    <row r="312" spans="1:6" ht="15" thickBot="1">
      <c r="A312" s="776" t="s">
        <v>534</v>
      </c>
      <c r="B312" s="770" t="s">
        <v>407</v>
      </c>
      <c r="C312" s="975">
        <v>0.15</v>
      </c>
      <c r="D312" s="975">
        <v>0.15</v>
      </c>
      <c r="E312" s="975">
        <v>0.15</v>
      </c>
      <c r="F312" s="976">
        <v>0.1</v>
      </c>
    </row>
    <row r="313" spans="1:6" ht="15" thickBot="1">
      <c r="A313" s="776" t="s">
        <v>534</v>
      </c>
      <c r="B313" s="770" t="s">
        <v>972</v>
      </c>
      <c r="C313" s="975">
        <v>0.15</v>
      </c>
      <c r="D313" s="975">
        <v>0.15</v>
      </c>
      <c r="E313" s="975">
        <v>0.15</v>
      </c>
      <c r="F313" s="976">
        <v>0.15</v>
      </c>
    </row>
    <row r="314" spans="1:6" ht="24.6" thickBot="1">
      <c r="A314" s="776" t="s">
        <v>534</v>
      </c>
      <c r="B314" s="770" t="s">
        <v>973</v>
      </c>
      <c r="C314" s="988"/>
      <c r="D314" s="988"/>
      <c r="E314" s="988"/>
      <c r="F314" s="976">
        <v>0.05</v>
      </c>
    </row>
    <row r="315" spans="1:6" ht="24.6" thickBot="1">
      <c r="A315" s="776" t="s">
        <v>534</v>
      </c>
      <c r="B315" s="770" t="s">
        <v>974</v>
      </c>
      <c r="C315" s="988"/>
      <c r="D315" s="988"/>
      <c r="E315" s="988"/>
      <c r="F315" s="976">
        <v>0.05</v>
      </c>
    </row>
    <row r="316" spans="1:6" ht="24.6" thickBot="1">
      <c r="A316" s="786" t="s">
        <v>534</v>
      </c>
      <c r="B316" s="782" t="s">
        <v>975</v>
      </c>
      <c r="C316" s="985"/>
      <c r="D316" s="985"/>
      <c r="E316" s="985"/>
      <c r="F316" s="978">
        <v>0.05</v>
      </c>
    </row>
    <row r="317" spans="1:6" ht="15" thickBot="1">
      <c r="A317" s="776" t="s">
        <v>976</v>
      </c>
      <c r="B317" s="777" t="s">
        <v>977</v>
      </c>
      <c r="C317" s="973">
        <v>0.15</v>
      </c>
      <c r="D317" s="973">
        <v>0.15</v>
      </c>
      <c r="E317" s="973">
        <v>0.15</v>
      </c>
      <c r="F317" s="974">
        <v>0.15</v>
      </c>
    </row>
    <row r="318" spans="1:6" ht="15" thickBot="1">
      <c r="A318" s="776" t="s">
        <v>976</v>
      </c>
      <c r="B318" s="770" t="s">
        <v>978</v>
      </c>
      <c r="C318" s="975">
        <v>0.107</v>
      </c>
      <c r="D318" s="975">
        <v>0.11</v>
      </c>
      <c r="E318" s="975">
        <v>0.112</v>
      </c>
      <c r="F318" s="987"/>
    </row>
    <row r="319" spans="1:6" ht="15" thickBot="1">
      <c r="A319" s="776" t="s">
        <v>976</v>
      </c>
      <c r="B319" s="770" t="s">
        <v>979</v>
      </c>
      <c r="C319" s="975">
        <v>0.15</v>
      </c>
      <c r="D319" s="975">
        <v>0.15</v>
      </c>
      <c r="E319" s="975">
        <v>0.15</v>
      </c>
      <c r="F319" s="976">
        <v>0.15</v>
      </c>
    </row>
    <row r="320" spans="1:6" ht="15" thickBot="1">
      <c r="A320" s="776" t="s">
        <v>976</v>
      </c>
      <c r="B320" s="770" t="s">
        <v>223</v>
      </c>
      <c r="C320" s="975">
        <v>0.15</v>
      </c>
      <c r="D320" s="975">
        <v>0.15</v>
      </c>
      <c r="E320" s="975">
        <v>0.15</v>
      </c>
      <c r="F320" s="987"/>
    </row>
    <row r="321" spans="1:6" ht="15" thickBot="1">
      <c r="A321" s="776" t="s">
        <v>976</v>
      </c>
      <c r="B321" s="770" t="s">
        <v>980</v>
      </c>
      <c r="C321" s="975">
        <v>0.15</v>
      </c>
      <c r="D321" s="975">
        <v>0.15</v>
      </c>
      <c r="E321" s="975">
        <v>0.15</v>
      </c>
      <c r="F321" s="987"/>
    </row>
    <row r="322" spans="1:6" ht="15" thickBot="1">
      <c r="A322" s="776" t="s">
        <v>976</v>
      </c>
      <c r="B322" s="770" t="s">
        <v>981</v>
      </c>
      <c r="C322" s="975">
        <v>0.15</v>
      </c>
      <c r="D322" s="975">
        <v>0.15</v>
      </c>
      <c r="E322" s="975">
        <v>0.15</v>
      </c>
      <c r="F322" s="976">
        <v>0.15</v>
      </c>
    </row>
    <row r="323" spans="1:6" ht="15" thickBot="1">
      <c r="A323" s="776" t="s">
        <v>976</v>
      </c>
      <c r="B323" s="770" t="s">
        <v>982</v>
      </c>
      <c r="C323" s="975">
        <v>0.15</v>
      </c>
      <c r="D323" s="975">
        <v>0.15</v>
      </c>
      <c r="E323" s="975">
        <v>0.15</v>
      </c>
      <c r="F323" s="987"/>
    </row>
    <row r="324" spans="1:6" ht="15" thickBot="1">
      <c r="A324" s="776" t="s">
        <v>976</v>
      </c>
      <c r="B324" s="770" t="s">
        <v>983</v>
      </c>
      <c r="C324" s="975">
        <v>0.15</v>
      </c>
      <c r="D324" s="975">
        <v>0.15</v>
      </c>
      <c r="E324" s="975">
        <v>0.15</v>
      </c>
      <c r="F324" s="987"/>
    </row>
    <row r="325" spans="1:6" ht="15" thickBot="1">
      <c r="A325" s="776" t="s">
        <v>976</v>
      </c>
      <c r="B325" s="770" t="s">
        <v>984</v>
      </c>
      <c r="C325" s="975">
        <v>0.15</v>
      </c>
      <c r="D325" s="975">
        <v>0.15</v>
      </c>
      <c r="E325" s="975">
        <v>0.15</v>
      </c>
      <c r="F325" s="976">
        <v>0.14699999999999999</v>
      </c>
    </row>
    <row r="326" spans="1:6" ht="15" thickBot="1">
      <c r="A326" s="776" t="s">
        <v>976</v>
      </c>
      <c r="B326" s="770" t="s">
        <v>290</v>
      </c>
      <c r="C326" s="975">
        <v>0.15</v>
      </c>
      <c r="D326" s="975">
        <v>0.15</v>
      </c>
      <c r="E326" s="975">
        <v>0.15</v>
      </c>
      <c r="F326" s="987"/>
    </row>
    <row r="327" spans="1:6" ht="15" thickBot="1">
      <c r="A327" s="776" t="s">
        <v>976</v>
      </c>
      <c r="B327" s="770" t="s">
        <v>985</v>
      </c>
      <c r="C327" s="975">
        <v>0.15</v>
      </c>
      <c r="D327" s="975">
        <v>0.15</v>
      </c>
      <c r="E327" s="975">
        <v>0.15</v>
      </c>
      <c r="F327" s="976">
        <v>0.15</v>
      </c>
    </row>
    <row r="328" spans="1:6" ht="15" thickBot="1">
      <c r="A328" s="776" t="s">
        <v>976</v>
      </c>
      <c r="B328" s="770" t="s">
        <v>310</v>
      </c>
      <c r="C328" s="975">
        <v>0.15</v>
      </c>
      <c r="D328" s="975">
        <v>0.15</v>
      </c>
      <c r="E328" s="975">
        <v>0.15</v>
      </c>
      <c r="F328" s="976">
        <v>0.14099999999999999</v>
      </c>
    </row>
    <row r="329" spans="1:6" ht="15" thickBot="1">
      <c r="A329" s="776" t="s">
        <v>976</v>
      </c>
      <c r="B329" s="770" t="s">
        <v>320</v>
      </c>
      <c r="C329" s="975">
        <v>0.15</v>
      </c>
      <c r="D329" s="975">
        <v>0.15</v>
      </c>
      <c r="E329" s="975">
        <v>0.15</v>
      </c>
      <c r="F329" s="976">
        <v>0.15</v>
      </c>
    </row>
    <row r="330" spans="1:6" ht="15" thickBot="1">
      <c r="A330" s="776" t="s">
        <v>976</v>
      </c>
      <c r="B330" s="770" t="s">
        <v>331</v>
      </c>
      <c r="C330" s="975">
        <v>0.15</v>
      </c>
      <c r="D330" s="975">
        <v>0.15</v>
      </c>
      <c r="E330" s="975">
        <v>0.15</v>
      </c>
      <c r="F330" s="987"/>
    </row>
    <row r="331" spans="1:6" ht="15" thickBot="1">
      <c r="A331" s="776" t="s">
        <v>976</v>
      </c>
      <c r="B331" s="770" t="s">
        <v>986</v>
      </c>
      <c r="C331" s="975">
        <v>0.15</v>
      </c>
      <c r="D331" s="975">
        <v>0.15</v>
      </c>
      <c r="E331" s="975">
        <v>0.15</v>
      </c>
      <c r="F331" s="976">
        <v>0.15</v>
      </c>
    </row>
    <row r="332" spans="1:6" ht="15" thickBot="1">
      <c r="A332" s="776" t="s">
        <v>976</v>
      </c>
      <c r="B332" s="770" t="s">
        <v>352</v>
      </c>
      <c r="C332" s="975">
        <v>0.15</v>
      </c>
      <c r="D332" s="975">
        <v>0.15</v>
      </c>
      <c r="E332" s="975">
        <v>0.15</v>
      </c>
      <c r="F332" s="976">
        <v>0.15</v>
      </c>
    </row>
    <row r="333" spans="1:6" ht="15" thickBot="1">
      <c r="A333" s="776" t="s">
        <v>976</v>
      </c>
      <c r="B333" s="770" t="s">
        <v>987</v>
      </c>
      <c r="C333" s="975">
        <v>0.15</v>
      </c>
      <c r="D333" s="975">
        <v>0.15</v>
      </c>
      <c r="E333" s="975">
        <v>0.15</v>
      </c>
      <c r="F333" s="976">
        <v>0.14099999999999999</v>
      </c>
    </row>
    <row r="334" spans="1:6" ht="15" thickBot="1">
      <c r="A334" s="776" t="s">
        <v>976</v>
      </c>
      <c r="B334" s="770" t="s">
        <v>372</v>
      </c>
      <c r="C334" s="975">
        <v>0.15</v>
      </c>
      <c r="D334" s="975">
        <v>0.15</v>
      </c>
      <c r="E334" s="975">
        <v>0.15</v>
      </c>
      <c r="F334" s="976">
        <v>0.15</v>
      </c>
    </row>
    <row r="335" spans="1:6" ht="15" thickBot="1">
      <c r="A335" s="776" t="s">
        <v>976</v>
      </c>
      <c r="B335" s="770" t="s">
        <v>382</v>
      </c>
      <c r="C335" s="975">
        <v>0.15</v>
      </c>
      <c r="D335" s="975">
        <v>0.15</v>
      </c>
      <c r="E335" s="975">
        <v>0.15</v>
      </c>
      <c r="F335" s="987"/>
    </row>
    <row r="336" spans="1:6" ht="15" thickBot="1">
      <c r="A336" s="776" t="s">
        <v>976</v>
      </c>
      <c r="B336" s="770" t="s">
        <v>988</v>
      </c>
      <c r="C336" s="975">
        <v>0.15</v>
      </c>
      <c r="D336" s="975">
        <v>0.15</v>
      </c>
      <c r="E336" s="975">
        <v>0.15</v>
      </c>
      <c r="F336" s="976">
        <v>0.11799999999999999</v>
      </c>
    </row>
    <row r="337" spans="1:6" ht="15" thickBot="1">
      <c r="A337" s="786" t="s">
        <v>976</v>
      </c>
      <c r="B337" s="782" t="s">
        <v>400</v>
      </c>
      <c r="C337" s="985"/>
      <c r="D337" s="985"/>
      <c r="E337" s="985"/>
      <c r="F337" s="978">
        <v>0.14299999999999999</v>
      </c>
    </row>
    <row r="338" spans="1:6" ht="15" thickBot="1">
      <c r="A338" s="776" t="s">
        <v>989</v>
      </c>
      <c r="B338" s="777" t="s">
        <v>990</v>
      </c>
      <c r="C338" s="973">
        <v>0.15</v>
      </c>
      <c r="D338" s="973">
        <v>0.15</v>
      </c>
      <c r="E338" s="973">
        <v>0.15</v>
      </c>
      <c r="F338" s="990"/>
    </row>
    <row r="339" spans="1:6" ht="15" thickBot="1">
      <c r="A339" s="776" t="s">
        <v>989</v>
      </c>
      <c r="B339" s="770" t="s">
        <v>991</v>
      </c>
      <c r="C339" s="975">
        <v>0.15</v>
      </c>
      <c r="D339" s="975">
        <v>0.15</v>
      </c>
      <c r="E339" s="975">
        <v>0.15</v>
      </c>
      <c r="F339" s="987"/>
    </row>
    <row r="340" spans="1:6" ht="15" thickBot="1">
      <c r="A340" s="776" t="s">
        <v>989</v>
      </c>
      <c r="B340" s="770" t="s">
        <v>992</v>
      </c>
      <c r="C340" s="975">
        <v>0.15</v>
      </c>
      <c r="D340" s="975">
        <v>0.15</v>
      </c>
      <c r="E340" s="975">
        <v>0.15</v>
      </c>
      <c r="F340" s="987"/>
    </row>
    <row r="341" spans="1:6" ht="15" thickBot="1">
      <c r="A341" s="776" t="s">
        <v>989</v>
      </c>
      <c r="B341" s="770" t="s">
        <v>993</v>
      </c>
      <c r="C341" s="975">
        <v>0.15</v>
      </c>
      <c r="D341" s="975">
        <v>0.15</v>
      </c>
      <c r="E341" s="975">
        <v>0.15</v>
      </c>
      <c r="F341" s="976">
        <v>0.15</v>
      </c>
    </row>
    <row r="342" spans="1:6" ht="15" thickBot="1">
      <c r="A342" s="776" t="s">
        <v>989</v>
      </c>
      <c r="B342" s="770" t="s">
        <v>994</v>
      </c>
      <c r="C342" s="975">
        <v>0.15</v>
      </c>
      <c r="D342" s="975">
        <v>0.15</v>
      </c>
      <c r="E342" s="975">
        <v>0.15</v>
      </c>
      <c r="F342" s="976">
        <v>0.15</v>
      </c>
    </row>
    <row r="343" spans="1:6" ht="15" thickBot="1">
      <c r="A343" s="776" t="s">
        <v>989</v>
      </c>
      <c r="B343" s="770" t="s">
        <v>995</v>
      </c>
      <c r="C343" s="975">
        <v>0.15</v>
      </c>
      <c r="D343" s="975">
        <v>0.15</v>
      </c>
      <c r="E343" s="975">
        <v>0.15</v>
      </c>
      <c r="F343" s="976">
        <v>0.15</v>
      </c>
    </row>
    <row r="344" spans="1:6" ht="1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77" customWidth="1"/>
    <col min="2" max="2" width="13.21875" style="1383" customWidth="1"/>
    <col min="3" max="3" width="15.6640625" style="1383" customWidth="1"/>
    <col min="4" max="4" width="9.33203125" style="1383" bestFit="1" customWidth="1"/>
    <col min="5" max="5" width="13.44140625" style="1383" customWidth="1"/>
    <col min="6" max="6" width="9" style="1383"/>
    <col min="7" max="7" width="9.33203125" style="1383" bestFit="1" customWidth="1"/>
    <col min="8" max="8" width="12.21875" style="1383" customWidth="1"/>
    <col min="9" max="9" width="9" style="1383"/>
    <col min="10" max="10" width="9.33203125" style="1383" bestFit="1" customWidth="1"/>
    <col min="11" max="11" width="4" style="1377" customWidth="1"/>
    <col min="12" max="12" width="5.109375" style="1383" customWidth="1"/>
    <col min="13" max="13" width="13.77734375" style="1383" customWidth="1"/>
    <col min="14" max="256" width="9" style="1383"/>
    <col min="257" max="257" width="4.88671875" style="1374" customWidth="1"/>
    <col min="258" max="258" width="13.21875" style="1374" customWidth="1"/>
    <col min="259" max="259" width="15.6640625" style="1374" customWidth="1"/>
    <col min="260" max="260" width="9.33203125" style="1374" bestFit="1" customWidth="1"/>
    <col min="261" max="261" width="13.44140625" style="1374" customWidth="1"/>
    <col min="262" max="262" width="9" style="1374"/>
    <col min="263" max="263" width="9.33203125" style="1374" bestFit="1" customWidth="1"/>
    <col min="264" max="265" width="9" style="1374"/>
    <col min="266" max="266" width="9.33203125" style="1374" bestFit="1" customWidth="1"/>
    <col min="267" max="267" width="4" style="1374" customWidth="1"/>
    <col min="268" max="268" width="5.109375" style="1374" customWidth="1"/>
    <col min="269" max="269" width="13.77734375" style="1374" customWidth="1"/>
    <col min="270" max="512" width="9" style="1374"/>
    <col min="513" max="513" width="4.88671875" style="1374" customWidth="1"/>
    <col min="514" max="514" width="13.21875" style="1374" customWidth="1"/>
    <col min="515" max="515" width="15.6640625" style="1374" customWidth="1"/>
    <col min="516" max="516" width="9.33203125" style="1374" bestFit="1" customWidth="1"/>
    <col min="517" max="517" width="13.44140625" style="1374" customWidth="1"/>
    <col min="518" max="518" width="9" style="1374"/>
    <col min="519" max="519" width="9.33203125" style="1374" bestFit="1" customWidth="1"/>
    <col min="520" max="521" width="9" style="1374"/>
    <col min="522" max="522" width="9.33203125" style="1374" bestFit="1" customWidth="1"/>
    <col min="523" max="523" width="4" style="1374" customWidth="1"/>
    <col min="524" max="524" width="5.109375" style="1374" customWidth="1"/>
    <col min="525" max="525" width="13.77734375" style="1374" customWidth="1"/>
    <col min="526" max="768" width="9" style="1374"/>
    <col min="769" max="769" width="4.88671875" style="1374" customWidth="1"/>
    <col min="770" max="770" width="13.21875" style="1374" customWidth="1"/>
    <col min="771" max="771" width="15.6640625" style="1374" customWidth="1"/>
    <col min="772" max="772" width="9.33203125" style="1374" bestFit="1" customWidth="1"/>
    <col min="773" max="773" width="13.44140625" style="1374" customWidth="1"/>
    <col min="774" max="774" width="9" style="1374"/>
    <col min="775" max="775" width="9.33203125" style="1374" bestFit="1" customWidth="1"/>
    <col min="776" max="777" width="9" style="1374"/>
    <col min="778" max="778" width="9.33203125" style="1374" bestFit="1" customWidth="1"/>
    <col min="779" max="779" width="4" style="1374" customWidth="1"/>
    <col min="780" max="780" width="5.109375" style="1374" customWidth="1"/>
    <col min="781" max="781" width="13.77734375" style="1374" customWidth="1"/>
    <col min="782" max="1024" width="9" style="1374"/>
    <col min="1025" max="1025" width="4.88671875" style="1374" customWidth="1"/>
    <col min="1026" max="1026" width="13.21875" style="1374" customWidth="1"/>
    <col min="1027" max="1027" width="15.6640625" style="1374" customWidth="1"/>
    <col min="1028" max="1028" width="9.33203125" style="1374" bestFit="1" customWidth="1"/>
    <col min="1029" max="1029" width="13.44140625" style="1374" customWidth="1"/>
    <col min="1030" max="1030" width="9" style="1374"/>
    <col min="1031" max="1031" width="9.33203125" style="1374" bestFit="1" customWidth="1"/>
    <col min="1032" max="1033" width="9" style="1374"/>
    <col min="1034" max="1034" width="9.33203125" style="1374" bestFit="1" customWidth="1"/>
    <col min="1035" max="1035" width="4" style="1374" customWidth="1"/>
    <col min="1036" max="1036" width="5.109375" style="1374" customWidth="1"/>
    <col min="1037" max="1037" width="13.77734375" style="1374" customWidth="1"/>
    <col min="1038" max="1280" width="9" style="1374"/>
    <col min="1281" max="1281" width="4.88671875" style="1374" customWidth="1"/>
    <col min="1282" max="1282" width="13.21875" style="1374" customWidth="1"/>
    <col min="1283" max="1283" width="15.6640625" style="1374" customWidth="1"/>
    <col min="1284" max="1284" width="9.33203125" style="1374" bestFit="1" customWidth="1"/>
    <col min="1285" max="1285" width="13.44140625" style="1374" customWidth="1"/>
    <col min="1286" max="1286" width="9" style="1374"/>
    <col min="1287" max="1287" width="9.33203125" style="1374" bestFit="1" customWidth="1"/>
    <col min="1288" max="1289" width="9" style="1374"/>
    <col min="1290" max="1290" width="9.33203125" style="1374" bestFit="1" customWidth="1"/>
    <col min="1291" max="1291" width="4" style="1374" customWidth="1"/>
    <col min="1292" max="1292" width="5.109375" style="1374" customWidth="1"/>
    <col min="1293" max="1293" width="13.77734375" style="1374" customWidth="1"/>
    <col min="1294" max="1536" width="9" style="1374"/>
    <col min="1537" max="1537" width="4.88671875" style="1374" customWidth="1"/>
    <col min="1538" max="1538" width="13.21875" style="1374" customWidth="1"/>
    <col min="1539" max="1539" width="15.6640625" style="1374" customWidth="1"/>
    <col min="1540" max="1540" width="9.33203125" style="1374" bestFit="1" customWidth="1"/>
    <col min="1541" max="1541" width="13.44140625" style="1374" customWidth="1"/>
    <col min="1542" max="1542" width="9" style="1374"/>
    <col min="1543" max="1543" width="9.33203125" style="1374" bestFit="1" customWidth="1"/>
    <col min="1544" max="1545" width="9" style="1374"/>
    <col min="1546" max="1546" width="9.33203125" style="1374" bestFit="1" customWidth="1"/>
    <col min="1547" max="1547" width="4" style="1374" customWidth="1"/>
    <col min="1548" max="1548" width="5.109375" style="1374" customWidth="1"/>
    <col min="1549" max="1549" width="13.77734375" style="1374" customWidth="1"/>
    <col min="1550" max="1792" width="9" style="1374"/>
    <col min="1793" max="1793" width="4.88671875" style="1374" customWidth="1"/>
    <col min="1794" max="1794" width="13.21875" style="1374" customWidth="1"/>
    <col min="1795" max="1795" width="15.6640625" style="1374" customWidth="1"/>
    <col min="1796" max="1796" width="9.33203125" style="1374" bestFit="1" customWidth="1"/>
    <col min="1797" max="1797" width="13.44140625" style="1374" customWidth="1"/>
    <col min="1798" max="1798" width="9" style="1374"/>
    <col min="1799" max="1799" width="9.33203125" style="1374" bestFit="1" customWidth="1"/>
    <col min="1800" max="1801" width="9" style="1374"/>
    <col min="1802" max="1802" width="9.33203125" style="1374" bestFit="1" customWidth="1"/>
    <col min="1803" max="1803" width="4" style="1374" customWidth="1"/>
    <col min="1804" max="1804" width="5.109375" style="1374" customWidth="1"/>
    <col min="1805" max="1805" width="13.77734375" style="1374" customWidth="1"/>
    <col min="1806" max="2048" width="9" style="1374"/>
    <col min="2049" max="2049" width="4.88671875" style="1374" customWidth="1"/>
    <col min="2050" max="2050" width="13.21875" style="1374" customWidth="1"/>
    <col min="2051" max="2051" width="15.6640625" style="1374" customWidth="1"/>
    <col min="2052" max="2052" width="9.33203125" style="1374" bestFit="1" customWidth="1"/>
    <col min="2053" max="2053" width="13.44140625" style="1374" customWidth="1"/>
    <col min="2054" max="2054" width="9" style="1374"/>
    <col min="2055" max="2055" width="9.33203125" style="1374" bestFit="1" customWidth="1"/>
    <col min="2056" max="2057" width="9" style="1374"/>
    <col min="2058" max="2058" width="9.33203125" style="1374" bestFit="1" customWidth="1"/>
    <col min="2059" max="2059" width="4" style="1374" customWidth="1"/>
    <col min="2060" max="2060" width="5.109375" style="1374" customWidth="1"/>
    <col min="2061" max="2061" width="13.77734375" style="1374" customWidth="1"/>
    <col min="2062" max="2304" width="9" style="1374"/>
    <col min="2305" max="2305" width="4.88671875" style="1374" customWidth="1"/>
    <col min="2306" max="2306" width="13.21875" style="1374" customWidth="1"/>
    <col min="2307" max="2307" width="15.6640625" style="1374" customWidth="1"/>
    <col min="2308" max="2308" width="9.33203125" style="1374" bestFit="1" customWidth="1"/>
    <col min="2309" max="2309" width="13.44140625" style="1374" customWidth="1"/>
    <col min="2310" max="2310" width="9" style="1374"/>
    <col min="2311" max="2311" width="9.33203125" style="1374" bestFit="1" customWidth="1"/>
    <col min="2312" max="2313" width="9" style="1374"/>
    <col min="2314" max="2314" width="9.33203125" style="1374" bestFit="1" customWidth="1"/>
    <col min="2315" max="2315" width="4" style="1374" customWidth="1"/>
    <col min="2316" max="2316" width="5.109375" style="1374" customWidth="1"/>
    <col min="2317" max="2317" width="13.77734375" style="1374" customWidth="1"/>
    <col min="2318" max="2560" width="9" style="1374"/>
    <col min="2561" max="2561" width="4.88671875" style="1374" customWidth="1"/>
    <col min="2562" max="2562" width="13.21875" style="1374" customWidth="1"/>
    <col min="2563" max="2563" width="15.6640625" style="1374" customWidth="1"/>
    <col min="2564" max="2564" width="9.33203125" style="1374" bestFit="1" customWidth="1"/>
    <col min="2565" max="2565" width="13.44140625" style="1374" customWidth="1"/>
    <col min="2566" max="2566" width="9" style="1374"/>
    <col min="2567" max="2567" width="9.33203125" style="1374" bestFit="1" customWidth="1"/>
    <col min="2568" max="2569" width="9" style="1374"/>
    <col min="2570" max="2570" width="9.33203125" style="1374" bestFit="1" customWidth="1"/>
    <col min="2571" max="2571" width="4" style="1374" customWidth="1"/>
    <col min="2572" max="2572" width="5.109375" style="1374" customWidth="1"/>
    <col min="2573" max="2573" width="13.77734375" style="1374" customWidth="1"/>
    <col min="2574" max="2816" width="9" style="1374"/>
    <col min="2817" max="2817" width="4.88671875" style="1374" customWidth="1"/>
    <col min="2818" max="2818" width="13.21875" style="1374" customWidth="1"/>
    <col min="2819" max="2819" width="15.6640625" style="1374" customWidth="1"/>
    <col min="2820" max="2820" width="9.33203125" style="1374" bestFit="1" customWidth="1"/>
    <col min="2821" max="2821" width="13.44140625" style="1374" customWidth="1"/>
    <col min="2822" max="2822" width="9" style="1374"/>
    <col min="2823" max="2823" width="9.33203125" style="1374" bestFit="1" customWidth="1"/>
    <col min="2824" max="2825" width="9" style="1374"/>
    <col min="2826" max="2826" width="9.33203125" style="1374" bestFit="1" customWidth="1"/>
    <col min="2827" max="2827" width="4" style="1374" customWidth="1"/>
    <col min="2828" max="2828" width="5.109375" style="1374" customWidth="1"/>
    <col min="2829" max="2829" width="13.77734375" style="1374" customWidth="1"/>
    <col min="2830" max="3072" width="9" style="1374"/>
    <col min="3073" max="3073" width="4.88671875" style="1374" customWidth="1"/>
    <col min="3074" max="3074" width="13.21875" style="1374" customWidth="1"/>
    <col min="3075" max="3075" width="15.6640625" style="1374" customWidth="1"/>
    <col min="3076" max="3076" width="9.33203125" style="1374" bestFit="1" customWidth="1"/>
    <col min="3077" max="3077" width="13.44140625" style="1374" customWidth="1"/>
    <col min="3078" max="3078" width="9" style="1374"/>
    <col min="3079" max="3079" width="9.33203125" style="1374" bestFit="1" customWidth="1"/>
    <col min="3080" max="3081" width="9" style="1374"/>
    <col min="3082" max="3082" width="9.33203125" style="1374" bestFit="1" customWidth="1"/>
    <col min="3083" max="3083" width="4" style="1374" customWidth="1"/>
    <col min="3084" max="3084" width="5.109375" style="1374" customWidth="1"/>
    <col min="3085" max="3085" width="13.77734375" style="1374" customWidth="1"/>
    <col min="3086" max="3328" width="9" style="1374"/>
    <col min="3329" max="3329" width="4.88671875" style="1374" customWidth="1"/>
    <col min="3330" max="3330" width="13.21875" style="1374" customWidth="1"/>
    <col min="3331" max="3331" width="15.6640625" style="1374" customWidth="1"/>
    <col min="3332" max="3332" width="9.33203125" style="1374" bestFit="1" customWidth="1"/>
    <col min="3333" max="3333" width="13.44140625" style="1374" customWidth="1"/>
    <col min="3334" max="3334" width="9" style="1374"/>
    <col min="3335" max="3335" width="9.33203125" style="1374" bestFit="1" customWidth="1"/>
    <col min="3336" max="3337" width="9" style="1374"/>
    <col min="3338" max="3338" width="9.33203125" style="1374" bestFit="1" customWidth="1"/>
    <col min="3339" max="3339" width="4" style="1374" customWidth="1"/>
    <col min="3340" max="3340" width="5.109375" style="1374" customWidth="1"/>
    <col min="3341" max="3341" width="13.77734375" style="1374" customWidth="1"/>
    <col min="3342" max="3584" width="9" style="1374"/>
    <col min="3585" max="3585" width="4.88671875" style="1374" customWidth="1"/>
    <col min="3586" max="3586" width="13.21875" style="1374" customWidth="1"/>
    <col min="3587" max="3587" width="15.6640625" style="1374" customWidth="1"/>
    <col min="3588" max="3588" width="9.33203125" style="1374" bestFit="1" customWidth="1"/>
    <col min="3589" max="3589" width="13.44140625" style="1374" customWidth="1"/>
    <col min="3590" max="3590" width="9" style="1374"/>
    <col min="3591" max="3591" width="9.33203125" style="1374" bestFit="1" customWidth="1"/>
    <col min="3592" max="3593" width="9" style="1374"/>
    <col min="3594" max="3594" width="9.33203125" style="1374" bestFit="1" customWidth="1"/>
    <col min="3595" max="3595" width="4" style="1374" customWidth="1"/>
    <col min="3596" max="3596" width="5.109375" style="1374" customWidth="1"/>
    <col min="3597" max="3597" width="13.77734375" style="1374" customWidth="1"/>
    <col min="3598" max="3840" width="9" style="1374"/>
    <col min="3841" max="3841" width="4.88671875" style="1374" customWidth="1"/>
    <col min="3842" max="3842" width="13.21875" style="1374" customWidth="1"/>
    <col min="3843" max="3843" width="15.6640625" style="1374" customWidth="1"/>
    <col min="3844" max="3844" width="9.33203125" style="1374" bestFit="1" customWidth="1"/>
    <col min="3845" max="3845" width="13.44140625" style="1374" customWidth="1"/>
    <col min="3846" max="3846" width="9" style="1374"/>
    <col min="3847" max="3847" width="9.33203125" style="1374" bestFit="1" customWidth="1"/>
    <col min="3848" max="3849" width="9" style="1374"/>
    <col min="3850" max="3850" width="9.33203125" style="1374" bestFit="1" customWidth="1"/>
    <col min="3851" max="3851" width="4" style="1374" customWidth="1"/>
    <col min="3852" max="3852" width="5.109375" style="1374" customWidth="1"/>
    <col min="3853" max="3853" width="13.77734375" style="1374" customWidth="1"/>
    <col min="3854" max="4096" width="9" style="1374"/>
    <col min="4097" max="4097" width="4.88671875" style="1374" customWidth="1"/>
    <col min="4098" max="4098" width="13.21875" style="1374" customWidth="1"/>
    <col min="4099" max="4099" width="15.6640625" style="1374" customWidth="1"/>
    <col min="4100" max="4100" width="9.33203125" style="1374" bestFit="1" customWidth="1"/>
    <col min="4101" max="4101" width="13.44140625" style="1374" customWidth="1"/>
    <col min="4102" max="4102" width="9" style="1374"/>
    <col min="4103" max="4103" width="9.33203125" style="1374" bestFit="1" customWidth="1"/>
    <col min="4104" max="4105" width="9" style="1374"/>
    <col min="4106" max="4106" width="9.33203125" style="1374" bestFit="1" customWidth="1"/>
    <col min="4107" max="4107" width="4" style="1374" customWidth="1"/>
    <col min="4108" max="4108" width="5.109375" style="1374" customWidth="1"/>
    <col min="4109" max="4109" width="13.77734375" style="1374" customWidth="1"/>
    <col min="4110" max="4352" width="9" style="1374"/>
    <col min="4353" max="4353" width="4.88671875" style="1374" customWidth="1"/>
    <col min="4354" max="4354" width="13.21875" style="1374" customWidth="1"/>
    <col min="4355" max="4355" width="15.6640625" style="1374" customWidth="1"/>
    <col min="4356" max="4356" width="9.33203125" style="1374" bestFit="1" customWidth="1"/>
    <col min="4357" max="4357" width="13.44140625" style="1374" customWidth="1"/>
    <col min="4358" max="4358" width="9" style="1374"/>
    <col min="4359" max="4359" width="9.33203125" style="1374" bestFit="1" customWidth="1"/>
    <col min="4360" max="4361" width="9" style="1374"/>
    <col min="4362" max="4362" width="9.33203125" style="1374" bestFit="1" customWidth="1"/>
    <col min="4363" max="4363" width="4" style="1374" customWidth="1"/>
    <col min="4364" max="4364" width="5.109375" style="1374" customWidth="1"/>
    <col min="4365" max="4365" width="13.77734375" style="1374" customWidth="1"/>
    <col min="4366" max="4608" width="9" style="1374"/>
    <col min="4609" max="4609" width="4.88671875" style="1374" customWidth="1"/>
    <col min="4610" max="4610" width="13.21875" style="1374" customWidth="1"/>
    <col min="4611" max="4611" width="15.6640625" style="1374" customWidth="1"/>
    <col min="4612" max="4612" width="9.33203125" style="1374" bestFit="1" customWidth="1"/>
    <col min="4613" max="4613" width="13.44140625" style="1374" customWidth="1"/>
    <col min="4614" max="4614" width="9" style="1374"/>
    <col min="4615" max="4615" width="9.33203125" style="1374" bestFit="1" customWidth="1"/>
    <col min="4616" max="4617" width="9" style="1374"/>
    <col min="4618" max="4618" width="9.33203125" style="1374" bestFit="1" customWidth="1"/>
    <col min="4619" max="4619" width="4" style="1374" customWidth="1"/>
    <col min="4620" max="4620" width="5.109375" style="1374" customWidth="1"/>
    <col min="4621" max="4621" width="13.77734375" style="1374" customWidth="1"/>
    <col min="4622" max="4864" width="9" style="1374"/>
    <col min="4865" max="4865" width="4.88671875" style="1374" customWidth="1"/>
    <col min="4866" max="4866" width="13.21875" style="1374" customWidth="1"/>
    <col min="4867" max="4867" width="15.6640625" style="1374" customWidth="1"/>
    <col min="4868" max="4868" width="9.33203125" style="1374" bestFit="1" customWidth="1"/>
    <col min="4869" max="4869" width="13.44140625" style="1374" customWidth="1"/>
    <col min="4870" max="4870" width="9" style="1374"/>
    <col min="4871" max="4871" width="9.33203125" style="1374" bestFit="1" customWidth="1"/>
    <col min="4872" max="4873" width="9" style="1374"/>
    <col min="4874" max="4874" width="9.33203125" style="1374" bestFit="1" customWidth="1"/>
    <col min="4875" max="4875" width="4" style="1374" customWidth="1"/>
    <col min="4876" max="4876" width="5.109375" style="1374" customWidth="1"/>
    <col min="4877" max="4877" width="13.77734375" style="1374" customWidth="1"/>
    <col min="4878" max="5120" width="9" style="1374"/>
    <col min="5121" max="5121" width="4.88671875" style="1374" customWidth="1"/>
    <col min="5122" max="5122" width="13.21875" style="1374" customWidth="1"/>
    <col min="5123" max="5123" width="15.6640625" style="1374" customWidth="1"/>
    <col min="5124" max="5124" width="9.33203125" style="1374" bestFit="1" customWidth="1"/>
    <col min="5125" max="5125" width="13.44140625" style="1374" customWidth="1"/>
    <col min="5126" max="5126" width="9" style="1374"/>
    <col min="5127" max="5127" width="9.33203125" style="1374" bestFit="1" customWidth="1"/>
    <col min="5128" max="5129" width="9" style="1374"/>
    <col min="5130" max="5130" width="9.33203125" style="1374" bestFit="1" customWidth="1"/>
    <col min="5131" max="5131" width="4" style="1374" customWidth="1"/>
    <col min="5132" max="5132" width="5.109375" style="1374" customWidth="1"/>
    <col min="5133" max="5133" width="13.77734375" style="1374" customWidth="1"/>
    <col min="5134" max="5376" width="9" style="1374"/>
    <col min="5377" max="5377" width="4.88671875" style="1374" customWidth="1"/>
    <col min="5378" max="5378" width="13.21875" style="1374" customWidth="1"/>
    <col min="5379" max="5379" width="15.6640625" style="1374" customWidth="1"/>
    <col min="5380" max="5380" width="9.33203125" style="1374" bestFit="1" customWidth="1"/>
    <col min="5381" max="5381" width="13.44140625" style="1374" customWidth="1"/>
    <col min="5382" max="5382" width="9" style="1374"/>
    <col min="5383" max="5383" width="9.33203125" style="1374" bestFit="1" customWidth="1"/>
    <col min="5384" max="5385" width="9" style="1374"/>
    <col min="5386" max="5386" width="9.33203125" style="1374" bestFit="1" customWidth="1"/>
    <col min="5387" max="5387" width="4" style="1374" customWidth="1"/>
    <col min="5388" max="5388" width="5.109375" style="1374" customWidth="1"/>
    <col min="5389" max="5389" width="13.77734375" style="1374" customWidth="1"/>
    <col min="5390" max="5632" width="9" style="1374"/>
    <col min="5633" max="5633" width="4.88671875" style="1374" customWidth="1"/>
    <col min="5634" max="5634" width="13.21875" style="1374" customWidth="1"/>
    <col min="5635" max="5635" width="15.6640625" style="1374" customWidth="1"/>
    <col min="5636" max="5636" width="9.33203125" style="1374" bestFit="1" customWidth="1"/>
    <col min="5637" max="5637" width="13.44140625" style="1374" customWidth="1"/>
    <col min="5638" max="5638" width="9" style="1374"/>
    <col min="5639" max="5639" width="9.33203125" style="1374" bestFit="1" customWidth="1"/>
    <col min="5640" max="5641" width="9" style="1374"/>
    <col min="5642" max="5642" width="9.33203125" style="1374" bestFit="1" customWidth="1"/>
    <col min="5643" max="5643" width="4" style="1374" customWidth="1"/>
    <col min="5644" max="5644" width="5.109375" style="1374" customWidth="1"/>
    <col min="5645" max="5645" width="13.77734375" style="1374" customWidth="1"/>
    <col min="5646" max="5888" width="9" style="1374"/>
    <col min="5889" max="5889" width="4.88671875" style="1374" customWidth="1"/>
    <col min="5890" max="5890" width="13.21875" style="1374" customWidth="1"/>
    <col min="5891" max="5891" width="15.6640625" style="1374" customWidth="1"/>
    <col min="5892" max="5892" width="9.33203125" style="1374" bestFit="1" customWidth="1"/>
    <col min="5893" max="5893" width="13.44140625" style="1374" customWidth="1"/>
    <col min="5894" max="5894" width="9" style="1374"/>
    <col min="5895" max="5895" width="9.33203125" style="1374" bestFit="1" customWidth="1"/>
    <col min="5896" max="5897" width="9" style="1374"/>
    <col min="5898" max="5898" width="9.33203125" style="1374" bestFit="1" customWidth="1"/>
    <col min="5899" max="5899" width="4" style="1374" customWidth="1"/>
    <col min="5900" max="5900" width="5.109375" style="1374" customWidth="1"/>
    <col min="5901" max="5901" width="13.77734375" style="1374" customWidth="1"/>
    <col min="5902" max="6144" width="9" style="1374"/>
    <col min="6145" max="6145" width="4.88671875" style="1374" customWidth="1"/>
    <col min="6146" max="6146" width="13.21875" style="1374" customWidth="1"/>
    <col min="6147" max="6147" width="15.6640625" style="1374" customWidth="1"/>
    <col min="6148" max="6148" width="9.33203125" style="1374" bestFit="1" customWidth="1"/>
    <col min="6149" max="6149" width="13.44140625" style="1374" customWidth="1"/>
    <col min="6150" max="6150" width="9" style="1374"/>
    <col min="6151" max="6151" width="9.33203125" style="1374" bestFit="1" customWidth="1"/>
    <col min="6152" max="6153" width="9" style="1374"/>
    <col min="6154" max="6154" width="9.33203125" style="1374" bestFit="1" customWidth="1"/>
    <col min="6155" max="6155" width="4" style="1374" customWidth="1"/>
    <col min="6156" max="6156" width="5.109375" style="1374" customWidth="1"/>
    <col min="6157" max="6157" width="13.77734375" style="1374" customWidth="1"/>
    <col min="6158" max="6400" width="9" style="1374"/>
    <col min="6401" max="6401" width="4.88671875" style="1374" customWidth="1"/>
    <col min="6402" max="6402" width="13.21875" style="1374" customWidth="1"/>
    <col min="6403" max="6403" width="15.6640625" style="1374" customWidth="1"/>
    <col min="6404" max="6404" width="9.33203125" style="1374" bestFit="1" customWidth="1"/>
    <col min="6405" max="6405" width="13.44140625" style="1374" customWidth="1"/>
    <col min="6406" max="6406" width="9" style="1374"/>
    <col min="6407" max="6407" width="9.33203125" style="1374" bestFit="1" customWidth="1"/>
    <col min="6408" max="6409" width="9" style="1374"/>
    <col min="6410" max="6410" width="9.33203125" style="1374" bestFit="1" customWidth="1"/>
    <col min="6411" max="6411" width="4" style="1374" customWidth="1"/>
    <col min="6412" max="6412" width="5.109375" style="1374" customWidth="1"/>
    <col min="6413" max="6413" width="13.77734375" style="1374" customWidth="1"/>
    <col min="6414" max="6656" width="9" style="1374"/>
    <col min="6657" max="6657" width="4.88671875" style="1374" customWidth="1"/>
    <col min="6658" max="6658" width="13.21875" style="1374" customWidth="1"/>
    <col min="6659" max="6659" width="15.6640625" style="1374" customWidth="1"/>
    <col min="6660" max="6660" width="9.33203125" style="1374" bestFit="1" customWidth="1"/>
    <col min="6661" max="6661" width="13.44140625" style="1374" customWidth="1"/>
    <col min="6662" max="6662" width="9" style="1374"/>
    <col min="6663" max="6663" width="9.33203125" style="1374" bestFit="1" customWidth="1"/>
    <col min="6664" max="6665" width="9" style="1374"/>
    <col min="6666" max="6666" width="9.33203125" style="1374" bestFit="1" customWidth="1"/>
    <col min="6667" max="6667" width="4" style="1374" customWidth="1"/>
    <col min="6668" max="6668" width="5.109375" style="1374" customWidth="1"/>
    <col min="6669" max="6669" width="13.77734375" style="1374" customWidth="1"/>
    <col min="6670" max="6912" width="9" style="1374"/>
    <col min="6913" max="6913" width="4.88671875" style="1374" customWidth="1"/>
    <col min="6914" max="6914" width="13.21875" style="1374" customWidth="1"/>
    <col min="6915" max="6915" width="15.6640625" style="1374" customWidth="1"/>
    <col min="6916" max="6916" width="9.33203125" style="1374" bestFit="1" customWidth="1"/>
    <col min="6917" max="6917" width="13.44140625" style="1374" customWidth="1"/>
    <col min="6918" max="6918" width="9" style="1374"/>
    <col min="6919" max="6919" width="9.33203125" style="1374" bestFit="1" customWidth="1"/>
    <col min="6920" max="6921" width="9" style="1374"/>
    <col min="6922" max="6922" width="9.33203125" style="1374" bestFit="1" customWidth="1"/>
    <col min="6923" max="6923" width="4" style="1374" customWidth="1"/>
    <col min="6924" max="6924" width="5.109375" style="1374" customWidth="1"/>
    <col min="6925" max="6925" width="13.77734375" style="1374" customWidth="1"/>
    <col min="6926" max="7168" width="9" style="1374"/>
    <col min="7169" max="7169" width="4.88671875" style="1374" customWidth="1"/>
    <col min="7170" max="7170" width="13.21875" style="1374" customWidth="1"/>
    <col min="7171" max="7171" width="15.6640625" style="1374" customWidth="1"/>
    <col min="7172" max="7172" width="9.33203125" style="1374" bestFit="1" customWidth="1"/>
    <col min="7173" max="7173" width="13.44140625" style="1374" customWidth="1"/>
    <col min="7174" max="7174" width="9" style="1374"/>
    <col min="7175" max="7175" width="9.33203125" style="1374" bestFit="1" customWidth="1"/>
    <col min="7176" max="7177" width="9" style="1374"/>
    <col min="7178" max="7178" width="9.33203125" style="1374" bestFit="1" customWidth="1"/>
    <col min="7179" max="7179" width="4" style="1374" customWidth="1"/>
    <col min="7180" max="7180" width="5.109375" style="1374" customWidth="1"/>
    <col min="7181" max="7181" width="13.77734375" style="1374" customWidth="1"/>
    <col min="7182" max="7424" width="9" style="1374"/>
    <col min="7425" max="7425" width="4.88671875" style="1374" customWidth="1"/>
    <col min="7426" max="7426" width="13.21875" style="1374" customWidth="1"/>
    <col min="7427" max="7427" width="15.6640625" style="1374" customWidth="1"/>
    <col min="7428" max="7428" width="9.33203125" style="1374" bestFit="1" customWidth="1"/>
    <col min="7429" max="7429" width="13.44140625" style="1374" customWidth="1"/>
    <col min="7430" max="7430" width="9" style="1374"/>
    <col min="7431" max="7431" width="9.33203125" style="1374" bestFit="1" customWidth="1"/>
    <col min="7432" max="7433" width="9" style="1374"/>
    <col min="7434" max="7434" width="9.33203125" style="1374" bestFit="1" customWidth="1"/>
    <col min="7435" max="7435" width="4" style="1374" customWidth="1"/>
    <col min="7436" max="7436" width="5.109375" style="1374" customWidth="1"/>
    <col min="7437" max="7437" width="13.77734375" style="1374" customWidth="1"/>
    <col min="7438" max="7680" width="9" style="1374"/>
    <col min="7681" max="7681" width="4.88671875" style="1374" customWidth="1"/>
    <col min="7682" max="7682" width="13.21875" style="1374" customWidth="1"/>
    <col min="7683" max="7683" width="15.6640625" style="1374" customWidth="1"/>
    <col min="7684" max="7684" width="9.33203125" style="1374" bestFit="1" customWidth="1"/>
    <col min="7685" max="7685" width="13.44140625" style="1374" customWidth="1"/>
    <col min="7686" max="7686" width="9" style="1374"/>
    <col min="7687" max="7687" width="9.33203125" style="1374" bestFit="1" customWidth="1"/>
    <col min="7688" max="7689" width="9" style="1374"/>
    <col min="7690" max="7690" width="9.33203125" style="1374" bestFit="1" customWidth="1"/>
    <col min="7691" max="7691" width="4" style="1374" customWidth="1"/>
    <col min="7692" max="7692" width="5.109375" style="1374" customWidth="1"/>
    <col min="7693" max="7693" width="13.77734375" style="1374" customWidth="1"/>
    <col min="7694" max="7936" width="9" style="1374"/>
    <col min="7937" max="7937" width="4.88671875" style="1374" customWidth="1"/>
    <col min="7938" max="7938" width="13.21875" style="1374" customWidth="1"/>
    <col min="7939" max="7939" width="15.6640625" style="1374" customWidth="1"/>
    <col min="7940" max="7940" width="9.33203125" style="1374" bestFit="1" customWidth="1"/>
    <col min="7941" max="7941" width="13.44140625" style="1374" customWidth="1"/>
    <col min="7942" max="7942" width="9" style="1374"/>
    <col min="7943" max="7943" width="9.33203125" style="1374" bestFit="1" customWidth="1"/>
    <col min="7944" max="7945" width="9" style="1374"/>
    <col min="7946" max="7946" width="9.33203125" style="1374" bestFit="1" customWidth="1"/>
    <col min="7947" max="7947" width="4" style="1374" customWidth="1"/>
    <col min="7948" max="7948" width="5.109375" style="1374" customWidth="1"/>
    <col min="7949" max="7949" width="13.77734375" style="1374" customWidth="1"/>
    <col min="7950" max="8192" width="9" style="1374"/>
    <col min="8193" max="8193" width="4.88671875" style="1374" customWidth="1"/>
    <col min="8194" max="8194" width="13.21875" style="1374" customWidth="1"/>
    <col min="8195" max="8195" width="15.6640625" style="1374" customWidth="1"/>
    <col min="8196" max="8196" width="9.33203125" style="1374" bestFit="1" customWidth="1"/>
    <col min="8197" max="8197" width="13.44140625" style="1374" customWidth="1"/>
    <col min="8198" max="8198" width="9" style="1374"/>
    <col min="8199" max="8199" width="9.33203125" style="1374" bestFit="1" customWidth="1"/>
    <col min="8200" max="8201" width="9" style="1374"/>
    <col min="8202" max="8202" width="9.33203125" style="1374" bestFit="1" customWidth="1"/>
    <col min="8203" max="8203" width="4" style="1374" customWidth="1"/>
    <col min="8204" max="8204" width="5.109375" style="1374" customWidth="1"/>
    <col min="8205" max="8205" width="13.77734375" style="1374" customWidth="1"/>
    <col min="8206" max="8448" width="9" style="1374"/>
    <col min="8449" max="8449" width="4.88671875" style="1374" customWidth="1"/>
    <col min="8450" max="8450" width="13.21875" style="1374" customWidth="1"/>
    <col min="8451" max="8451" width="15.6640625" style="1374" customWidth="1"/>
    <col min="8452" max="8452" width="9.33203125" style="1374" bestFit="1" customWidth="1"/>
    <col min="8453" max="8453" width="13.44140625" style="1374" customWidth="1"/>
    <col min="8454" max="8454" width="9" style="1374"/>
    <col min="8455" max="8455" width="9.33203125" style="1374" bestFit="1" customWidth="1"/>
    <col min="8456" max="8457" width="9" style="1374"/>
    <col min="8458" max="8458" width="9.33203125" style="1374" bestFit="1" customWidth="1"/>
    <col min="8459" max="8459" width="4" style="1374" customWidth="1"/>
    <col min="8460" max="8460" width="5.109375" style="1374" customWidth="1"/>
    <col min="8461" max="8461" width="13.77734375" style="1374" customWidth="1"/>
    <col min="8462" max="8704" width="9" style="1374"/>
    <col min="8705" max="8705" width="4.88671875" style="1374" customWidth="1"/>
    <col min="8706" max="8706" width="13.21875" style="1374" customWidth="1"/>
    <col min="8707" max="8707" width="15.6640625" style="1374" customWidth="1"/>
    <col min="8708" max="8708" width="9.33203125" style="1374" bestFit="1" customWidth="1"/>
    <col min="8709" max="8709" width="13.44140625" style="1374" customWidth="1"/>
    <col min="8710" max="8710" width="9" style="1374"/>
    <col min="8711" max="8711" width="9.33203125" style="1374" bestFit="1" customWidth="1"/>
    <col min="8712" max="8713" width="9" style="1374"/>
    <col min="8714" max="8714" width="9.33203125" style="1374" bestFit="1" customWidth="1"/>
    <col min="8715" max="8715" width="4" style="1374" customWidth="1"/>
    <col min="8716" max="8716" width="5.109375" style="1374" customWidth="1"/>
    <col min="8717" max="8717" width="13.77734375" style="1374" customWidth="1"/>
    <col min="8718" max="8960" width="9" style="1374"/>
    <col min="8961" max="8961" width="4.88671875" style="1374" customWidth="1"/>
    <col min="8962" max="8962" width="13.21875" style="1374" customWidth="1"/>
    <col min="8963" max="8963" width="15.6640625" style="1374" customWidth="1"/>
    <col min="8964" max="8964" width="9.33203125" style="1374" bestFit="1" customWidth="1"/>
    <col min="8965" max="8965" width="13.44140625" style="1374" customWidth="1"/>
    <col min="8966" max="8966" width="9" style="1374"/>
    <col min="8967" max="8967" width="9.33203125" style="1374" bestFit="1" customWidth="1"/>
    <col min="8968" max="8969" width="9" style="1374"/>
    <col min="8970" max="8970" width="9.33203125" style="1374" bestFit="1" customWidth="1"/>
    <col min="8971" max="8971" width="4" style="1374" customWidth="1"/>
    <col min="8972" max="8972" width="5.109375" style="1374" customWidth="1"/>
    <col min="8973" max="8973" width="13.77734375" style="1374" customWidth="1"/>
    <col min="8974" max="9216" width="9" style="1374"/>
    <col min="9217" max="9217" width="4.88671875" style="1374" customWidth="1"/>
    <col min="9218" max="9218" width="13.21875" style="1374" customWidth="1"/>
    <col min="9219" max="9219" width="15.6640625" style="1374" customWidth="1"/>
    <col min="9220" max="9220" width="9.33203125" style="1374" bestFit="1" customWidth="1"/>
    <col min="9221" max="9221" width="13.44140625" style="1374" customWidth="1"/>
    <col min="9222" max="9222" width="9" style="1374"/>
    <col min="9223" max="9223" width="9.33203125" style="1374" bestFit="1" customWidth="1"/>
    <col min="9224" max="9225" width="9" style="1374"/>
    <col min="9226" max="9226" width="9.33203125" style="1374" bestFit="1" customWidth="1"/>
    <col min="9227" max="9227" width="4" style="1374" customWidth="1"/>
    <col min="9228" max="9228" width="5.109375" style="1374" customWidth="1"/>
    <col min="9229" max="9229" width="13.77734375" style="1374" customWidth="1"/>
    <col min="9230" max="9472" width="9" style="1374"/>
    <col min="9473" max="9473" width="4.88671875" style="1374" customWidth="1"/>
    <col min="9474" max="9474" width="13.21875" style="1374" customWidth="1"/>
    <col min="9475" max="9475" width="15.6640625" style="1374" customWidth="1"/>
    <col min="9476" max="9476" width="9.33203125" style="1374" bestFit="1" customWidth="1"/>
    <col min="9477" max="9477" width="13.44140625" style="1374" customWidth="1"/>
    <col min="9478" max="9478" width="9" style="1374"/>
    <col min="9479" max="9479" width="9.33203125" style="1374" bestFit="1" customWidth="1"/>
    <col min="9480" max="9481" width="9" style="1374"/>
    <col min="9482" max="9482" width="9.33203125" style="1374" bestFit="1" customWidth="1"/>
    <col min="9483" max="9483" width="4" style="1374" customWidth="1"/>
    <col min="9484" max="9484" width="5.109375" style="1374" customWidth="1"/>
    <col min="9485" max="9485" width="13.77734375" style="1374" customWidth="1"/>
    <col min="9486" max="9728" width="9" style="1374"/>
    <col min="9729" max="9729" width="4.88671875" style="1374" customWidth="1"/>
    <col min="9730" max="9730" width="13.21875" style="1374" customWidth="1"/>
    <col min="9731" max="9731" width="15.6640625" style="1374" customWidth="1"/>
    <col min="9732" max="9732" width="9.33203125" style="1374" bestFit="1" customWidth="1"/>
    <col min="9733" max="9733" width="13.44140625" style="1374" customWidth="1"/>
    <col min="9734" max="9734" width="9" style="1374"/>
    <col min="9735" max="9735" width="9.33203125" style="1374" bestFit="1" customWidth="1"/>
    <col min="9736" max="9737" width="9" style="1374"/>
    <col min="9738" max="9738" width="9.33203125" style="1374" bestFit="1" customWidth="1"/>
    <col min="9739" max="9739" width="4" style="1374" customWidth="1"/>
    <col min="9740" max="9740" width="5.109375" style="1374" customWidth="1"/>
    <col min="9741" max="9741" width="13.77734375" style="1374" customWidth="1"/>
    <col min="9742" max="9984" width="9" style="1374"/>
    <col min="9985" max="9985" width="4.88671875" style="1374" customWidth="1"/>
    <col min="9986" max="9986" width="13.21875" style="1374" customWidth="1"/>
    <col min="9987" max="9987" width="15.6640625" style="1374" customWidth="1"/>
    <col min="9988" max="9988" width="9.33203125" style="1374" bestFit="1" customWidth="1"/>
    <col min="9989" max="9989" width="13.44140625" style="1374" customWidth="1"/>
    <col min="9990" max="9990" width="9" style="1374"/>
    <col min="9991" max="9991" width="9.33203125" style="1374" bestFit="1" customWidth="1"/>
    <col min="9992" max="9993" width="9" style="1374"/>
    <col min="9994" max="9994" width="9.33203125" style="1374" bestFit="1" customWidth="1"/>
    <col min="9995" max="9995" width="4" style="1374" customWidth="1"/>
    <col min="9996" max="9996" width="5.109375" style="1374" customWidth="1"/>
    <col min="9997" max="9997" width="13.77734375" style="1374" customWidth="1"/>
    <col min="9998" max="10240" width="9" style="1374"/>
    <col min="10241" max="10241" width="4.88671875" style="1374" customWidth="1"/>
    <col min="10242" max="10242" width="13.21875" style="1374" customWidth="1"/>
    <col min="10243" max="10243" width="15.6640625" style="1374" customWidth="1"/>
    <col min="10244" max="10244" width="9.33203125" style="1374" bestFit="1" customWidth="1"/>
    <col min="10245" max="10245" width="13.44140625" style="1374" customWidth="1"/>
    <col min="10246" max="10246" width="9" style="1374"/>
    <col min="10247" max="10247" width="9.33203125" style="1374" bestFit="1" customWidth="1"/>
    <col min="10248" max="10249" width="9" style="1374"/>
    <col min="10250" max="10250" width="9.33203125" style="1374" bestFit="1" customWidth="1"/>
    <col min="10251" max="10251" width="4" style="1374" customWidth="1"/>
    <col min="10252" max="10252" width="5.109375" style="1374" customWidth="1"/>
    <col min="10253" max="10253" width="13.77734375" style="1374" customWidth="1"/>
    <col min="10254" max="10496" width="9" style="1374"/>
    <col min="10497" max="10497" width="4.88671875" style="1374" customWidth="1"/>
    <col min="10498" max="10498" width="13.21875" style="1374" customWidth="1"/>
    <col min="10499" max="10499" width="15.6640625" style="1374" customWidth="1"/>
    <col min="10500" max="10500" width="9.33203125" style="1374" bestFit="1" customWidth="1"/>
    <col min="10501" max="10501" width="13.44140625" style="1374" customWidth="1"/>
    <col min="10502" max="10502" width="9" style="1374"/>
    <col min="10503" max="10503" width="9.33203125" style="1374" bestFit="1" customWidth="1"/>
    <col min="10504" max="10505" width="9" style="1374"/>
    <col min="10506" max="10506" width="9.33203125" style="1374" bestFit="1" customWidth="1"/>
    <col min="10507" max="10507" width="4" style="1374" customWidth="1"/>
    <col min="10508" max="10508" width="5.109375" style="1374" customWidth="1"/>
    <col min="10509" max="10509" width="13.77734375" style="1374" customWidth="1"/>
    <col min="10510" max="10752" width="9" style="1374"/>
    <col min="10753" max="10753" width="4.88671875" style="1374" customWidth="1"/>
    <col min="10754" max="10754" width="13.21875" style="1374" customWidth="1"/>
    <col min="10755" max="10755" width="15.6640625" style="1374" customWidth="1"/>
    <col min="10756" max="10756" width="9.33203125" style="1374" bestFit="1" customWidth="1"/>
    <col min="10757" max="10757" width="13.44140625" style="1374" customWidth="1"/>
    <col min="10758" max="10758" width="9" style="1374"/>
    <col min="10759" max="10759" width="9.33203125" style="1374" bestFit="1" customWidth="1"/>
    <col min="10760" max="10761" width="9" style="1374"/>
    <col min="10762" max="10762" width="9.33203125" style="1374" bestFit="1" customWidth="1"/>
    <col min="10763" max="10763" width="4" style="1374" customWidth="1"/>
    <col min="10764" max="10764" width="5.109375" style="1374" customWidth="1"/>
    <col min="10765" max="10765" width="13.77734375" style="1374" customWidth="1"/>
    <col min="10766" max="11008" width="9" style="1374"/>
    <col min="11009" max="11009" width="4.88671875" style="1374" customWidth="1"/>
    <col min="11010" max="11010" width="13.21875" style="1374" customWidth="1"/>
    <col min="11011" max="11011" width="15.6640625" style="1374" customWidth="1"/>
    <col min="11012" max="11012" width="9.33203125" style="1374" bestFit="1" customWidth="1"/>
    <col min="11013" max="11013" width="13.44140625" style="1374" customWidth="1"/>
    <col min="11014" max="11014" width="9" style="1374"/>
    <col min="11015" max="11015" width="9.33203125" style="1374" bestFit="1" customWidth="1"/>
    <col min="11016" max="11017" width="9" style="1374"/>
    <col min="11018" max="11018" width="9.33203125" style="1374" bestFit="1" customWidth="1"/>
    <col min="11019" max="11019" width="4" style="1374" customWidth="1"/>
    <col min="11020" max="11020" width="5.109375" style="1374" customWidth="1"/>
    <col min="11021" max="11021" width="13.77734375" style="1374" customWidth="1"/>
    <col min="11022" max="11264" width="9" style="1374"/>
    <col min="11265" max="11265" width="4.88671875" style="1374" customWidth="1"/>
    <col min="11266" max="11266" width="13.21875" style="1374" customWidth="1"/>
    <col min="11267" max="11267" width="15.6640625" style="1374" customWidth="1"/>
    <col min="11268" max="11268" width="9.33203125" style="1374" bestFit="1" customWidth="1"/>
    <col min="11269" max="11269" width="13.44140625" style="1374" customWidth="1"/>
    <col min="11270" max="11270" width="9" style="1374"/>
    <col min="11271" max="11271" width="9.33203125" style="1374" bestFit="1" customWidth="1"/>
    <col min="11272" max="11273" width="9" style="1374"/>
    <col min="11274" max="11274" width="9.33203125" style="1374" bestFit="1" customWidth="1"/>
    <col min="11275" max="11275" width="4" style="1374" customWidth="1"/>
    <col min="11276" max="11276" width="5.109375" style="1374" customWidth="1"/>
    <col min="11277" max="11277" width="13.77734375" style="1374" customWidth="1"/>
    <col min="11278" max="11520" width="9" style="1374"/>
    <col min="11521" max="11521" width="4.88671875" style="1374" customWidth="1"/>
    <col min="11522" max="11522" width="13.21875" style="1374" customWidth="1"/>
    <col min="11523" max="11523" width="15.6640625" style="1374" customWidth="1"/>
    <col min="11524" max="11524" width="9.33203125" style="1374" bestFit="1" customWidth="1"/>
    <col min="11525" max="11525" width="13.44140625" style="1374" customWidth="1"/>
    <col min="11526" max="11526" width="9" style="1374"/>
    <col min="11527" max="11527" width="9.33203125" style="1374" bestFit="1" customWidth="1"/>
    <col min="11528" max="11529" width="9" style="1374"/>
    <col min="11530" max="11530" width="9.33203125" style="1374" bestFit="1" customWidth="1"/>
    <col min="11531" max="11531" width="4" style="1374" customWidth="1"/>
    <col min="11532" max="11532" width="5.109375" style="1374" customWidth="1"/>
    <col min="11533" max="11533" width="13.77734375" style="1374" customWidth="1"/>
    <col min="11534" max="11776" width="9" style="1374"/>
    <col min="11777" max="11777" width="4.88671875" style="1374" customWidth="1"/>
    <col min="11778" max="11778" width="13.21875" style="1374" customWidth="1"/>
    <col min="11779" max="11779" width="15.6640625" style="1374" customWidth="1"/>
    <col min="11780" max="11780" width="9.33203125" style="1374" bestFit="1" customWidth="1"/>
    <col min="11781" max="11781" width="13.44140625" style="1374" customWidth="1"/>
    <col min="11782" max="11782" width="9" style="1374"/>
    <col min="11783" max="11783" width="9.33203125" style="1374" bestFit="1" customWidth="1"/>
    <col min="11784" max="11785" width="9" style="1374"/>
    <col min="11786" max="11786" width="9.33203125" style="1374" bestFit="1" customWidth="1"/>
    <col min="11787" max="11787" width="4" style="1374" customWidth="1"/>
    <col min="11788" max="11788" width="5.109375" style="1374" customWidth="1"/>
    <col min="11789" max="11789" width="13.77734375" style="1374" customWidth="1"/>
    <col min="11790" max="12032" width="9" style="1374"/>
    <col min="12033" max="12033" width="4.88671875" style="1374" customWidth="1"/>
    <col min="12034" max="12034" width="13.21875" style="1374" customWidth="1"/>
    <col min="12035" max="12035" width="15.6640625" style="1374" customWidth="1"/>
    <col min="12036" max="12036" width="9.33203125" style="1374" bestFit="1" customWidth="1"/>
    <col min="12037" max="12037" width="13.44140625" style="1374" customWidth="1"/>
    <col min="12038" max="12038" width="9" style="1374"/>
    <col min="12039" max="12039" width="9.33203125" style="1374" bestFit="1" customWidth="1"/>
    <col min="12040" max="12041" width="9" style="1374"/>
    <col min="12042" max="12042" width="9.33203125" style="1374" bestFit="1" customWidth="1"/>
    <col min="12043" max="12043" width="4" style="1374" customWidth="1"/>
    <col min="12044" max="12044" width="5.109375" style="1374" customWidth="1"/>
    <col min="12045" max="12045" width="13.77734375" style="1374" customWidth="1"/>
    <col min="12046" max="12288" width="9" style="1374"/>
    <col min="12289" max="12289" width="4.88671875" style="1374" customWidth="1"/>
    <col min="12290" max="12290" width="13.21875" style="1374" customWidth="1"/>
    <col min="12291" max="12291" width="15.6640625" style="1374" customWidth="1"/>
    <col min="12292" max="12292" width="9.33203125" style="1374" bestFit="1" customWidth="1"/>
    <col min="12293" max="12293" width="13.44140625" style="1374" customWidth="1"/>
    <col min="12294" max="12294" width="9" style="1374"/>
    <col min="12295" max="12295" width="9.33203125" style="1374" bestFit="1" customWidth="1"/>
    <col min="12296" max="12297" width="9" style="1374"/>
    <col min="12298" max="12298" width="9.33203125" style="1374" bestFit="1" customWidth="1"/>
    <col min="12299" max="12299" width="4" style="1374" customWidth="1"/>
    <col min="12300" max="12300" width="5.109375" style="1374" customWidth="1"/>
    <col min="12301" max="12301" width="13.77734375" style="1374" customWidth="1"/>
    <col min="12302" max="12544" width="9" style="1374"/>
    <col min="12545" max="12545" width="4.88671875" style="1374" customWidth="1"/>
    <col min="12546" max="12546" width="13.21875" style="1374" customWidth="1"/>
    <col min="12547" max="12547" width="15.6640625" style="1374" customWidth="1"/>
    <col min="12548" max="12548" width="9.33203125" style="1374" bestFit="1" customWidth="1"/>
    <col min="12549" max="12549" width="13.44140625" style="1374" customWidth="1"/>
    <col min="12550" max="12550" width="9" style="1374"/>
    <col min="12551" max="12551" width="9.33203125" style="1374" bestFit="1" customWidth="1"/>
    <col min="12552" max="12553" width="9" style="1374"/>
    <col min="12554" max="12554" width="9.33203125" style="1374" bestFit="1" customWidth="1"/>
    <col min="12555" max="12555" width="4" style="1374" customWidth="1"/>
    <col min="12556" max="12556" width="5.109375" style="1374" customWidth="1"/>
    <col min="12557" max="12557" width="13.77734375" style="1374" customWidth="1"/>
    <col min="12558" max="12800" width="9" style="1374"/>
    <col min="12801" max="12801" width="4.88671875" style="1374" customWidth="1"/>
    <col min="12802" max="12802" width="13.21875" style="1374" customWidth="1"/>
    <col min="12803" max="12803" width="15.6640625" style="1374" customWidth="1"/>
    <col min="12804" max="12804" width="9.33203125" style="1374" bestFit="1" customWidth="1"/>
    <col min="12805" max="12805" width="13.44140625" style="1374" customWidth="1"/>
    <col min="12806" max="12806" width="9" style="1374"/>
    <col min="12807" max="12807" width="9.33203125" style="1374" bestFit="1" customWidth="1"/>
    <col min="12808" max="12809" width="9" style="1374"/>
    <col min="12810" max="12810" width="9.33203125" style="1374" bestFit="1" customWidth="1"/>
    <col min="12811" max="12811" width="4" style="1374" customWidth="1"/>
    <col min="12812" max="12812" width="5.109375" style="1374" customWidth="1"/>
    <col min="12813" max="12813" width="13.77734375" style="1374" customWidth="1"/>
    <col min="12814" max="13056" width="9" style="1374"/>
    <col min="13057" max="13057" width="4.88671875" style="1374" customWidth="1"/>
    <col min="13058" max="13058" width="13.21875" style="1374" customWidth="1"/>
    <col min="13059" max="13059" width="15.6640625" style="1374" customWidth="1"/>
    <col min="13060" max="13060" width="9.33203125" style="1374" bestFit="1" customWidth="1"/>
    <col min="13061" max="13061" width="13.44140625" style="1374" customWidth="1"/>
    <col min="13062" max="13062" width="9" style="1374"/>
    <col min="13063" max="13063" width="9.33203125" style="1374" bestFit="1" customWidth="1"/>
    <col min="13064" max="13065" width="9" style="1374"/>
    <col min="13066" max="13066" width="9.33203125" style="1374" bestFit="1" customWidth="1"/>
    <col min="13067" max="13067" width="4" style="1374" customWidth="1"/>
    <col min="13068" max="13068" width="5.109375" style="1374" customWidth="1"/>
    <col min="13069" max="13069" width="13.77734375" style="1374" customWidth="1"/>
    <col min="13070" max="13312" width="9" style="1374"/>
    <col min="13313" max="13313" width="4.88671875" style="1374" customWidth="1"/>
    <col min="13314" max="13314" width="13.21875" style="1374" customWidth="1"/>
    <col min="13315" max="13315" width="15.6640625" style="1374" customWidth="1"/>
    <col min="13316" max="13316" width="9.33203125" style="1374" bestFit="1" customWidth="1"/>
    <col min="13317" max="13317" width="13.44140625" style="1374" customWidth="1"/>
    <col min="13318" max="13318" width="9" style="1374"/>
    <col min="13319" max="13319" width="9.33203125" style="1374" bestFit="1" customWidth="1"/>
    <col min="13320" max="13321" width="9" style="1374"/>
    <col min="13322" max="13322" width="9.33203125" style="1374" bestFit="1" customWidth="1"/>
    <col min="13323" max="13323" width="4" style="1374" customWidth="1"/>
    <col min="13324" max="13324" width="5.109375" style="1374" customWidth="1"/>
    <col min="13325" max="13325" width="13.77734375" style="1374" customWidth="1"/>
    <col min="13326" max="13568" width="9" style="1374"/>
    <col min="13569" max="13569" width="4.88671875" style="1374" customWidth="1"/>
    <col min="13570" max="13570" width="13.21875" style="1374" customWidth="1"/>
    <col min="13571" max="13571" width="15.6640625" style="1374" customWidth="1"/>
    <col min="13572" max="13572" width="9.33203125" style="1374" bestFit="1" customWidth="1"/>
    <col min="13573" max="13573" width="13.44140625" style="1374" customWidth="1"/>
    <col min="13574" max="13574" width="9" style="1374"/>
    <col min="13575" max="13575" width="9.33203125" style="1374" bestFit="1" customWidth="1"/>
    <col min="13576" max="13577" width="9" style="1374"/>
    <col min="13578" max="13578" width="9.33203125" style="1374" bestFit="1" customWidth="1"/>
    <col min="13579" max="13579" width="4" style="1374" customWidth="1"/>
    <col min="13580" max="13580" width="5.109375" style="1374" customWidth="1"/>
    <col min="13581" max="13581" width="13.77734375" style="1374" customWidth="1"/>
    <col min="13582" max="13824" width="9" style="1374"/>
    <col min="13825" max="13825" width="4.88671875" style="1374" customWidth="1"/>
    <col min="13826" max="13826" width="13.21875" style="1374" customWidth="1"/>
    <col min="13827" max="13827" width="15.6640625" style="1374" customWidth="1"/>
    <col min="13828" max="13828" width="9.33203125" style="1374" bestFit="1" customWidth="1"/>
    <col min="13829" max="13829" width="13.44140625" style="1374" customWidth="1"/>
    <col min="13830" max="13830" width="9" style="1374"/>
    <col min="13831" max="13831" width="9.33203125" style="1374" bestFit="1" customWidth="1"/>
    <col min="13832" max="13833" width="9" style="1374"/>
    <col min="13834" max="13834" width="9.33203125" style="1374" bestFit="1" customWidth="1"/>
    <col min="13835" max="13835" width="4" style="1374" customWidth="1"/>
    <col min="13836" max="13836" width="5.109375" style="1374" customWidth="1"/>
    <col min="13837" max="13837" width="13.77734375" style="1374" customWidth="1"/>
    <col min="13838" max="14080" width="9" style="1374"/>
    <col min="14081" max="14081" width="4.88671875" style="1374" customWidth="1"/>
    <col min="14082" max="14082" width="13.21875" style="1374" customWidth="1"/>
    <col min="14083" max="14083" width="15.6640625" style="1374" customWidth="1"/>
    <col min="14084" max="14084" width="9.33203125" style="1374" bestFit="1" customWidth="1"/>
    <col min="14085" max="14085" width="13.44140625" style="1374" customWidth="1"/>
    <col min="14086" max="14086" width="9" style="1374"/>
    <col min="14087" max="14087" width="9.33203125" style="1374" bestFit="1" customWidth="1"/>
    <col min="14088" max="14089" width="9" style="1374"/>
    <col min="14090" max="14090" width="9.33203125" style="1374" bestFit="1" customWidth="1"/>
    <col min="14091" max="14091" width="4" style="1374" customWidth="1"/>
    <col min="14092" max="14092" width="5.109375" style="1374" customWidth="1"/>
    <col min="14093" max="14093" width="13.77734375" style="1374" customWidth="1"/>
    <col min="14094" max="14336" width="9" style="1374"/>
    <col min="14337" max="14337" width="4.88671875" style="1374" customWidth="1"/>
    <col min="14338" max="14338" width="13.21875" style="1374" customWidth="1"/>
    <col min="14339" max="14339" width="15.6640625" style="1374" customWidth="1"/>
    <col min="14340" max="14340" width="9.33203125" style="1374" bestFit="1" customWidth="1"/>
    <col min="14341" max="14341" width="13.44140625" style="1374" customWidth="1"/>
    <col min="14342" max="14342" width="9" style="1374"/>
    <col min="14343" max="14343" width="9.33203125" style="1374" bestFit="1" customWidth="1"/>
    <col min="14344" max="14345" width="9" style="1374"/>
    <col min="14346" max="14346" width="9.33203125" style="1374" bestFit="1" customWidth="1"/>
    <col min="14347" max="14347" width="4" style="1374" customWidth="1"/>
    <col min="14348" max="14348" width="5.109375" style="1374" customWidth="1"/>
    <col min="14349" max="14349" width="13.77734375" style="1374" customWidth="1"/>
    <col min="14350" max="14592" width="9" style="1374"/>
    <col min="14593" max="14593" width="4.88671875" style="1374" customWidth="1"/>
    <col min="14594" max="14594" width="13.21875" style="1374" customWidth="1"/>
    <col min="14595" max="14595" width="15.6640625" style="1374" customWidth="1"/>
    <col min="14596" max="14596" width="9.33203125" style="1374" bestFit="1" customWidth="1"/>
    <col min="14597" max="14597" width="13.44140625" style="1374" customWidth="1"/>
    <col min="14598" max="14598" width="9" style="1374"/>
    <col min="14599" max="14599" width="9.33203125" style="1374" bestFit="1" customWidth="1"/>
    <col min="14600" max="14601" width="9" style="1374"/>
    <col min="14602" max="14602" width="9.33203125" style="1374" bestFit="1" customWidth="1"/>
    <col min="14603" max="14603" width="4" style="1374" customWidth="1"/>
    <col min="14604" max="14604" width="5.109375" style="1374" customWidth="1"/>
    <col min="14605" max="14605" width="13.77734375" style="1374" customWidth="1"/>
    <col min="14606" max="14848" width="9" style="1374"/>
    <col min="14849" max="14849" width="4.88671875" style="1374" customWidth="1"/>
    <col min="14850" max="14850" width="13.21875" style="1374" customWidth="1"/>
    <col min="14851" max="14851" width="15.6640625" style="1374" customWidth="1"/>
    <col min="14852" max="14852" width="9.33203125" style="1374" bestFit="1" customWidth="1"/>
    <col min="14853" max="14853" width="13.44140625" style="1374" customWidth="1"/>
    <col min="14854" max="14854" width="9" style="1374"/>
    <col min="14855" max="14855" width="9.33203125" style="1374" bestFit="1" customWidth="1"/>
    <col min="14856" max="14857" width="9" style="1374"/>
    <col min="14858" max="14858" width="9.33203125" style="1374" bestFit="1" customWidth="1"/>
    <col min="14859" max="14859" width="4" style="1374" customWidth="1"/>
    <col min="14860" max="14860" width="5.109375" style="1374" customWidth="1"/>
    <col min="14861" max="14861" width="13.77734375" style="1374" customWidth="1"/>
    <col min="14862" max="15104" width="9" style="1374"/>
    <col min="15105" max="15105" width="4.88671875" style="1374" customWidth="1"/>
    <col min="15106" max="15106" width="13.21875" style="1374" customWidth="1"/>
    <col min="15107" max="15107" width="15.6640625" style="1374" customWidth="1"/>
    <col min="15108" max="15108" width="9.33203125" style="1374" bestFit="1" customWidth="1"/>
    <col min="15109" max="15109" width="13.44140625" style="1374" customWidth="1"/>
    <col min="15110" max="15110" width="9" style="1374"/>
    <col min="15111" max="15111" width="9.33203125" style="1374" bestFit="1" customWidth="1"/>
    <col min="15112" max="15113" width="9" style="1374"/>
    <col min="15114" max="15114" width="9.33203125" style="1374" bestFit="1" customWidth="1"/>
    <col min="15115" max="15115" width="4" style="1374" customWidth="1"/>
    <col min="15116" max="15116" width="5.109375" style="1374" customWidth="1"/>
    <col min="15117" max="15117" width="13.77734375" style="1374" customWidth="1"/>
    <col min="15118" max="15360" width="9" style="1374"/>
    <col min="15361" max="15361" width="4.88671875" style="1374" customWidth="1"/>
    <col min="15362" max="15362" width="13.21875" style="1374" customWidth="1"/>
    <col min="15363" max="15363" width="15.6640625" style="1374" customWidth="1"/>
    <col min="15364" max="15364" width="9.33203125" style="1374" bestFit="1" customWidth="1"/>
    <col min="15365" max="15365" width="13.44140625" style="1374" customWidth="1"/>
    <col min="15366" max="15366" width="9" style="1374"/>
    <col min="15367" max="15367" width="9.33203125" style="1374" bestFit="1" customWidth="1"/>
    <col min="15368" max="15369" width="9" style="1374"/>
    <col min="15370" max="15370" width="9.33203125" style="1374" bestFit="1" customWidth="1"/>
    <col min="15371" max="15371" width="4" style="1374" customWidth="1"/>
    <col min="15372" max="15372" width="5.109375" style="1374" customWidth="1"/>
    <col min="15373" max="15373" width="13.77734375" style="1374" customWidth="1"/>
    <col min="15374" max="15616" width="9" style="1374"/>
    <col min="15617" max="15617" width="4.88671875" style="1374" customWidth="1"/>
    <col min="15618" max="15618" width="13.21875" style="1374" customWidth="1"/>
    <col min="15619" max="15619" width="15.6640625" style="1374" customWidth="1"/>
    <col min="15620" max="15620" width="9.33203125" style="1374" bestFit="1" customWidth="1"/>
    <col min="15621" max="15621" width="13.44140625" style="1374" customWidth="1"/>
    <col min="15622" max="15622" width="9" style="1374"/>
    <col min="15623" max="15623" width="9.33203125" style="1374" bestFit="1" customWidth="1"/>
    <col min="15624" max="15625" width="9" style="1374"/>
    <col min="15626" max="15626" width="9.33203125" style="1374" bestFit="1" customWidth="1"/>
    <col min="15627" max="15627" width="4" style="1374" customWidth="1"/>
    <col min="15628" max="15628" width="5.109375" style="1374" customWidth="1"/>
    <col min="15629" max="15629" width="13.77734375" style="1374" customWidth="1"/>
    <col min="15630" max="15872" width="9" style="1374"/>
    <col min="15873" max="15873" width="4.88671875" style="1374" customWidth="1"/>
    <col min="15874" max="15874" width="13.21875" style="1374" customWidth="1"/>
    <col min="15875" max="15875" width="15.6640625" style="1374" customWidth="1"/>
    <col min="15876" max="15876" width="9.33203125" style="1374" bestFit="1" customWidth="1"/>
    <col min="15877" max="15877" width="13.44140625" style="1374" customWidth="1"/>
    <col min="15878" max="15878" width="9" style="1374"/>
    <col min="15879" max="15879" width="9.33203125" style="1374" bestFit="1" customWidth="1"/>
    <col min="15880" max="15881" width="9" style="1374"/>
    <col min="15882" max="15882" width="9.33203125" style="1374" bestFit="1" customWidth="1"/>
    <col min="15883" max="15883" width="4" style="1374" customWidth="1"/>
    <col min="15884" max="15884" width="5.109375" style="1374" customWidth="1"/>
    <col min="15885" max="15885" width="13.77734375" style="1374" customWidth="1"/>
    <col min="15886" max="16128" width="9" style="1374"/>
    <col min="16129" max="16129" width="4.88671875" style="1374" customWidth="1"/>
    <col min="16130" max="16130" width="13.21875" style="1374" customWidth="1"/>
    <col min="16131" max="16131" width="15.6640625" style="1374" customWidth="1"/>
    <col min="16132" max="16132" width="9.33203125" style="1374" bestFit="1" customWidth="1"/>
    <col min="16133" max="16133" width="13.44140625" style="1374" customWidth="1"/>
    <col min="16134" max="16134" width="9" style="1374"/>
    <col min="16135" max="16135" width="9.33203125" style="1374" bestFit="1" customWidth="1"/>
    <col min="16136" max="16137" width="9" style="1374"/>
    <col min="16138" max="16138" width="9.33203125" style="1374" bestFit="1" customWidth="1"/>
    <col min="16139" max="16139" width="4" style="1374" customWidth="1"/>
    <col min="16140" max="16140" width="5.109375" style="1374" customWidth="1"/>
    <col min="16141" max="16141" width="13.77734375" style="1374" customWidth="1"/>
    <col min="16142" max="16384" width="9" style="1374"/>
  </cols>
  <sheetData>
    <row r="1" spans="1:257" s="1436" customFormat="1" ht="15" thickBot="1">
      <c r="A1" s="1430"/>
      <c r="B1" s="1437" t="s">
        <v>1208</v>
      </c>
      <c r="C1" s="1431">
        <f>项目基本情况!D3</f>
        <v>43252</v>
      </c>
      <c r="D1" s="1437" t="s">
        <v>1209</v>
      </c>
      <c r="E1" s="1432">
        <f>'数据-取费表'!B22</f>
        <v>3</v>
      </c>
      <c r="F1" s="1437" t="s">
        <v>1210</v>
      </c>
      <c r="G1" s="1433">
        <f ca="1">INDIRECT("d"&amp;$K$1)/100</f>
        <v>4.7500000000000001E-2</v>
      </c>
      <c r="H1" s="1437" t="s">
        <v>1240</v>
      </c>
      <c r="I1" s="1433">
        <f ca="1">F4/100</f>
        <v>1.4999999999999999E-2</v>
      </c>
      <c r="J1" s="1438">
        <f>IF(C1&gt;C13,0,MATCH(C1,C$13:C$107,-1))+IF(SUMIF(C13:C107,C1,D13:D107)=0,13,12)</f>
        <v>20</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6"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4.3499999999999996</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4.3499999999999996</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4.75</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4.75</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5" thickBot="1">
      <c r="B7" s="1389" t="s">
        <v>1217</v>
      </c>
      <c r="C7" s="1390">
        <v>5</v>
      </c>
      <c r="D7" s="1391">
        <f ca="1">INDIRECT("h"&amp;$J$1)</f>
        <v>4.9000000000000004</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399999999999999">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2">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31.2">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5.6">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5.6">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5.6">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5.6">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6.8">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5.6">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5.6">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P4" sqref="P4"/>
    </sheetView>
  </sheetViews>
  <sheetFormatPr defaultRowHeight="10.8"/>
  <cols>
    <col min="1" max="1" width="4.6640625" style="3522" customWidth="1"/>
    <col min="2" max="3" width="5" style="3522" customWidth="1"/>
    <col min="4" max="4" width="5.21875" style="3522" customWidth="1"/>
    <col min="5" max="5" width="5.6640625" style="3522" customWidth="1"/>
    <col min="6" max="6" width="7.6640625" style="3522" customWidth="1"/>
    <col min="7" max="8" width="8.88671875" style="3522"/>
    <col min="9" max="9" width="5.44140625" style="3522" customWidth="1"/>
    <col min="10" max="10" width="7.44140625" style="3522" customWidth="1"/>
    <col min="11" max="11" width="8.88671875" style="3522"/>
    <col min="12" max="12" width="6.88671875" style="3522" customWidth="1"/>
    <col min="13" max="13" width="7" style="3522" customWidth="1"/>
    <col min="14" max="14" width="7.44140625" style="3522" customWidth="1"/>
    <col min="15" max="15" width="10.88671875" style="3522" customWidth="1"/>
    <col min="16" max="16" width="77.77734375" style="3522" customWidth="1"/>
    <col min="17" max="16384" width="8.88671875" style="3522"/>
  </cols>
  <sheetData>
    <row r="1" spans="1:23" s="3521" customFormat="1" ht="43.2">
      <c r="A1" s="3519" t="s">
        <v>3765</v>
      </c>
      <c r="B1" s="3519" t="s">
        <v>3766</v>
      </c>
      <c r="C1" s="3520" t="s">
        <v>3767</v>
      </c>
      <c r="D1" s="3519" t="s">
        <v>3768</v>
      </c>
      <c r="E1" s="3519" t="s">
        <v>3769</v>
      </c>
      <c r="F1" s="3519" t="s">
        <v>3770</v>
      </c>
      <c r="G1" s="3519" t="s">
        <v>3195</v>
      </c>
      <c r="H1" s="3519" t="s">
        <v>3196</v>
      </c>
      <c r="I1" s="3519" t="s">
        <v>3197</v>
      </c>
      <c r="J1" s="3519" t="s">
        <v>3771</v>
      </c>
      <c r="K1" s="3519" t="s">
        <v>3199</v>
      </c>
      <c r="L1" s="3869" t="s">
        <v>3772</v>
      </c>
      <c r="M1" s="3869"/>
      <c r="N1" s="3519" t="s">
        <v>3773</v>
      </c>
      <c r="O1" s="3519" t="s">
        <v>3774</v>
      </c>
      <c r="P1" s="3519" t="s">
        <v>3775</v>
      </c>
      <c r="Q1" s="3519" t="s">
        <v>3776</v>
      </c>
      <c r="R1" s="3521" t="s">
        <v>3826</v>
      </c>
      <c r="S1" s="3521" t="s">
        <v>3827</v>
      </c>
      <c r="T1" s="3521" t="s">
        <v>3828</v>
      </c>
      <c r="U1" s="3521" t="s">
        <v>3829</v>
      </c>
      <c r="V1" s="3521" t="s">
        <v>3830</v>
      </c>
      <c r="W1" s="3521" t="s">
        <v>3831</v>
      </c>
    </row>
    <row r="2" spans="1:23" s="3544" customFormat="1" ht="120" customHeight="1">
      <c r="A2" s="3538">
        <v>314</v>
      </c>
      <c r="B2" s="3545">
        <v>2018</v>
      </c>
      <c r="C2" s="3546">
        <v>3</v>
      </c>
      <c r="D2" s="3547">
        <v>2</v>
      </c>
      <c r="E2" s="3548" t="s">
        <v>3461</v>
      </c>
      <c r="F2" s="3548" t="s">
        <v>3216</v>
      </c>
      <c r="G2" s="3548" t="s">
        <v>3777</v>
      </c>
      <c r="H2" s="3548" t="s">
        <v>3778</v>
      </c>
      <c r="I2" s="3548" t="s">
        <v>3225</v>
      </c>
      <c r="J2" s="3548" t="s">
        <v>3779</v>
      </c>
      <c r="K2" s="3548" t="s">
        <v>3780</v>
      </c>
      <c r="L2" s="3548">
        <v>3.94</v>
      </c>
      <c r="M2" s="3548">
        <v>3.38</v>
      </c>
      <c r="N2" s="3548">
        <v>12</v>
      </c>
      <c r="O2" s="3548">
        <v>111557.75999999999</v>
      </c>
      <c r="P2" s="3549" t="s">
        <v>3841</v>
      </c>
      <c r="Q2" s="3548" t="s">
        <v>3781</v>
      </c>
      <c r="R2" s="3544">
        <v>1455282.08</v>
      </c>
      <c r="S2" s="3544">
        <f>235824.42+781598.44</f>
        <v>1017422.86</v>
      </c>
      <c r="T2" s="3544">
        <f t="shared" ref="T2:T11" si="0">S2/R2</f>
        <v>0.69912415880225776</v>
      </c>
      <c r="U2" s="3544">
        <v>111557.75999999999</v>
      </c>
      <c r="V2" s="3544">
        <f t="shared" ref="V2:V11" si="1">T2*U2</f>
        <v>77992.72511786416</v>
      </c>
      <c r="W2" s="3544">
        <f t="shared" ref="W2:W11" si="2">V2/L2</f>
        <v>19795.107897935068</v>
      </c>
    </row>
    <row r="3" spans="1:23" ht="120" customHeight="1">
      <c r="A3" s="3523">
        <v>309</v>
      </c>
      <c r="B3" s="3524">
        <v>2018</v>
      </c>
      <c r="C3" s="3525">
        <v>1</v>
      </c>
      <c r="D3" s="3526">
        <v>2</v>
      </c>
      <c r="E3" s="3527" t="s">
        <v>3461</v>
      </c>
      <c r="F3" s="3527" t="s">
        <v>3216</v>
      </c>
      <c r="G3" s="3527" t="s">
        <v>3782</v>
      </c>
      <c r="H3" s="3527" t="s">
        <v>3783</v>
      </c>
      <c r="I3" s="3527" t="s">
        <v>3225</v>
      </c>
      <c r="J3" s="3527" t="s">
        <v>3784</v>
      </c>
      <c r="K3" s="3527" t="s">
        <v>3785</v>
      </c>
      <c r="L3" s="3527">
        <v>2.1</v>
      </c>
      <c r="M3" s="3527">
        <v>2.1</v>
      </c>
      <c r="N3" s="3527">
        <v>6.31</v>
      </c>
      <c r="O3" s="3527">
        <v>219406.92</v>
      </c>
      <c r="P3" s="3528" t="s">
        <v>3832</v>
      </c>
      <c r="Q3" s="3527" t="s">
        <v>3786</v>
      </c>
      <c r="R3" s="3522">
        <v>594271.28</v>
      </c>
      <c r="S3" s="3522">
        <f>52082+407351</f>
        <v>459433</v>
      </c>
      <c r="T3" s="3522">
        <f t="shared" si="0"/>
        <v>0.77310315248618444</v>
      </c>
      <c r="U3" s="3522">
        <v>219406.92</v>
      </c>
      <c r="V3" s="3522">
        <f t="shared" si="1"/>
        <v>169624.18152928408</v>
      </c>
      <c r="W3" s="3522">
        <f t="shared" si="2"/>
        <v>80773.419775849557</v>
      </c>
    </row>
    <row r="4" spans="1:23" ht="154.19999999999999" customHeight="1">
      <c r="A4" s="3523">
        <v>306</v>
      </c>
      <c r="B4" s="3524">
        <v>2017</v>
      </c>
      <c r="C4" s="3525">
        <v>13</v>
      </c>
      <c r="D4" s="3526">
        <v>5</v>
      </c>
      <c r="E4" s="3527" t="s">
        <v>3461</v>
      </c>
      <c r="F4" s="3527" t="s">
        <v>3216</v>
      </c>
      <c r="G4" s="3527" t="s">
        <v>3787</v>
      </c>
      <c r="H4" s="3527" t="s">
        <v>3783</v>
      </c>
      <c r="I4" s="3527" t="s">
        <v>3225</v>
      </c>
      <c r="J4" s="3527" t="s">
        <v>3788</v>
      </c>
      <c r="K4" s="3527" t="s">
        <v>3789</v>
      </c>
      <c r="L4" s="3527">
        <v>7.31</v>
      </c>
      <c r="M4" s="3527">
        <v>7.31</v>
      </c>
      <c r="N4" s="3527">
        <v>24.14</v>
      </c>
      <c r="O4" s="3527">
        <v>571680</v>
      </c>
      <c r="P4" s="3528" t="s">
        <v>3833</v>
      </c>
      <c r="Q4" s="3527" t="s">
        <v>3790</v>
      </c>
      <c r="R4" s="3522">
        <v>571680</v>
      </c>
      <c r="S4" s="3522">
        <f>13821.64+407542.38</f>
        <v>421364.02</v>
      </c>
      <c r="T4" s="3522">
        <f t="shared" si="0"/>
        <v>0.73706272739994405</v>
      </c>
      <c r="U4" s="3522">
        <v>571680</v>
      </c>
      <c r="V4" s="3522">
        <f t="shared" si="1"/>
        <v>421364.02</v>
      </c>
      <c r="W4" s="3522">
        <f t="shared" si="2"/>
        <v>57642.136798905616</v>
      </c>
    </row>
    <row r="5" spans="1:23" ht="108.6" customHeight="1">
      <c r="A5" s="3523">
        <v>305</v>
      </c>
      <c r="B5" s="3524">
        <v>2017</v>
      </c>
      <c r="C5" s="3525">
        <v>13</v>
      </c>
      <c r="D5" s="3526">
        <v>4</v>
      </c>
      <c r="E5" s="3527" t="s">
        <v>3461</v>
      </c>
      <c r="F5" s="3527" t="s">
        <v>3216</v>
      </c>
      <c r="G5" s="3527" t="s">
        <v>3791</v>
      </c>
      <c r="H5" s="3527" t="s">
        <v>3792</v>
      </c>
      <c r="I5" s="3527" t="s">
        <v>3225</v>
      </c>
      <c r="J5" s="3527" t="s">
        <v>3793</v>
      </c>
      <c r="K5" s="3527" t="s">
        <v>3794</v>
      </c>
      <c r="L5" s="3527">
        <v>13.09</v>
      </c>
      <c r="M5" s="3527">
        <v>13.09</v>
      </c>
      <c r="N5" s="3527">
        <v>31.74</v>
      </c>
      <c r="O5" s="3527">
        <v>788223.66</v>
      </c>
      <c r="P5" s="3528" t="s">
        <v>3834</v>
      </c>
      <c r="Q5" s="3527" t="s">
        <v>3790</v>
      </c>
      <c r="R5" s="3522">
        <v>1469820.55</v>
      </c>
      <c r="S5" s="3522">
        <f>230854.94+914979.6</f>
        <v>1145834.54</v>
      </c>
      <c r="T5" s="3522">
        <f t="shared" si="0"/>
        <v>0.77957444532939757</v>
      </c>
      <c r="U5" s="3522">
        <v>788223.66</v>
      </c>
      <c r="V5" s="3522">
        <f t="shared" si="1"/>
        <v>614479.02254000772</v>
      </c>
      <c r="W5" s="3522">
        <f t="shared" si="2"/>
        <v>46942.629682200743</v>
      </c>
    </row>
    <row r="6" spans="1:23" s="3544" customFormat="1" ht="234" customHeight="1">
      <c r="A6" s="3538">
        <v>304</v>
      </c>
      <c r="B6" s="3545">
        <v>2017</v>
      </c>
      <c r="C6" s="3546">
        <v>13</v>
      </c>
      <c r="D6" s="3547">
        <v>3</v>
      </c>
      <c r="E6" s="3548" t="s">
        <v>3461</v>
      </c>
      <c r="F6" s="3548" t="s">
        <v>3216</v>
      </c>
      <c r="G6" s="3548" t="s">
        <v>3795</v>
      </c>
      <c r="H6" s="3548" t="s">
        <v>3796</v>
      </c>
      <c r="I6" s="3548" t="s">
        <v>3225</v>
      </c>
      <c r="J6" s="3548" t="s">
        <v>3797</v>
      </c>
      <c r="K6" s="3548" t="s">
        <v>3798</v>
      </c>
      <c r="L6" s="3548">
        <v>7.42</v>
      </c>
      <c r="M6" s="3548">
        <v>7.42</v>
      </c>
      <c r="N6" s="3548">
        <v>18.731999999999999</v>
      </c>
      <c r="O6" s="3548">
        <v>204343.96</v>
      </c>
      <c r="P6" s="3549" t="s">
        <v>3835</v>
      </c>
      <c r="Q6" s="3548" t="s">
        <v>3790</v>
      </c>
      <c r="R6" s="3544">
        <v>1103261.1499999999</v>
      </c>
      <c r="S6" s="3544">
        <f>313181.37+546549.78</f>
        <v>859731.15</v>
      </c>
      <c r="T6" s="3544">
        <f t="shared" si="0"/>
        <v>0.77926350438425218</v>
      </c>
      <c r="U6" s="3544">
        <v>204343.96</v>
      </c>
      <c r="V6" s="3544">
        <f t="shared" si="1"/>
        <v>159237.79036935544</v>
      </c>
      <c r="W6" s="3544">
        <f t="shared" si="2"/>
        <v>21460.618648161111</v>
      </c>
    </row>
    <row r="7" spans="1:23" ht="84" customHeight="1">
      <c r="A7" s="3523">
        <v>269</v>
      </c>
      <c r="B7" s="3524">
        <v>2017</v>
      </c>
      <c r="C7" s="3525">
        <v>3</v>
      </c>
      <c r="D7" s="3525">
        <v>1</v>
      </c>
      <c r="E7" s="3529" t="s">
        <v>3799</v>
      </c>
      <c r="F7" s="3529" t="s">
        <v>3800</v>
      </c>
      <c r="G7" s="3529" t="s">
        <v>3801</v>
      </c>
      <c r="H7" s="3529" t="s">
        <v>3802</v>
      </c>
      <c r="I7" s="3529" t="s">
        <v>3225</v>
      </c>
      <c r="J7" s="3529" t="s">
        <v>3803</v>
      </c>
      <c r="K7" s="3529" t="s">
        <v>3804</v>
      </c>
      <c r="L7" s="3529">
        <v>12.96</v>
      </c>
      <c r="M7" s="3529">
        <v>10.29</v>
      </c>
      <c r="N7" s="3529">
        <v>31.25</v>
      </c>
      <c r="O7" s="3530">
        <v>235032.61</v>
      </c>
      <c r="P7" s="3531" t="s">
        <v>3836</v>
      </c>
      <c r="Q7" s="3529" t="s">
        <v>3805</v>
      </c>
      <c r="R7" s="3522">
        <v>1004805.28</v>
      </c>
      <c r="S7" s="3522">
        <f>203537.92+451960.94</f>
        <v>655498.86</v>
      </c>
      <c r="T7" s="3522">
        <f t="shared" si="0"/>
        <v>0.65236406799136248</v>
      </c>
      <c r="U7" s="3522">
        <v>235032.61</v>
      </c>
      <c r="V7" s="3522">
        <f t="shared" si="1"/>
        <v>153326.82957022736</v>
      </c>
      <c r="W7" s="3522">
        <f t="shared" si="2"/>
        <v>11830.773886591616</v>
      </c>
    </row>
    <row r="8" spans="1:23" ht="91.8" customHeight="1">
      <c r="A8" s="3523">
        <v>280</v>
      </c>
      <c r="B8" s="3524">
        <v>2017</v>
      </c>
      <c r="C8" s="3525">
        <v>7</v>
      </c>
      <c r="D8" s="3525">
        <v>2</v>
      </c>
      <c r="E8" s="3529" t="s">
        <v>3461</v>
      </c>
      <c r="F8" s="3529" t="s">
        <v>3216</v>
      </c>
      <c r="G8" s="3529" t="s">
        <v>3806</v>
      </c>
      <c r="H8" s="3529" t="s">
        <v>3807</v>
      </c>
      <c r="I8" s="3529" t="s">
        <v>3225</v>
      </c>
      <c r="J8" s="3529" t="s">
        <v>3808</v>
      </c>
      <c r="K8" s="3529" t="s">
        <v>3809</v>
      </c>
      <c r="L8" s="3529">
        <v>8.32</v>
      </c>
      <c r="M8" s="3529">
        <v>7.93</v>
      </c>
      <c r="N8" s="3529">
        <v>16.420000000000002</v>
      </c>
      <c r="O8" s="3529">
        <v>326366.14</v>
      </c>
      <c r="P8" s="3531" t="s">
        <v>3837</v>
      </c>
      <c r="Q8" s="3532" t="s">
        <v>3810</v>
      </c>
      <c r="R8" s="3522">
        <v>765167.19</v>
      </c>
      <c r="S8" s="3522">
        <f>71396.51+501172.06</f>
        <v>572568.56999999995</v>
      </c>
      <c r="T8" s="3522">
        <f t="shared" si="0"/>
        <v>0.74829210855211914</v>
      </c>
      <c r="U8" s="3522">
        <f>309712.65+10028.5+6624.99</f>
        <v>326366.14</v>
      </c>
      <c r="V8" s="3522">
        <f t="shared" si="1"/>
        <v>244217.20706061611</v>
      </c>
      <c r="W8" s="3522">
        <f t="shared" si="2"/>
        <v>29353.02969478559</v>
      </c>
    </row>
    <row r="9" spans="1:23" s="3544" customFormat="1" ht="78.599999999999994" customHeight="1">
      <c r="A9" s="3538">
        <v>245</v>
      </c>
      <c r="B9" s="3539">
        <v>2016</v>
      </c>
      <c r="C9" s="3540" t="s">
        <v>3262</v>
      </c>
      <c r="D9" s="3541">
        <v>7</v>
      </c>
      <c r="E9" s="3542" t="s">
        <v>3461</v>
      </c>
      <c r="F9" s="3542" t="s">
        <v>3216</v>
      </c>
      <c r="G9" s="3542" t="s">
        <v>3811</v>
      </c>
      <c r="H9" s="3542" t="s">
        <v>3807</v>
      </c>
      <c r="I9" s="3542" t="s">
        <v>3225</v>
      </c>
      <c r="J9" s="3542" t="s">
        <v>3812</v>
      </c>
      <c r="K9" s="3542" t="s">
        <v>3813</v>
      </c>
      <c r="L9" s="3542">
        <v>17.920000000000002</v>
      </c>
      <c r="M9" s="3542">
        <v>5.19</v>
      </c>
      <c r="N9" s="3542">
        <v>15.57</v>
      </c>
      <c r="O9" s="3542">
        <v>402756.93</v>
      </c>
      <c r="P9" s="3543" t="s">
        <v>3838</v>
      </c>
      <c r="Q9" s="3543" t="s">
        <v>3814</v>
      </c>
      <c r="R9" s="3544">
        <v>1427032.95</v>
      </c>
      <c r="S9" s="3544">
        <f>104764.39+1052354.07</f>
        <v>1157118.46</v>
      </c>
      <c r="T9" s="3544">
        <f t="shared" si="0"/>
        <v>0.81085616138015593</v>
      </c>
      <c r="U9" s="3544">
        <v>402756.93</v>
      </c>
      <c r="V9" s="3544">
        <f t="shared" si="1"/>
        <v>326577.93822905613</v>
      </c>
      <c r="W9" s="3544">
        <f t="shared" si="2"/>
        <v>18224.215302960722</v>
      </c>
    </row>
    <row r="10" spans="1:23" ht="93.6" customHeight="1">
      <c r="A10" s="3523">
        <v>226</v>
      </c>
      <c r="B10" s="3533">
        <v>2016</v>
      </c>
      <c r="C10" s="3534" t="s">
        <v>3815</v>
      </c>
      <c r="D10" s="3535">
        <v>6</v>
      </c>
      <c r="E10" s="3536" t="s">
        <v>3461</v>
      </c>
      <c r="F10" s="3536" t="s">
        <v>3164</v>
      </c>
      <c r="G10" s="3536" t="s">
        <v>3816</v>
      </c>
      <c r="H10" s="3536" t="s">
        <v>3817</v>
      </c>
      <c r="I10" s="3536" t="s">
        <v>3225</v>
      </c>
      <c r="J10" s="3536" t="s">
        <v>3818</v>
      </c>
      <c r="K10" s="3536" t="s">
        <v>3819</v>
      </c>
      <c r="L10" s="3536">
        <f>2.695786+0.37</f>
        <v>3.0657860000000001</v>
      </c>
      <c r="M10" s="3536">
        <f>1.7485542+0.37</f>
        <v>2.1185542000000002</v>
      </c>
      <c r="N10" s="3536">
        <f>4.86+0.185</f>
        <v>5.0449999999999999</v>
      </c>
      <c r="O10" s="3536">
        <f>7290+501.18</f>
        <v>7791.18</v>
      </c>
      <c r="P10" s="3537" t="s">
        <v>3839</v>
      </c>
      <c r="Q10" s="3537" t="s">
        <v>3820</v>
      </c>
      <c r="R10" s="3522">
        <v>1318636.3400000001</v>
      </c>
      <c r="S10" s="3522">
        <f>159791.48+816764.21</f>
        <v>976555.69</v>
      </c>
      <c r="T10" s="3522">
        <f t="shared" si="0"/>
        <v>0.74057999190284707</v>
      </c>
      <c r="U10" s="3522">
        <f>7290+501.18</f>
        <v>7791.18</v>
      </c>
      <c r="V10" s="3522">
        <f t="shared" si="1"/>
        <v>5769.9920213136238</v>
      </c>
      <c r="W10" s="3522">
        <f t="shared" si="2"/>
        <v>1882.0596158093304</v>
      </c>
    </row>
    <row r="11" spans="1:23" ht="103.2" customHeight="1">
      <c r="A11" s="3523">
        <v>211</v>
      </c>
      <c r="B11" s="3533">
        <v>2016</v>
      </c>
      <c r="C11" s="3534" t="s">
        <v>3821</v>
      </c>
      <c r="D11" s="3535">
        <v>6</v>
      </c>
      <c r="E11" s="3536" t="s">
        <v>3461</v>
      </c>
      <c r="F11" s="3536" t="s">
        <v>3216</v>
      </c>
      <c r="G11" s="3536" t="s">
        <v>3822</v>
      </c>
      <c r="H11" s="3536" t="s">
        <v>3778</v>
      </c>
      <c r="I11" s="3536" t="s">
        <v>3225</v>
      </c>
      <c r="J11" s="3536" t="s">
        <v>3823</v>
      </c>
      <c r="K11" s="3536" t="s">
        <v>3824</v>
      </c>
      <c r="L11" s="3536">
        <v>23.43</v>
      </c>
      <c r="M11" s="3536">
        <v>9.76</v>
      </c>
      <c r="N11" s="3536">
        <v>52</v>
      </c>
      <c r="O11" s="3536">
        <v>458739.84</v>
      </c>
      <c r="P11" s="3537" t="s">
        <v>3840</v>
      </c>
      <c r="Q11" s="3537" t="s">
        <v>3825</v>
      </c>
      <c r="R11" s="3522">
        <v>1455282.08</v>
      </c>
      <c r="S11" s="3522">
        <f>235824.42+781598.44</f>
        <v>1017422.86</v>
      </c>
      <c r="T11" s="3522">
        <f t="shared" si="0"/>
        <v>0.69912415880225776</v>
      </c>
      <c r="U11" s="3522">
        <v>458739.84</v>
      </c>
      <c r="V11" s="3522">
        <f t="shared" si="1"/>
        <v>320716.10474908235</v>
      </c>
      <c r="W11" s="3522">
        <f t="shared" si="2"/>
        <v>13688.267381522935</v>
      </c>
    </row>
  </sheetData>
  <mergeCells count="1">
    <mergeCell ref="L1:M1"/>
  </mergeCells>
  <phoneticPr fontId="140" type="noConversion"/>
  <dataValidations count="1">
    <dataValidation type="list" allowBlank="1" showInputMessage="1" showErrorMessage="1" sqref="F2:F9 F11">
      <formula1>"公开出让,协议出让,划拨"</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16" workbookViewId="0">
      <selection activeCell="D27" sqref="D27"/>
    </sheetView>
  </sheetViews>
  <sheetFormatPr defaultRowHeight="14.4"/>
  <cols>
    <col min="1" max="1" width="5.21875" customWidth="1"/>
    <col min="2" max="2" width="8.33203125" customWidth="1"/>
    <col min="3" max="3" width="7.77734375" customWidth="1"/>
    <col min="4" max="4" width="25.21875" customWidth="1"/>
    <col min="10" max="10" width="10.88671875" bestFit="1" customWidth="1"/>
  </cols>
  <sheetData>
    <row r="1" spans="1:13" s="3486" customFormat="1" ht="84">
      <c r="A1" s="3483" t="s">
        <v>3685</v>
      </c>
      <c r="B1" s="3483" t="s">
        <v>3686</v>
      </c>
      <c r="C1" s="3483" t="s">
        <v>3687</v>
      </c>
      <c r="D1" s="3483" t="s">
        <v>3688</v>
      </c>
      <c r="E1" s="3484" t="s">
        <v>3689</v>
      </c>
      <c r="F1" s="3485" t="s">
        <v>3690</v>
      </c>
      <c r="G1" s="3485" t="s">
        <v>3691</v>
      </c>
      <c r="H1" s="3485" t="s">
        <v>3692</v>
      </c>
      <c r="I1" s="3485" t="s">
        <v>3693</v>
      </c>
      <c r="J1" s="3485" t="s">
        <v>3694</v>
      </c>
      <c r="K1" s="3485" t="s">
        <v>3695</v>
      </c>
      <c r="L1" s="3485" t="s">
        <v>3696</v>
      </c>
    </row>
    <row r="2" spans="1:13" s="3486" customFormat="1" ht="13.2">
      <c r="A2" s="3483">
        <v>1</v>
      </c>
      <c r="B2" s="3483">
        <v>2021</v>
      </c>
      <c r="C2" s="3483">
        <v>11</v>
      </c>
      <c r="D2" s="3487" t="s">
        <v>3697</v>
      </c>
      <c r="E2" s="3483" t="s">
        <v>3698</v>
      </c>
      <c r="F2" s="3485">
        <v>468.28</v>
      </c>
      <c r="G2" s="3485"/>
      <c r="H2" s="3488">
        <f>819904368.58/10000</f>
        <v>81990.436858000001</v>
      </c>
      <c r="I2" s="3485">
        <f>7515400349.64/10000</f>
        <v>751540.03496399999</v>
      </c>
      <c r="J2" s="3489">
        <f>SUM(H2:I2)</f>
        <v>833530.47182199999</v>
      </c>
      <c r="K2" s="3489">
        <f t="shared" ref="K2:K7" si="0">J2/F2</f>
        <v>1779.9830695780304</v>
      </c>
      <c r="L2" s="3485" t="s">
        <v>3699</v>
      </c>
    </row>
    <row r="3" spans="1:13" s="3486" customFormat="1" ht="13.2">
      <c r="A3" s="3490">
        <v>2</v>
      </c>
      <c r="B3" s="3490">
        <v>2021</v>
      </c>
      <c r="C3" s="3490">
        <v>3</v>
      </c>
      <c r="D3" s="3491" t="s">
        <v>3700</v>
      </c>
      <c r="E3" s="3378" t="s">
        <v>3701</v>
      </c>
      <c r="F3" s="3492">
        <v>22.65</v>
      </c>
      <c r="G3" s="3492"/>
      <c r="H3" s="3492">
        <v>13508.16</v>
      </c>
      <c r="I3" s="3492">
        <v>254119.46</v>
      </c>
      <c r="J3" s="3493">
        <f>SUM(H3:I3)</f>
        <v>267627.62</v>
      </c>
      <c r="K3" s="3493">
        <f t="shared" si="0"/>
        <v>11815.788962472407</v>
      </c>
      <c r="L3" s="3492" t="s">
        <v>3699</v>
      </c>
    </row>
    <row r="4" spans="1:13" s="3486" customFormat="1" ht="109.2">
      <c r="A4" s="3483">
        <v>3</v>
      </c>
      <c r="B4" s="3483">
        <v>2021</v>
      </c>
      <c r="C4" s="3483">
        <v>7</v>
      </c>
      <c r="D4" s="3487" t="s">
        <v>3702</v>
      </c>
      <c r="E4" s="3494" t="s">
        <v>3703</v>
      </c>
      <c r="F4" s="3485">
        <v>50.75</v>
      </c>
      <c r="G4" s="3485"/>
      <c r="H4" s="3485">
        <v>27401.06</v>
      </c>
      <c r="I4" s="3485">
        <f>253764.03</f>
        <v>253764.03</v>
      </c>
      <c r="J4" s="3489">
        <f>SUM(H4:I4)</f>
        <v>281165.09000000003</v>
      </c>
      <c r="K4" s="3489">
        <f t="shared" si="0"/>
        <v>5540.1988177339908</v>
      </c>
      <c r="L4" s="3484" t="s">
        <v>3704</v>
      </c>
    </row>
    <row r="5" spans="1:13" s="3486" customFormat="1" ht="24">
      <c r="A5" s="3483">
        <v>4</v>
      </c>
      <c r="B5" s="3483">
        <v>2021</v>
      </c>
      <c r="C5" s="3483">
        <v>3</v>
      </c>
      <c r="D5" s="3495" t="s">
        <v>3705</v>
      </c>
      <c r="E5" s="3485" t="s">
        <v>530</v>
      </c>
      <c r="F5" s="3483">
        <v>147.41</v>
      </c>
      <c r="G5" s="3483">
        <v>9.25</v>
      </c>
      <c r="H5" s="3483">
        <v>153400</v>
      </c>
      <c r="I5" s="3483">
        <v>445700</v>
      </c>
      <c r="J5" s="3483">
        <f>SUM(H5:I5)</f>
        <v>599100</v>
      </c>
      <c r="K5" s="3489">
        <f t="shared" si="0"/>
        <v>4064.1747506953398</v>
      </c>
      <c r="L5" s="3485" t="s">
        <v>3699</v>
      </c>
    </row>
    <row r="6" spans="1:13" s="3486" customFormat="1" ht="37.200000000000003">
      <c r="A6" s="3483">
        <v>5</v>
      </c>
      <c r="B6" s="3496">
        <v>2021</v>
      </c>
      <c r="C6" s="3496"/>
      <c r="D6" s="3495" t="s">
        <v>3706</v>
      </c>
      <c r="E6" s="3485" t="s">
        <v>530</v>
      </c>
      <c r="F6" s="3483">
        <v>14.27</v>
      </c>
      <c r="G6" s="3483">
        <v>0</v>
      </c>
      <c r="H6" s="3483">
        <v>27745.940999999999</v>
      </c>
      <c r="I6" s="3483">
        <v>80611.956999999995</v>
      </c>
      <c r="J6" s="3483">
        <v>108357.898</v>
      </c>
      <c r="K6" s="3489">
        <f t="shared" si="0"/>
        <v>7593.4056061667834</v>
      </c>
      <c r="L6" s="3485" t="s">
        <v>3699</v>
      </c>
    </row>
    <row r="7" spans="1:13" s="3486" customFormat="1" ht="74.400000000000006">
      <c r="A7" s="3483">
        <v>6</v>
      </c>
      <c r="B7" s="3483">
        <v>2020</v>
      </c>
      <c r="C7" s="3483">
        <v>10</v>
      </c>
      <c r="D7" s="3487" t="s">
        <v>3707</v>
      </c>
      <c r="E7" s="3494" t="s">
        <v>3708</v>
      </c>
      <c r="F7" s="3485">
        <v>8.4600000000000009</v>
      </c>
      <c r="G7" s="3485"/>
      <c r="H7" s="3485">
        <v>110467.13</v>
      </c>
      <c r="I7" s="3485">
        <v>52283.35</v>
      </c>
      <c r="J7" s="3489">
        <f>SUM(H7:I7)</f>
        <v>162750.48000000001</v>
      </c>
      <c r="K7" s="3489">
        <f t="shared" si="0"/>
        <v>19237.64539007092</v>
      </c>
      <c r="L7" s="3485" t="s">
        <v>3709</v>
      </c>
    </row>
    <row r="8" spans="1:13" s="3486" customFormat="1" ht="24">
      <c r="A8" s="3483">
        <v>7</v>
      </c>
      <c r="B8" s="3485">
        <v>2020</v>
      </c>
      <c r="C8" s="3485">
        <v>9</v>
      </c>
      <c r="D8" s="3495" t="s">
        <v>3710</v>
      </c>
      <c r="E8" s="3495"/>
      <c r="F8" s="3485">
        <f>318-G8</f>
        <v>140</v>
      </c>
      <c r="G8" s="3485">
        <v>178</v>
      </c>
      <c r="H8" s="3485">
        <v>143896.98000000001</v>
      </c>
      <c r="I8" s="3485">
        <f>603585.19+193504.07</f>
        <v>797089.26</v>
      </c>
      <c r="J8" s="3485">
        <f>SUM(H8:I8)</f>
        <v>940986.24</v>
      </c>
      <c r="K8" s="3489">
        <f>H8/F8+I8/(F8+G8)</f>
        <v>3534.4055714285714</v>
      </c>
      <c r="L8" s="3485" t="s">
        <v>3699</v>
      </c>
    </row>
    <row r="9" spans="1:13" s="3486" customFormat="1" ht="24">
      <c r="A9" s="3490">
        <v>8</v>
      </c>
      <c r="B9" s="3492">
        <v>2019</v>
      </c>
      <c r="C9" s="3492">
        <v>1</v>
      </c>
      <c r="D9" s="3497" t="s">
        <v>3711</v>
      </c>
      <c r="E9" s="3492" t="s">
        <v>3712</v>
      </c>
      <c r="F9" s="3492">
        <v>50.75</v>
      </c>
      <c r="G9" s="3492"/>
      <c r="H9" s="3492"/>
      <c r="I9" s="3492"/>
      <c r="J9" s="3492">
        <f>K9*F9</f>
        <v>595087.39500000002</v>
      </c>
      <c r="K9" s="3493">
        <v>11725.86</v>
      </c>
      <c r="L9" s="3492"/>
    </row>
    <row r="10" spans="1:13" s="3486" customFormat="1" ht="13.2">
      <c r="A10" s="3483">
        <v>9</v>
      </c>
      <c r="B10" s="3485">
        <v>2019</v>
      </c>
      <c r="C10" s="3485">
        <v>1</v>
      </c>
      <c r="D10" s="3518" t="s">
        <v>3764</v>
      </c>
      <c r="E10" s="3495"/>
      <c r="F10" s="3485">
        <v>98.44</v>
      </c>
      <c r="G10" s="3485"/>
      <c r="H10" s="3485"/>
      <c r="I10" s="3485"/>
      <c r="J10" s="3485"/>
      <c r="K10" s="3489">
        <v>2649.61</v>
      </c>
      <c r="L10" s="3485"/>
    </row>
    <row r="11" spans="1:13" s="3486" customFormat="1" ht="25.2">
      <c r="A11" s="3483">
        <v>10</v>
      </c>
      <c r="B11" s="3485">
        <v>2019</v>
      </c>
      <c r="C11" s="3485">
        <v>1</v>
      </c>
      <c r="D11" s="3495" t="s">
        <v>3713</v>
      </c>
      <c r="E11" s="3483" t="s">
        <v>3714</v>
      </c>
      <c r="F11" s="3485">
        <v>12.82</v>
      </c>
      <c r="G11" s="3485"/>
      <c r="H11" s="3485"/>
      <c r="I11" s="3485"/>
      <c r="J11" s="3485"/>
      <c r="K11" s="3489">
        <v>39148.75</v>
      </c>
      <c r="L11" s="3485"/>
    </row>
    <row r="12" spans="1:13" s="3486" customFormat="1" ht="25.2">
      <c r="A12" s="3483">
        <v>11</v>
      </c>
      <c r="B12" s="3485">
        <v>2018</v>
      </c>
      <c r="C12" s="3485">
        <v>9</v>
      </c>
      <c r="D12" s="3495" t="s">
        <v>3715</v>
      </c>
      <c r="E12" s="3483" t="s">
        <v>3698</v>
      </c>
      <c r="F12" s="3485">
        <v>61.82</v>
      </c>
      <c r="G12" s="3485">
        <v>0</v>
      </c>
      <c r="H12" s="3485">
        <v>42500</v>
      </c>
      <c r="I12" s="3485">
        <v>153700</v>
      </c>
      <c r="J12" s="3485">
        <f>SUM(H12:I12)</f>
        <v>196200</v>
      </c>
      <c r="K12" s="3489">
        <f>J12/F12</f>
        <v>3173.7301844063409</v>
      </c>
      <c r="L12" s="3485"/>
    </row>
    <row r="13" spans="1:13" s="3514" customFormat="1" ht="24">
      <c r="A13" s="3503">
        <v>12</v>
      </c>
      <c r="B13" s="3506">
        <v>2018</v>
      </c>
      <c r="C13" s="3506">
        <v>3</v>
      </c>
      <c r="D13" s="3504" t="s">
        <v>3716</v>
      </c>
      <c r="E13" s="3503" t="s">
        <v>3714</v>
      </c>
      <c r="F13" s="3506">
        <v>252.99</v>
      </c>
      <c r="G13" s="3506"/>
      <c r="H13" s="3506"/>
      <c r="I13" s="3506"/>
      <c r="J13" s="3506"/>
      <c r="K13" s="3505">
        <v>7132.82</v>
      </c>
      <c r="L13" s="3506"/>
    </row>
    <row r="14" spans="1:13" s="3515" customFormat="1" ht="13.2">
      <c r="A14" s="3498">
        <v>13</v>
      </c>
      <c r="B14" s="3499">
        <v>2018</v>
      </c>
      <c r="C14" s="3499">
        <v>2</v>
      </c>
      <c r="D14" s="3500" t="s">
        <v>3717</v>
      </c>
      <c r="E14" s="3502"/>
      <c r="F14" s="3499">
        <v>93.71</v>
      </c>
      <c r="G14" s="3499"/>
      <c r="H14" s="3499"/>
      <c r="I14" s="3499"/>
      <c r="J14" s="3499">
        <f>K14*F14</f>
        <v>1017422.5893999998</v>
      </c>
      <c r="K14" s="3501">
        <v>10857.14</v>
      </c>
      <c r="L14" s="3499"/>
    </row>
    <row r="15" spans="1:13" s="3514" customFormat="1" ht="24">
      <c r="A15" s="3498">
        <v>14</v>
      </c>
      <c r="B15" s="3499">
        <v>2018</v>
      </c>
      <c r="C15" s="3499">
        <v>2</v>
      </c>
      <c r="D15" s="3500" t="s">
        <v>3718</v>
      </c>
      <c r="E15" s="3498" t="s">
        <v>3698</v>
      </c>
      <c r="F15" s="3499">
        <v>61.82</v>
      </c>
      <c r="G15" s="3499"/>
      <c r="H15" s="3499"/>
      <c r="I15" s="3499"/>
      <c r="J15" s="3499"/>
      <c r="K15" s="3501">
        <v>3331.71</v>
      </c>
      <c r="L15" s="3499"/>
      <c r="M15" s="3515"/>
    </row>
    <row r="16" spans="1:13" s="3514" customFormat="1" ht="49.2">
      <c r="A16" s="3503">
        <v>15</v>
      </c>
      <c r="B16" s="3503">
        <v>2018</v>
      </c>
      <c r="C16" s="3503">
        <v>2</v>
      </c>
      <c r="D16" s="3511" t="s">
        <v>3761</v>
      </c>
      <c r="E16" s="3512" t="s">
        <v>3708</v>
      </c>
      <c r="F16" s="3503">
        <v>66.48</v>
      </c>
      <c r="G16" s="3516"/>
      <c r="H16" s="3503">
        <v>52052</v>
      </c>
      <c r="I16" s="3503">
        <v>407351</v>
      </c>
      <c r="J16" s="3503">
        <f>SUM(H16:I16)</f>
        <v>459403</v>
      </c>
      <c r="K16" s="3505">
        <f>J16/F16</f>
        <v>6910.3941034897707</v>
      </c>
      <c r="L16" s="3506" t="s">
        <v>3719</v>
      </c>
    </row>
    <row r="17" spans="1:12" s="3514" customFormat="1" ht="74.400000000000006">
      <c r="A17" s="3503">
        <v>16</v>
      </c>
      <c r="B17" s="3503">
        <v>2018</v>
      </c>
      <c r="C17" s="3506" t="s">
        <v>3762</v>
      </c>
      <c r="D17" s="3504" t="s">
        <v>3760</v>
      </c>
      <c r="E17" s="3503" t="s">
        <v>3714</v>
      </c>
      <c r="F17" s="3503">
        <v>73.94</v>
      </c>
      <c r="G17" s="3516"/>
      <c r="H17" s="3503">
        <v>60390.559999999998</v>
      </c>
      <c r="I17" s="3503">
        <v>332302.90999999997</v>
      </c>
      <c r="J17" s="3503">
        <f>SUM(H17:I17)</f>
        <v>392693.47</v>
      </c>
      <c r="K17" s="3505">
        <f>J17/F17</f>
        <v>5310.9747092236948</v>
      </c>
      <c r="L17" s="3513" t="s">
        <v>3763</v>
      </c>
    </row>
    <row r="18" spans="1:12" s="3515" customFormat="1" ht="13.2">
      <c r="A18" s="3498">
        <v>17</v>
      </c>
      <c r="B18" s="3498">
        <v>2018</v>
      </c>
      <c r="C18" s="3498">
        <v>3</v>
      </c>
      <c r="D18" s="3502" t="s">
        <v>3720</v>
      </c>
      <c r="E18" s="3498" t="s">
        <v>3714</v>
      </c>
      <c r="F18" s="3498">
        <v>214.34</v>
      </c>
      <c r="G18" s="3517"/>
      <c r="H18" s="3498">
        <v>410518</v>
      </c>
      <c r="I18" s="3498">
        <v>1480680.08</v>
      </c>
      <c r="J18" s="3498">
        <f>SUM(H18:I18)</f>
        <v>1891198.08</v>
      </c>
      <c r="K18" s="3501">
        <f>J18/F18</f>
        <v>8823.3557898665676</v>
      </c>
      <c r="L18" s="3499"/>
    </row>
    <row r="19" spans="1:12" s="3486" customFormat="1" ht="38.4">
      <c r="A19" s="3483">
        <v>18</v>
      </c>
      <c r="B19" s="3483">
        <v>2018</v>
      </c>
      <c r="C19" s="3496">
        <v>8</v>
      </c>
      <c r="D19" s="3495" t="s">
        <v>3721</v>
      </c>
      <c r="E19" s="3483" t="s">
        <v>3714</v>
      </c>
      <c r="F19" s="3507"/>
      <c r="G19" s="3508"/>
      <c r="H19" s="3507"/>
      <c r="I19" s="3507"/>
      <c r="J19" s="3507"/>
      <c r="K19" s="3509">
        <v>7458.7</v>
      </c>
      <c r="L19" s="3485"/>
    </row>
    <row r="20" spans="1:12" s="3486" customFormat="1" ht="24">
      <c r="A20" s="3483">
        <v>19</v>
      </c>
      <c r="B20" s="3483">
        <v>2018</v>
      </c>
      <c r="C20" s="3496"/>
      <c r="D20" s="3495" t="s">
        <v>3722</v>
      </c>
      <c r="E20" s="3483" t="s">
        <v>3714</v>
      </c>
      <c r="F20" s="3483">
        <v>22.71</v>
      </c>
      <c r="G20" s="3508"/>
      <c r="H20" s="3483">
        <v>51633.43</v>
      </c>
      <c r="I20" s="3483">
        <v>13738.56</v>
      </c>
      <c r="J20" s="3483">
        <f>SUM(H20:I20)</f>
        <v>65371.99</v>
      </c>
      <c r="K20" s="3489">
        <f>J20/F20</f>
        <v>2878.555261999119</v>
      </c>
      <c r="L20" s="3485"/>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7" customWidth="1"/>
    <col min="2" max="9" width="12.109375" style="1627" customWidth="1"/>
    <col min="10" max="16384" width="9" style="1627"/>
  </cols>
  <sheetData>
    <row r="1" spans="1:9" ht="18"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1546</v>
      </c>
      <c r="B2" s="3572" t="s">
        <v>1547</v>
      </c>
      <c r="C2" s="3572" t="s">
        <v>1548</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6">
      <c r="A3" s="3566"/>
      <c r="B3" s="3566"/>
      <c r="C3" s="3566"/>
      <c r="D3" s="960" t="s">
        <v>1543</v>
      </c>
      <c r="E3" s="960" t="s">
        <v>1549</v>
      </c>
      <c r="F3" s="960" t="s">
        <v>1543</v>
      </c>
      <c r="G3" s="960" t="s">
        <v>1544</v>
      </c>
      <c r="H3" s="960" t="s">
        <v>1543</v>
      </c>
      <c r="I3" s="960" t="s">
        <v>1544</v>
      </c>
    </row>
    <row r="4" spans="1:9" ht="15">
      <c r="A4" s="1655" t="str">
        <f>项目基本情况!S2</f>
        <v>北京市房地产</v>
      </c>
      <c r="B4" s="960">
        <f>项目基本情况!C17</f>
        <v>50449</v>
      </c>
      <c r="C4" s="960">
        <f>项目基本情况!C18</f>
        <v>21500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566" t="s">
        <v>1545</v>
      </c>
      <c r="B5" s="3566"/>
      <c r="C5" s="3566"/>
      <c r="D5" s="3567" t="e">
        <f ca="1">结果表!D119</f>
        <v>#REF!</v>
      </c>
      <c r="E5" s="3567"/>
      <c r="F5" s="3567" t="e">
        <f ca="1">结果表!F119</f>
        <v>#REF!</v>
      </c>
      <c r="G5" s="3567"/>
      <c r="H5" s="3567" t="e">
        <f ca="1">结果表!H119</f>
        <v>#REF!</v>
      </c>
      <c r="I5" s="3567"/>
    </row>
    <row r="6" spans="1:9" ht="15.6">
      <c r="A6" s="3565" t="str">
        <f>结果表!A120</f>
        <v/>
      </c>
      <c r="B6" s="3565"/>
      <c r="C6" s="3565"/>
      <c r="D6" s="3565">
        <f>结果表!D120</f>
        <v>0</v>
      </c>
      <c r="E6" s="3565"/>
      <c r="F6" s="3565"/>
      <c r="G6" s="3565"/>
      <c r="H6" s="3565"/>
      <c r="I6" s="3565"/>
    </row>
    <row r="7" spans="1:9" ht="15">
      <c r="A7" s="3566" t="s">
        <v>1545</v>
      </c>
      <c r="B7" s="3566"/>
      <c r="C7" s="3566"/>
      <c r="D7" s="3568" t="str">
        <f>结果表!D121</f>
        <v>零元整</v>
      </c>
      <c r="E7" s="3569"/>
      <c r="F7" s="3569"/>
      <c r="G7" s="3569"/>
      <c r="H7" s="3569"/>
      <c r="I7" s="3570"/>
    </row>
    <row r="8" spans="1:9" ht="15.6">
      <c r="A8" s="3565" t="str">
        <f>结果表!A122</f>
        <v/>
      </c>
      <c r="B8" s="3565"/>
      <c r="C8" s="3565"/>
      <c r="D8" s="3565" t="e">
        <f ca="1">结果表!D122</f>
        <v>#REF!</v>
      </c>
      <c r="E8" s="3565"/>
      <c r="F8" s="3565"/>
      <c r="G8" s="3565"/>
      <c r="H8" s="3565"/>
      <c r="I8" s="3565"/>
    </row>
    <row r="9" spans="1:9" ht="15">
      <c r="A9" s="3566" t="s">
        <v>1545</v>
      </c>
      <c r="B9" s="3566"/>
      <c r="C9" s="3566"/>
      <c r="D9" s="3567" t="e">
        <f ca="1">结果表!D123</f>
        <v>#REF!</v>
      </c>
      <c r="E9" s="3567"/>
      <c r="F9" s="3567"/>
      <c r="G9" s="3567"/>
      <c r="H9" s="3567"/>
      <c r="I9" s="3567"/>
    </row>
    <row r="10" spans="1:9" ht="15.6">
      <c r="A10" s="3565" t="str">
        <f>结果表!A124</f>
        <v/>
      </c>
      <c r="B10" s="3565"/>
      <c r="C10" s="3565"/>
      <c r="D10" s="3565" t="str">
        <f>结果表!D124</f>
        <v>——</v>
      </c>
      <c r="E10" s="3565"/>
      <c r="F10" s="3565"/>
      <c r="G10" s="3565"/>
      <c r="H10" s="3565"/>
      <c r="I10" s="3565"/>
    </row>
    <row r="11" spans="1:9" ht="15">
      <c r="A11" s="3566" t="s">
        <v>1545</v>
      </c>
      <c r="B11" s="3566"/>
      <c r="C11" s="3566"/>
      <c r="D11" s="3567" t="e">
        <f>结果表!D125</f>
        <v>#VALUE!</v>
      </c>
      <c r="E11" s="3567"/>
      <c r="F11" s="3567"/>
      <c r="G11" s="3567"/>
      <c r="H11" s="3567"/>
      <c r="I11" s="3567"/>
    </row>
    <row r="12" spans="1:9" ht="15.6">
      <c r="A12" s="3565" t="str">
        <f>结果表!A126</f>
        <v/>
      </c>
      <c r="B12" s="3565"/>
      <c r="C12" s="3565"/>
      <c r="D12" s="3565" t="str">
        <f>结果表!D126</f>
        <v>——</v>
      </c>
      <c r="E12" s="3565"/>
      <c r="F12" s="3565"/>
      <c r="G12" s="3565"/>
      <c r="H12" s="3565"/>
      <c r="I12" s="3565"/>
    </row>
    <row r="13" spans="1:9" ht="15.6" thickBot="1">
      <c r="A13" s="3562" t="s">
        <v>1545</v>
      </c>
      <c r="B13" s="3562"/>
      <c r="C13" s="3562"/>
      <c r="D13" s="3563" t="e">
        <f>结果表!D127</f>
        <v>#VALUE!</v>
      </c>
      <c r="E13" s="3563"/>
      <c r="F13" s="3563"/>
      <c r="G13" s="3563"/>
      <c r="H13" s="3563"/>
      <c r="I13" s="3563"/>
    </row>
    <row r="14" spans="1:9" ht="14.4" thickTop="1">
      <c r="A14" s="3564" t="s">
        <v>1550</v>
      </c>
      <c r="B14" s="3564"/>
      <c r="C14" s="3564"/>
      <c r="D14" s="3564"/>
      <c r="E14" s="3564"/>
      <c r="F14" s="3564"/>
      <c r="G14" s="3564"/>
      <c r="H14" s="3564"/>
      <c r="I14" s="3564"/>
    </row>
    <row r="16" spans="1:9" ht="17.399999999999999">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J28" sqref="J28"/>
    </sheetView>
  </sheetViews>
  <sheetFormatPr defaultColWidth="9" defaultRowHeight="14.4"/>
  <cols>
    <col min="1" max="1" width="2.21875" style="3220" customWidth="1"/>
    <col min="2" max="2" width="6.109375" style="3220" customWidth="1"/>
    <col min="3" max="3" width="6.33203125" style="3220" customWidth="1"/>
    <col min="4" max="4" width="0" style="3220" hidden="1" customWidth="1"/>
    <col min="5" max="5" width="6.44140625" style="3220" customWidth="1"/>
    <col min="6" max="6" width="6.88671875" style="3220" customWidth="1"/>
    <col min="7" max="7" width="15.109375" style="3220" customWidth="1"/>
    <col min="8" max="8" width="8.77734375" style="3220" customWidth="1"/>
    <col min="9" max="9" width="4.33203125" style="3220" customWidth="1"/>
    <col min="10" max="10" width="9" style="3220"/>
    <col min="11" max="11" width="19.33203125" style="3220" customWidth="1"/>
    <col min="12" max="12" width="8.21875" style="3220" customWidth="1"/>
    <col min="13" max="13" width="12.88671875" style="3220" customWidth="1"/>
    <col min="14" max="14" width="13" style="3220" customWidth="1"/>
    <col min="15" max="15" width="0" style="3220" hidden="1" customWidth="1"/>
    <col min="16" max="16" width="9.77734375" style="3220" customWidth="1"/>
    <col min="17" max="18" width="11.33203125" style="3220" customWidth="1"/>
    <col min="19" max="19" width="9" style="3220"/>
    <col min="20" max="20" width="12.77734375" style="3220" bestFit="1" customWidth="1"/>
    <col min="21" max="16384" width="9" style="3220"/>
  </cols>
  <sheetData>
    <row r="1" spans="2:18" ht="21.6">
      <c r="B1" s="3872" t="s">
        <v>3189</v>
      </c>
      <c r="C1" s="3873"/>
      <c r="D1" s="3873"/>
      <c r="E1" s="3873"/>
      <c r="F1" s="3873"/>
      <c r="G1" s="3873"/>
      <c r="H1" s="3873"/>
      <c r="I1" s="3873"/>
      <c r="J1" s="3873"/>
      <c r="K1" s="3873"/>
      <c r="L1" s="3873"/>
      <c r="M1" s="3873"/>
      <c r="N1" s="3873"/>
      <c r="O1" s="3227" t="s">
        <v>3190</v>
      </c>
      <c r="P1" s="3227"/>
    </row>
    <row r="2" spans="2:18">
      <c r="B2" s="3870" t="s">
        <v>3191</v>
      </c>
      <c r="C2" s="3870" t="s">
        <v>3192</v>
      </c>
      <c r="D2" s="3870" t="s">
        <v>3193</v>
      </c>
      <c r="E2" s="3874" t="s">
        <v>609</v>
      </c>
      <c r="F2" s="3874" t="s">
        <v>3194</v>
      </c>
      <c r="G2" s="3870" t="s">
        <v>3195</v>
      </c>
      <c r="H2" s="3870" t="s">
        <v>3196</v>
      </c>
      <c r="I2" s="3870" t="s">
        <v>3197</v>
      </c>
      <c r="J2" s="3870" t="s">
        <v>3198</v>
      </c>
      <c r="K2" s="3870" t="s">
        <v>3199</v>
      </c>
      <c r="L2" s="3871" t="s">
        <v>3200</v>
      </c>
      <c r="M2" s="3871" t="s">
        <v>3201</v>
      </c>
      <c r="N2" s="3871"/>
      <c r="O2" s="3227"/>
      <c r="P2" s="3227"/>
    </row>
    <row r="3" spans="2:18" ht="21.6">
      <c r="B3" s="3870"/>
      <c r="C3" s="3870"/>
      <c r="D3" s="3870"/>
      <c r="E3" s="3874"/>
      <c r="F3" s="3874"/>
      <c r="G3" s="3870"/>
      <c r="H3" s="3870"/>
      <c r="I3" s="3870"/>
      <c r="J3" s="3870"/>
      <c r="K3" s="3870"/>
      <c r="L3" s="3871"/>
      <c r="M3" s="3228" t="s">
        <v>3202</v>
      </c>
      <c r="N3" s="3228" t="s">
        <v>3203</v>
      </c>
      <c r="O3" s="3227" t="s">
        <v>3204</v>
      </c>
      <c r="P3" s="3227" t="s">
        <v>3205</v>
      </c>
      <c r="R3" s="3220" t="s">
        <v>3397</v>
      </c>
    </row>
    <row r="4" spans="2:18" ht="108" hidden="1">
      <c r="B4" s="3229">
        <v>2016</v>
      </c>
      <c r="C4" s="3222" t="s">
        <v>3206</v>
      </c>
      <c r="D4" s="3222" t="s">
        <v>3207</v>
      </c>
      <c r="E4" s="3218" t="s">
        <v>3208</v>
      </c>
      <c r="F4" s="3218" t="s">
        <v>3209</v>
      </c>
      <c r="G4" s="3230" t="s">
        <v>3210</v>
      </c>
      <c r="H4" s="3218" t="s">
        <v>3211</v>
      </c>
      <c r="I4" s="3218" t="s">
        <v>3212</v>
      </c>
      <c r="J4" s="3218" t="s">
        <v>185</v>
      </c>
      <c r="K4" s="3218" t="s">
        <v>3213</v>
      </c>
      <c r="L4" s="3231">
        <v>16.73</v>
      </c>
      <c r="M4" s="3218">
        <v>15586.51</v>
      </c>
      <c r="N4" s="3218">
        <v>24154.36</v>
      </c>
      <c r="O4" s="3219"/>
      <c r="P4" s="3219">
        <f>ROUND((N4+M4)/L4,2)</f>
        <v>2375.4299999999998</v>
      </c>
    </row>
    <row r="5" spans="2:18" ht="108" hidden="1">
      <c r="B5" s="3229">
        <v>2016</v>
      </c>
      <c r="C5" s="3222" t="s">
        <v>3206</v>
      </c>
      <c r="D5" s="3222" t="s">
        <v>3207</v>
      </c>
      <c r="E5" s="3218" t="s">
        <v>3208</v>
      </c>
      <c r="F5" s="3218" t="s">
        <v>3209</v>
      </c>
      <c r="G5" s="3230" t="s">
        <v>3214</v>
      </c>
      <c r="H5" s="3218" t="s">
        <v>3211</v>
      </c>
      <c r="I5" s="3218" t="s">
        <v>3212</v>
      </c>
      <c r="J5" s="3218" t="s">
        <v>3215</v>
      </c>
      <c r="K5" s="3218" t="s">
        <v>3213</v>
      </c>
      <c r="L5" s="3215">
        <v>39.770000000000003</v>
      </c>
      <c r="M5" s="3218">
        <v>17716.41</v>
      </c>
      <c r="N5" s="3218">
        <v>2390.64</v>
      </c>
      <c r="O5" s="3219"/>
      <c r="P5" s="3219">
        <f t="shared" ref="P5:P32" si="0">ROUND((N5+M5)/L5,2)</f>
        <v>505.58</v>
      </c>
    </row>
    <row r="6" spans="2:18" ht="168" hidden="1">
      <c r="B6" s="3229">
        <v>2016</v>
      </c>
      <c r="C6" s="3222" t="s">
        <v>3206</v>
      </c>
      <c r="D6" s="3222" t="s">
        <v>3207</v>
      </c>
      <c r="E6" s="3218" t="s">
        <v>3208</v>
      </c>
      <c r="F6" s="3232" t="s">
        <v>3216</v>
      </c>
      <c r="G6" s="3230" t="s">
        <v>3217</v>
      </c>
      <c r="H6" s="3232" t="s">
        <v>3218</v>
      </c>
      <c r="I6" s="3232" t="s">
        <v>3212</v>
      </c>
      <c r="J6" s="3232" t="s">
        <v>3219</v>
      </c>
      <c r="K6" s="3218" t="s">
        <v>3220</v>
      </c>
      <c r="L6" s="3215">
        <v>663.6</v>
      </c>
      <c r="M6" s="3218">
        <v>191909.86</v>
      </c>
      <c r="N6" s="3218">
        <v>204137.8</v>
      </c>
      <c r="O6" s="3219"/>
      <c r="P6" s="3219">
        <f t="shared" si="0"/>
        <v>596.82000000000005</v>
      </c>
    </row>
    <row r="7" spans="2:18" ht="144" hidden="1">
      <c r="B7" s="3229">
        <v>2016</v>
      </c>
      <c r="C7" s="3222" t="s">
        <v>3221</v>
      </c>
      <c r="D7" s="3222" t="s">
        <v>3222</v>
      </c>
      <c r="E7" s="3233" t="s">
        <v>3208</v>
      </c>
      <c r="F7" s="3233" t="s">
        <v>3216</v>
      </c>
      <c r="G7" s="3230" t="s">
        <v>3223</v>
      </c>
      <c r="H7" s="3234" t="s">
        <v>3224</v>
      </c>
      <c r="I7" s="3233" t="s">
        <v>3225</v>
      </c>
      <c r="J7" s="3233" t="s">
        <v>3226</v>
      </c>
      <c r="K7" s="3233" t="s">
        <v>3227</v>
      </c>
      <c r="L7" s="3215">
        <v>129.57</v>
      </c>
      <c r="M7" s="3218">
        <v>122822.85</v>
      </c>
      <c r="N7" s="3218">
        <v>403475</v>
      </c>
      <c r="O7" s="3219"/>
      <c r="P7" s="3219">
        <f t="shared" si="0"/>
        <v>4061.88</v>
      </c>
    </row>
    <row r="8" spans="2:18" ht="144" hidden="1">
      <c r="B8" s="3229">
        <v>2017</v>
      </c>
      <c r="C8" s="3223" t="s">
        <v>3228</v>
      </c>
      <c r="D8" s="3223" t="s">
        <v>3229</v>
      </c>
      <c r="E8" s="3233" t="s">
        <v>3208</v>
      </c>
      <c r="F8" s="3233" t="s">
        <v>3216</v>
      </c>
      <c r="G8" s="3230" t="s">
        <v>3230</v>
      </c>
      <c r="H8" s="3234" t="s">
        <v>3224</v>
      </c>
      <c r="I8" s="3233" t="s">
        <v>3225</v>
      </c>
      <c r="J8" s="3233" t="s">
        <v>3231</v>
      </c>
      <c r="K8" s="3232" t="s">
        <v>3232</v>
      </c>
      <c r="L8" s="3215">
        <v>34.26</v>
      </c>
      <c r="M8" s="3218">
        <v>38931.19</v>
      </c>
      <c r="N8" s="3218">
        <v>64775.53</v>
      </c>
      <c r="O8" s="3225"/>
      <c r="P8" s="3219">
        <f t="shared" si="0"/>
        <v>3027.05</v>
      </c>
    </row>
    <row r="9" spans="2:18" ht="144" hidden="1">
      <c r="B9" s="3229">
        <v>2017</v>
      </c>
      <c r="C9" s="3223" t="s">
        <v>3228</v>
      </c>
      <c r="D9" s="3223" t="s">
        <v>3229</v>
      </c>
      <c r="E9" s="3233" t="s">
        <v>3208</v>
      </c>
      <c r="F9" s="3233" t="s">
        <v>3216</v>
      </c>
      <c r="G9" s="3230" t="s">
        <v>3233</v>
      </c>
      <c r="H9" s="3233" t="s">
        <v>3224</v>
      </c>
      <c r="I9" s="3233" t="s">
        <v>3225</v>
      </c>
      <c r="J9" s="3233" t="s">
        <v>185</v>
      </c>
      <c r="K9" s="3233" t="s">
        <v>3234</v>
      </c>
      <c r="L9" s="3215">
        <v>51.07</v>
      </c>
      <c r="M9" s="3218">
        <v>33012.44</v>
      </c>
      <c r="N9" s="3218">
        <v>46402.36</v>
      </c>
      <c r="O9" s="3225"/>
      <c r="P9" s="3219">
        <f t="shared" si="0"/>
        <v>1555.02</v>
      </c>
    </row>
    <row r="10" spans="2:18" ht="108" hidden="1">
      <c r="B10" s="3229">
        <v>2017</v>
      </c>
      <c r="C10" s="3223" t="s">
        <v>3228</v>
      </c>
      <c r="D10" s="3223" t="s">
        <v>3229</v>
      </c>
      <c r="E10" s="3234" t="s">
        <v>3235</v>
      </c>
      <c r="F10" s="3234" t="s">
        <v>3216</v>
      </c>
      <c r="G10" s="3230" t="s">
        <v>3236</v>
      </c>
      <c r="H10" s="3234" t="s">
        <v>3237</v>
      </c>
      <c r="I10" s="3234" t="s">
        <v>3212</v>
      </c>
      <c r="J10" s="3234" t="s">
        <v>3238</v>
      </c>
      <c r="K10" s="3234" t="s">
        <v>3239</v>
      </c>
      <c r="L10" s="3218">
        <v>96.99</v>
      </c>
      <c r="M10" s="3218">
        <v>51676.39</v>
      </c>
      <c r="N10" s="3218">
        <v>172115.08</v>
      </c>
      <c r="O10" s="3225">
        <f>ROUND((M10+N10)/(L10*15),0)</f>
        <v>154</v>
      </c>
      <c r="P10" s="3219">
        <f t="shared" si="0"/>
        <v>2307.37</v>
      </c>
    </row>
    <row r="11" spans="2:18" ht="132" hidden="1">
      <c r="B11" s="3229">
        <v>2017</v>
      </c>
      <c r="C11" s="3223" t="s">
        <v>3228</v>
      </c>
      <c r="D11" s="3223" t="s">
        <v>3229</v>
      </c>
      <c r="E11" s="3234" t="s">
        <v>3235</v>
      </c>
      <c r="F11" s="3234" t="s">
        <v>3216</v>
      </c>
      <c r="G11" s="3230" t="s">
        <v>3240</v>
      </c>
      <c r="H11" s="3234" t="s">
        <v>3241</v>
      </c>
      <c r="I11" s="3234" t="s">
        <v>3212</v>
      </c>
      <c r="J11" s="3234" t="s">
        <v>3242</v>
      </c>
      <c r="K11" s="3218" t="s">
        <v>3243</v>
      </c>
      <c r="L11" s="3235">
        <v>49.52</v>
      </c>
      <c r="M11" s="3218">
        <v>25737.439999999999</v>
      </c>
      <c r="N11" s="3218">
        <v>180122.23999999999</v>
      </c>
      <c r="O11" s="3225">
        <f>ROUND((M11+N11)/(L11*15),0)</f>
        <v>277</v>
      </c>
      <c r="P11" s="3219">
        <f t="shared" si="0"/>
        <v>4157.1000000000004</v>
      </c>
    </row>
    <row r="12" spans="2:18" ht="84" hidden="1">
      <c r="B12" s="3229">
        <v>2017</v>
      </c>
      <c r="C12" s="3223" t="s">
        <v>3228</v>
      </c>
      <c r="D12" s="3223" t="s">
        <v>3229</v>
      </c>
      <c r="E12" s="3234" t="s">
        <v>3244</v>
      </c>
      <c r="F12" s="3234" t="s">
        <v>3216</v>
      </c>
      <c r="G12" s="3230" t="s">
        <v>3245</v>
      </c>
      <c r="H12" s="3234" t="s">
        <v>3246</v>
      </c>
      <c r="I12" s="3233" t="s">
        <v>3225</v>
      </c>
      <c r="J12" s="3234" t="s">
        <v>3247</v>
      </c>
      <c r="K12" s="3218" t="s">
        <v>3248</v>
      </c>
      <c r="L12" s="3215">
        <v>116.6</v>
      </c>
      <c r="M12" s="3218">
        <v>138739.75</v>
      </c>
      <c r="N12" s="3218">
        <v>441601.69</v>
      </c>
      <c r="O12" s="3225"/>
      <c r="P12" s="3219">
        <f t="shared" si="0"/>
        <v>4977.2</v>
      </c>
    </row>
    <row r="13" spans="2:18" ht="180" hidden="1">
      <c r="B13" s="3229">
        <v>2017</v>
      </c>
      <c r="C13" s="3233" t="s">
        <v>3249</v>
      </c>
      <c r="D13" s="3233" t="s">
        <v>3250</v>
      </c>
      <c r="E13" s="3233" t="s">
        <v>3251</v>
      </c>
      <c r="F13" s="3233" t="s">
        <v>3209</v>
      </c>
      <c r="G13" s="3234" t="s">
        <v>3252</v>
      </c>
      <c r="H13" s="3234" t="s">
        <v>3253</v>
      </c>
      <c r="I13" s="3234" t="s">
        <v>3212</v>
      </c>
      <c r="J13" s="3234" t="s">
        <v>3254</v>
      </c>
      <c r="K13" s="3218" t="s">
        <v>3255</v>
      </c>
      <c r="L13" s="3231">
        <v>33.36</v>
      </c>
      <c r="M13" s="3218">
        <v>16588.11</v>
      </c>
      <c r="N13" s="3218">
        <v>13953.2</v>
      </c>
      <c r="O13" s="3236"/>
      <c r="P13" s="3219">
        <f t="shared" si="0"/>
        <v>915.51</v>
      </c>
    </row>
    <row r="14" spans="2:18" ht="108" hidden="1">
      <c r="B14" s="3229">
        <v>2017</v>
      </c>
      <c r="C14" s="3214" t="s">
        <v>3256</v>
      </c>
      <c r="D14" s="3214" t="s">
        <v>3257</v>
      </c>
      <c r="E14" s="3234" t="s">
        <v>3235</v>
      </c>
      <c r="F14" s="3234" t="s">
        <v>3216</v>
      </c>
      <c r="G14" s="3233" t="s">
        <v>3258</v>
      </c>
      <c r="H14" s="3234" t="s">
        <v>3259</v>
      </c>
      <c r="I14" s="3234" t="s">
        <v>3212</v>
      </c>
      <c r="J14" s="3234" t="s">
        <v>3260</v>
      </c>
      <c r="K14" s="3234" t="s">
        <v>3261</v>
      </c>
      <c r="L14" s="3218">
        <v>19.994820000000001</v>
      </c>
      <c r="M14" s="3218">
        <v>4110.28</v>
      </c>
      <c r="N14" s="3218">
        <v>1634.87</v>
      </c>
      <c r="O14" s="3225">
        <f>ROUND((M14+N14)/(L14*15),0)</f>
        <v>19</v>
      </c>
      <c r="P14" s="3219">
        <f t="shared" si="0"/>
        <v>287.33</v>
      </c>
    </row>
    <row r="15" spans="2:18" ht="120" hidden="1">
      <c r="B15" s="3229">
        <v>2017</v>
      </c>
      <c r="C15" s="3223" t="s">
        <v>3262</v>
      </c>
      <c r="D15" s="3223" t="s">
        <v>3263</v>
      </c>
      <c r="E15" s="3234" t="s">
        <v>3264</v>
      </c>
      <c r="F15" s="3234" t="s">
        <v>3216</v>
      </c>
      <c r="G15" s="3234" t="s">
        <v>3265</v>
      </c>
      <c r="H15" s="3234" t="s">
        <v>3266</v>
      </c>
      <c r="I15" s="3234" t="s">
        <v>3225</v>
      </c>
      <c r="J15" s="3234" t="s">
        <v>3267</v>
      </c>
      <c r="K15" s="3218" t="s">
        <v>3268</v>
      </c>
      <c r="L15" s="3229">
        <v>72.180000000000007</v>
      </c>
      <c r="M15" s="3218">
        <v>20148.59</v>
      </c>
      <c r="N15" s="3218">
        <v>195592.13</v>
      </c>
      <c r="O15" s="3236"/>
      <c r="P15" s="3219">
        <f t="shared" si="0"/>
        <v>2988.93</v>
      </c>
    </row>
    <row r="16" spans="2:18" ht="204" hidden="1">
      <c r="B16" s="3229">
        <v>2017</v>
      </c>
      <c r="C16" s="3223" t="s">
        <v>3262</v>
      </c>
      <c r="D16" s="3223" t="s">
        <v>3263</v>
      </c>
      <c r="E16" s="3234" t="s">
        <v>3264</v>
      </c>
      <c r="F16" s="3234" t="s">
        <v>3216</v>
      </c>
      <c r="G16" s="3234" t="s">
        <v>3269</v>
      </c>
      <c r="H16" s="3234" t="s">
        <v>3270</v>
      </c>
      <c r="I16" s="3234" t="s">
        <v>3225</v>
      </c>
      <c r="J16" s="3234" t="s">
        <v>3271</v>
      </c>
      <c r="K16" s="3212" t="s">
        <v>3272</v>
      </c>
      <c r="L16" s="3215">
        <v>148.19999999999999</v>
      </c>
      <c r="M16" s="3218">
        <v>46469.07</v>
      </c>
      <c r="N16" s="3218">
        <v>462882.97</v>
      </c>
      <c r="O16" s="3236"/>
      <c r="P16" s="3219">
        <f t="shared" si="0"/>
        <v>3436.92</v>
      </c>
    </row>
    <row r="17" spans="1:18" ht="120" hidden="1">
      <c r="B17" s="3229">
        <v>2017</v>
      </c>
      <c r="C17" s="3214" t="s">
        <v>3273</v>
      </c>
      <c r="D17" s="3214" t="s">
        <v>3222</v>
      </c>
      <c r="E17" s="3234" t="s">
        <v>3274</v>
      </c>
      <c r="F17" s="3234" t="s">
        <v>3216</v>
      </c>
      <c r="G17" s="3234" t="s">
        <v>3275</v>
      </c>
      <c r="H17" s="3234" t="s">
        <v>3276</v>
      </c>
      <c r="I17" s="3234" t="s">
        <v>3225</v>
      </c>
      <c r="J17" s="3234" t="s">
        <v>3277</v>
      </c>
      <c r="K17" s="3234" t="s">
        <v>3278</v>
      </c>
      <c r="L17" s="3215">
        <v>89.78</v>
      </c>
      <c r="M17" s="3218">
        <v>52725.51</v>
      </c>
      <c r="N17" s="3218">
        <v>150160.9</v>
      </c>
      <c r="O17" s="3237"/>
      <c r="P17" s="3219">
        <f t="shared" si="0"/>
        <v>2259.8200000000002</v>
      </c>
    </row>
    <row r="18" spans="1:18" ht="192" hidden="1">
      <c r="B18" s="3229">
        <v>2017</v>
      </c>
      <c r="C18" s="3214" t="s">
        <v>3273</v>
      </c>
      <c r="D18" s="3214" t="s">
        <v>3222</v>
      </c>
      <c r="E18" s="3234" t="s">
        <v>3274</v>
      </c>
      <c r="F18" s="3234" t="s">
        <v>3216</v>
      </c>
      <c r="G18" s="3234" t="s">
        <v>3279</v>
      </c>
      <c r="H18" s="3234" t="s">
        <v>3280</v>
      </c>
      <c r="I18" s="3234" t="s">
        <v>3225</v>
      </c>
      <c r="J18" s="3234" t="s">
        <v>3281</v>
      </c>
      <c r="K18" s="3238" t="s">
        <v>3282</v>
      </c>
      <c r="L18" s="3215">
        <v>146.24</v>
      </c>
      <c r="M18" s="3218">
        <v>73331.179999999993</v>
      </c>
      <c r="N18" s="3218">
        <v>459399.64</v>
      </c>
      <c r="O18" s="3236"/>
      <c r="P18" s="3219">
        <f t="shared" si="0"/>
        <v>3642.85</v>
      </c>
    </row>
    <row r="19" spans="1:18" ht="120" hidden="1">
      <c r="B19" s="3229">
        <v>2017</v>
      </c>
      <c r="C19" s="3214" t="s">
        <v>3283</v>
      </c>
      <c r="D19" s="3214" t="s">
        <v>3222</v>
      </c>
      <c r="E19" s="3234" t="s">
        <v>3235</v>
      </c>
      <c r="F19" s="3234" t="s">
        <v>3216</v>
      </c>
      <c r="G19" s="3234" t="s">
        <v>3284</v>
      </c>
      <c r="H19" s="3234" t="s">
        <v>3285</v>
      </c>
      <c r="I19" s="3234" t="s">
        <v>3212</v>
      </c>
      <c r="J19" s="3234" t="s">
        <v>3286</v>
      </c>
      <c r="K19" s="3234" t="s">
        <v>3287</v>
      </c>
      <c r="L19" s="3218">
        <v>132.25</v>
      </c>
      <c r="M19" s="3218">
        <v>24298.5</v>
      </c>
      <c r="N19" s="3218">
        <v>107594.55</v>
      </c>
      <c r="O19" s="3225">
        <f>ROUND((M19+N19)/(L19*15),0)</f>
        <v>66</v>
      </c>
      <c r="P19" s="3224">
        <f t="shared" si="0"/>
        <v>997.3</v>
      </c>
    </row>
    <row r="20" spans="1:18" ht="132" hidden="1">
      <c r="B20" s="3229">
        <v>2017</v>
      </c>
      <c r="C20" s="3214" t="s">
        <v>3283</v>
      </c>
      <c r="D20" s="3239" t="s">
        <v>3222</v>
      </c>
      <c r="E20" s="3240" t="s">
        <v>3288</v>
      </c>
      <c r="F20" s="3234" t="s">
        <v>3209</v>
      </c>
      <c r="G20" s="3241" t="s">
        <v>3289</v>
      </c>
      <c r="H20" s="3234" t="s">
        <v>3266</v>
      </c>
      <c r="I20" s="3234" t="s">
        <v>3225</v>
      </c>
      <c r="J20" s="3242" t="s">
        <v>3290</v>
      </c>
      <c r="K20" s="3242" t="s">
        <v>3291</v>
      </c>
      <c r="L20" s="3215">
        <v>217.58</v>
      </c>
      <c r="M20" s="3218">
        <v>106922.18</v>
      </c>
      <c r="N20" s="3218">
        <v>1002860.16</v>
      </c>
      <c r="O20" s="3243"/>
      <c r="P20" s="3219">
        <f t="shared" si="0"/>
        <v>5100.57</v>
      </c>
    </row>
    <row r="21" spans="1:18" ht="168" hidden="1">
      <c r="B21" s="3221">
        <v>2018</v>
      </c>
      <c r="C21" s="3214" t="s">
        <v>3292</v>
      </c>
      <c r="D21" s="3214" t="s">
        <v>3257</v>
      </c>
      <c r="E21" s="3213" t="s">
        <v>3251</v>
      </c>
      <c r="F21" s="3213" t="s">
        <v>3209</v>
      </c>
      <c r="G21" s="3213" t="s">
        <v>3293</v>
      </c>
      <c r="H21" s="3213" t="s">
        <v>3294</v>
      </c>
      <c r="I21" s="3213" t="s">
        <v>3212</v>
      </c>
      <c r="J21" s="3233" t="s">
        <v>3295</v>
      </c>
      <c r="K21" s="3230" t="s">
        <v>3296</v>
      </c>
      <c r="L21" s="3213">
        <v>726.3</v>
      </c>
      <c r="M21" s="3218">
        <v>281939.06</v>
      </c>
      <c r="N21" s="3218">
        <v>704305.38</v>
      </c>
      <c r="O21" s="3219"/>
      <c r="P21" s="3224">
        <f t="shared" si="0"/>
        <v>1357.9</v>
      </c>
    </row>
    <row r="22" spans="1:18" ht="60.75" customHeight="1">
      <c r="A22" s="3220" t="s">
        <v>3400</v>
      </c>
      <c r="B22" s="3279">
        <v>2018</v>
      </c>
      <c r="C22" s="3280" t="s">
        <v>3297</v>
      </c>
      <c r="D22" s="3281" t="s">
        <v>3207</v>
      </c>
      <c r="E22" s="3282" t="s">
        <v>3288</v>
      </c>
      <c r="F22" s="3282" t="s">
        <v>3216</v>
      </c>
      <c r="G22" s="3282" t="s">
        <v>3394</v>
      </c>
      <c r="H22" s="3282" t="s">
        <v>3266</v>
      </c>
      <c r="I22" s="3282" t="s">
        <v>3225</v>
      </c>
      <c r="J22" s="3282" t="s">
        <v>3298</v>
      </c>
      <c r="K22" s="3283" t="s">
        <v>3299</v>
      </c>
      <c r="L22" s="3284">
        <v>193.55</v>
      </c>
      <c r="M22" s="3285">
        <v>230654.05</v>
      </c>
      <c r="N22" s="3285">
        <v>598903.21</v>
      </c>
      <c r="O22" s="3286"/>
      <c r="P22" s="3287">
        <f t="shared" si="0"/>
        <v>4286.01</v>
      </c>
      <c r="Q22" s="3220">
        <f>ROUND(287073.18/7.9276913,2)</f>
        <v>36211.449999999997</v>
      </c>
      <c r="R22" s="3220" t="s">
        <v>3403</v>
      </c>
    </row>
    <row r="23" spans="1:18" ht="16.5" customHeight="1">
      <c r="B23" s="3213">
        <v>2018</v>
      </c>
      <c r="C23" s="3214" t="s">
        <v>3297</v>
      </c>
      <c r="D23" s="3244" t="s">
        <v>3207</v>
      </c>
      <c r="E23" s="3233" t="s">
        <v>3288</v>
      </c>
      <c r="F23" s="3233" t="s">
        <v>3216</v>
      </c>
      <c r="G23" s="3233" t="s">
        <v>3300</v>
      </c>
      <c r="H23" s="3233" t="s">
        <v>3301</v>
      </c>
      <c r="I23" s="3233" t="s">
        <v>3225</v>
      </c>
      <c r="J23" s="3233" t="s">
        <v>3302</v>
      </c>
      <c r="K23" s="3230" t="s">
        <v>3303</v>
      </c>
      <c r="L23" s="3217">
        <v>210.43</v>
      </c>
      <c r="M23" s="3218">
        <v>23862.83</v>
      </c>
      <c r="N23" s="3218">
        <v>602931.53</v>
      </c>
      <c r="O23" s="3226"/>
      <c r="P23" s="3219">
        <f t="shared" si="0"/>
        <v>2978.64</v>
      </c>
    </row>
    <row r="24" spans="1:18" ht="63.75" customHeight="1">
      <c r="A24" s="3220" t="s">
        <v>3399</v>
      </c>
      <c r="B24" s="3279">
        <v>2018</v>
      </c>
      <c r="C24" s="3280" t="s">
        <v>3297</v>
      </c>
      <c r="D24" s="3281" t="s">
        <v>3207</v>
      </c>
      <c r="E24" s="3282" t="s">
        <v>3288</v>
      </c>
      <c r="F24" s="3282" t="s">
        <v>3216</v>
      </c>
      <c r="G24" s="3282" t="s">
        <v>3395</v>
      </c>
      <c r="H24" s="3282" t="s">
        <v>3266</v>
      </c>
      <c r="I24" s="3282" t="s">
        <v>3225</v>
      </c>
      <c r="J24" s="3282" t="s">
        <v>3304</v>
      </c>
      <c r="K24" s="3283" t="s">
        <v>3305</v>
      </c>
      <c r="L24" s="3288">
        <v>74.25</v>
      </c>
      <c r="M24" s="3285">
        <v>13520.67</v>
      </c>
      <c r="N24" s="3285">
        <v>291651.92</v>
      </c>
      <c r="O24" s="3286"/>
      <c r="P24" s="3287">
        <f t="shared" si="0"/>
        <v>4110.07</v>
      </c>
      <c r="Q24" s="3220">
        <f>ROUND(96109.98/3.4940022,2)</f>
        <v>27507.13</v>
      </c>
      <c r="R24" s="3220" t="s">
        <v>3404</v>
      </c>
    </row>
    <row r="25" spans="1:18" ht="120" hidden="1">
      <c r="B25" s="3213">
        <v>2018</v>
      </c>
      <c r="C25" s="3214" t="s">
        <v>3297</v>
      </c>
      <c r="D25" s="3244" t="s">
        <v>3207</v>
      </c>
      <c r="E25" s="3233" t="s">
        <v>3306</v>
      </c>
      <c r="F25" s="3233" t="s">
        <v>3216</v>
      </c>
      <c r="G25" s="3233" t="s">
        <v>3307</v>
      </c>
      <c r="H25" s="3233" t="s">
        <v>3308</v>
      </c>
      <c r="I25" s="3233" t="s">
        <v>3225</v>
      </c>
      <c r="J25" s="3233" t="s">
        <v>3309</v>
      </c>
      <c r="K25" s="3230" t="s">
        <v>3310</v>
      </c>
      <c r="L25" s="3217">
        <v>29.09</v>
      </c>
      <c r="M25" s="3218">
        <v>12773.36</v>
      </c>
      <c r="N25" s="3218">
        <v>231746.85</v>
      </c>
      <c r="O25" s="3225">
        <f>ROUND((M25+N25)/(L25*15),0)</f>
        <v>560</v>
      </c>
      <c r="P25" s="3245">
        <f>ROUND((N25+M25)/L25,2)</f>
        <v>8405.64</v>
      </c>
    </row>
    <row r="26" spans="1:18" ht="17.25" customHeight="1">
      <c r="B26" s="3213">
        <v>2018</v>
      </c>
      <c r="C26" s="3214" t="s">
        <v>3311</v>
      </c>
      <c r="D26" s="3246" t="s">
        <v>3312</v>
      </c>
      <c r="E26" s="3217" t="s">
        <v>3288</v>
      </c>
      <c r="F26" s="3217" t="s">
        <v>3216</v>
      </c>
      <c r="G26" s="3217" t="s">
        <v>3313</v>
      </c>
      <c r="H26" s="3217" t="s">
        <v>3266</v>
      </c>
      <c r="I26" s="3217" t="s">
        <v>3225</v>
      </c>
      <c r="J26" s="3217" t="s">
        <v>3314</v>
      </c>
      <c r="K26" s="3217" t="s">
        <v>3315</v>
      </c>
      <c r="L26" s="3217">
        <v>165.53</v>
      </c>
      <c r="M26" s="3218">
        <v>55495.91</v>
      </c>
      <c r="N26" s="3218">
        <v>418159.92</v>
      </c>
      <c r="O26" s="3226"/>
      <c r="P26" s="3224">
        <f t="shared" si="0"/>
        <v>2861.45</v>
      </c>
    </row>
    <row r="27" spans="1:18" ht="18" customHeight="1">
      <c r="B27" s="3213">
        <v>2018</v>
      </c>
      <c r="C27" s="3214" t="s">
        <v>3316</v>
      </c>
      <c r="D27" s="3246" t="s">
        <v>3312</v>
      </c>
      <c r="E27" s="3217" t="s">
        <v>3288</v>
      </c>
      <c r="F27" s="3217" t="s">
        <v>3216</v>
      </c>
      <c r="G27" s="3217" t="s">
        <v>3317</v>
      </c>
      <c r="H27" s="3217" t="s">
        <v>3318</v>
      </c>
      <c r="I27" s="3217" t="s">
        <v>3225</v>
      </c>
      <c r="J27" s="3217" t="s">
        <v>3319</v>
      </c>
      <c r="K27" s="3217" t="s">
        <v>3320</v>
      </c>
      <c r="L27" s="3247">
        <v>175.57</v>
      </c>
      <c r="M27" s="3218">
        <v>157294.39999999999</v>
      </c>
      <c r="N27" s="3218">
        <v>394653.43</v>
      </c>
      <c r="O27" s="3226"/>
      <c r="P27" s="3219">
        <f t="shared" si="0"/>
        <v>3143.75</v>
      </c>
    </row>
    <row r="28" spans="1:18" ht="18" customHeight="1">
      <c r="B28" s="3213">
        <v>2018</v>
      </c>
      <c r="C28" s="3214" t="s">
        <v>3321</v>
      </c>
      <c r="D28" s="3248" t="s">
        <v>3322</v>
      </c>
      <c r="E28" s="3216" t="s">
        <v>3244</v>
      </c>
      <c r="F28" s="3216" t="s">
        <v>3216</v>
      </c>
      <c r="G28" s="3216" t="s">
        <v>3323</v>
      </c>
      <c r="H28" s="3216" t="s">
        <v>3324</v>
      </c>
      <c r="I28" s="3216" t="s">
        <v>3225</v>
      </c>
      <c r="J28" s="3216" t="s">
        <v>3325</v>
      </c>
      <c r="K28" s="3216" t="s">
        <v>3326</v>
      </c>
      <c r="L28" s="3217">
        <v>49.58</v>
      </c>
      <c r="M28" s="3218">
        <v>61873.95</v>
      </c>
      <c r="N28" s="3218">
        <v>240341.82</v>
      </c>
      <c r="O28" s="3219"/>
      <c r="P28" s="3219">
        <f t="shared" si="0"/>
        <v>6095.52</v>
      </c>
    </row>
    <row r="29" spans="1:18" ht="18" customHeight="1">
      <c r="B29" s="3213">
        <v>2018</v>
      </c>
      <c r="C29" s="3214" t="s">
        <v>3321</v>
      </c>
      <c r="D29" s="3248" t="s">
        <v>3322</v>
      </c>
      <c r="E29" s="3216" t="s">
        <v>3327</v>
      </c>
      <c r="F29" s="3216" t="s">
        <v>3216</v>
      </c>
      <c r="G29" s="3216" t="s">
        <v>3328</v>
      </c>
      <c r="H29" s="3216" t="s">
        <v>3329</v>
      </c>
      <c r="I29" s="3216" t="s">
        <v>3225</v>
      </c>
      <c r="J29" s="3216" t="s">
        <v>3330</v>
      </c>
      <c r="K29" s="3216" t="s">
        <v>3331</v>
      </c>
      <c r="L29" s="3249">
        <v>113.32</v>
      </c>
      <c r="M29" s="3218">
        <v>84598.35</v>
      </c>
      <c r="N29" s="3218">
        <v>378467.53</v>
      </c>
      <c r="O29" s="3219"/>
      <c r="P29" s="3219">
        <f t="shared" si="0"/>
        <v>4086.36</v>
      </c>
    </row>
    <row r="30" spans="1:18" ht="45.75" customHeight="1">
      <c r="A30" s="3220" t="s">
        <v>3398</v>
      </c>
      <c r="B30" s="3279">
        <v>2018</v>
      </c>
      <c r="C30" s="3280" t="s">
        <v>3321</v>
      </c>
      <c r="D30" s="3284">
        <v>12</v>
      </c>
      <c r="E30" s="3289" t="s">
        <v>3288</v>
      </c>
      <c r="F30" s="3289" t="s">
        <v>3216</v>
      </c>
      <c r="G30" s="3289" t="s">
        <v>3396</v>
      </c>
      <c r="H30" s="3289" t="s">
        <v>3266</v>
      </c>
      <c r="I30" s="3289" t="s">
        <v>3225</v>
      </c>
      <c r="J30" s="3289" t="s">
        <v>3332</v>
      </c>
      <c r="K30" s="3289" t="s">
        <v>3333</v>
      </c>
      <c r="L30" s="3288">
        <v>239.14</v>
      </c>
      <c r="M30" s="3285">
        <v>61695.44</v>
      </c>
      <c r="N30" s="3285">
        <v>859650.5</v>
      </c>
      <c r="O30" s="3287"/>
      <c r="P30" s="3287">
        <f t="shared" si="0"/>
        <v>3852.75</v>
      </c>
      <c r="Q30" s="3220">
        <f>ROUND(248940.24/8.8404401,2)</f>
        <v>28159.26</v>
      </c>
      <c r="R30" s="3220" t="s">
        <v>3406</v>
      </c>
    </row>
    <row r="31" spans="1:18" ht="23.25" customHeight="1">
      <c r="B31" s="3213">
        <v>2018</v>
      </c>
      <c r="C31" s="3214" t="s">
        <v>3321</v>
      </c>
      <c r="D31" s="3215" t="s">
        <v>3322</v>
      </c>
      <c r="E31" s="3216" t="s">
        <v>3274</v>
      </c>
      <c r="F31" s="3216" t="s">
        <v>3216</v>
      </c>
      <c r="G31" s="3216" t="s">
        <v>3405</v>
      </c>
      <c r="H31" s="3216" t="s">
        <v>3334</v>
      </c>
      <c r="I31" s="3216" t="s">
        <v>3225</v>
      </c>
      <c r="J31" s="3216" t="s">
        <v>3335</v>
      </c>
      <c r="K31" s="3216" t="s">
        <v>3336</v>
      </c>
      <c r="L31" s="3217">
        <v>129.57</v>
      </c>
      <c r="M31" s="3218">
        <v>164075.88</v>
      </c>
      <c r="N31" s="3218">
        <v>363152.48</v>
      </c>
      <c r="O31" s="3219"/>
      <c r="P31" s="3219">
        <f t="shared" si="0"/>
        <v>4069.06</v>
      </c>
    </row>
    <row r="32" spans="1:18" ht="21" customHeight="1">
      <c r="B32" s="3213">
        <v>2018</v>
      </c>
      <c r="C32" s="3214" t="s">
        <v>3316</v>
      </c>
      <c r="D32" s="3215" t="s">
        <v>3322</v>
      </c>
      <c r="E32" s="3216" t="s">
        <v>3288</v>
      </c>
      <c r="F32" s="3216" t="s">
        <v>3216</v>
      </c>
      <c r="G32" s="3216" t="s">
        <v>3337</v>
      </c>
      <c r="H32" s="3216" t="s">
        <v>3266</v>
      </c>
      <c r="I32" s="3216" t="s">
        <v>3225</v>
      </c>
      <c r="J32" s="3216" t="s">
        <v>3338</v>
      </c>
      <c r="K32" s="3216" t="s">
        <v>3339</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ROUND(O34*'[6]数据-汇总表'!D3,0)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14" sqref="Q14"/>
    </sheetView>
  </sheetViews>
  <sheetFormatPr defaultColWidth="9" defaultRowHeight="13.2"/>
  <cols>
    <col min="1" max="1" width="9" style="2374"/>
    <col min="2" max="6" width="9" style="2374" customWidth="1"/>
    <col min="7" max="7" width="9" style="2412"/>
    <col min="8" max="8" width="9" style="2374"/>
    <col min="9" max="12" width="9" style="2374" customWidth="1"/>
    <col min="13" max="13" width="2.21875" style="2374" customWidth="1"/>
    <col min="14" max="14" width="9" style="2412" customWidth="1"/>
    <col min="15" max="17" width="9" style="2374" customWidth="1"/>
    <col min="18" max="18" width="2.33203125" style="2374" customWidth="1"/>
    <col min="19" max="19" width="7.109375" style="2412" customWidth="1"/>
    <col min="20" max="22" width="7.109375" style="2374" customWidth="1"/>
    <col min="23" max="23" width="24.21875" style="2374" customWidth="1"/>
    <col min="24" max="25" width="9" style="2374"/>
    <col min="26" max="27" width="11.6640625" style="2374" customWidth="1"/>
    <col min="28" max="28" width="9" style="2374"/>
    <col min="29" max="29" width="2" style="2374" customWidth="1"/>
    <col min="30" max="16384" width="9" style="2374"/>
  </cols>
  <sheetData>
    <row r="1" spans="1:34" s="2353" customFormat="1">
      <c r="B1" s="3880" t="s">
        <v>1058</v>
      </c>
      <c r="C1" s="3880"/>
      <c r="D1" s="3880"/>
      <c r="E1" s="3880"/>
      <c r="F1" s="3880"/>
      <c r="G1" s="3879" t="s">
        <v>1059</v>
      </c>
      <c r="H1" s="3879"/>
      <c r="I1" s="3879"/>
      <c r="J1" s="3879"/>
      <c r="K1" s="3879"/>
      <c r="L1" s="3879"/>
      <c r="N1" s="3879" t="s">
        <v>1060</v>
      </c>
      <c r="O1" s="3879"/>
      <c r="P1" s="3879"/>
      <c r="Q1" s="3879"/>
      <c r="S1" s="3879" t="s">
        <v>1061</v>
      </c>
      <c r="T1" s="3879"/>
      <c r="U1" s="3879"/>
      <c r="V1" s="3879"/>
      <c r="X1" s="3878" t="s">
        <v>1062</v>
      </c>
      <c r="Y1" s="3879"/>
      <c r="Z1" s="3879"/>
      <c r="AA1" s="3879"/>
      <c r="AB1" s="3879"/>
      <c r="AD1" s="3878" t="s">
        <v>1063</v>
      </c>
      <c r="AE1" s="3879"/>
      <c r="AF1" s="3879"/>
      <c r="AG1" s="3879"/>
      <c r="AH1" s="3879"/>
    </row>
    <row r="2" spans="1:34" s="2354" customFormat="1" ht="1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4">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4">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8"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8"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876">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876"/>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876"/>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885"/>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881">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876"/>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876"/>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885"/>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881">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876"/>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876"/>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8"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877"/>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8" thickBot="1">
      <c r="A30" s="2387" t="s">
        <v>151</v>
      </c>
      <c r="B30" s="2402">
        <v>333</v>
      </c>
      <c r="C30" s="2402">
        <v>277</v>
      </c>
      <c r="D30" s="2402">
        <f t="shared" si="210"/>
        <v>277</v>
      </c>
      <c r="E30" s="2402">
        <v>459</v>
      </c>
      <c r="F30" s="2403">
        <v>249</v>
      </c>
      <c r="G30" s="3875">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876"/>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876"/>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877"/>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8" thickBot="1">
      <c r="A34" s="2387" t="s">
        <v>147</v>
      </c>
      <c r="B34" s="2416">
        <v>318</v>
      </c>
      <c r="C34" s="2416">
        <v>268</v>
      </c>
      <c r="D34" s="2416">
        <f t="shared" si="210"/>
        <v>268</v>
      </c>
      <c r="E34" s="2416">
        <v>437</v>
      </c>
      <c r="F34" s="2417">
        <v>237</v>
      </c>
      <c r="G34" s="3875">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876"/>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8"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876"/>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8"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877"/>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8" thickBot="1">
      <c r="A38" s="2387" t="s">
        <v>1071</v>
      </c>
      <c r="B38" s="2402">
        <v>299</v>
      </c>
      <c r="C38" s="2402">
        <v>252</v>
      </c>
      <c r="D38" s="2402">
        <f t="shared" si="210"/>
        <v>252</v>
      </c>
      <c r="E38" s="2402">
        <v>409</v>
      </c>
      <c r="F38" s="2403">
        <v>227</v>
      </c>
      <c r="G38" s="3882">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883"/>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883"/>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884"/>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8" thickBot="1">
      <c r="A42" s="2387" t="s">
        <v>1075</v>
      </c>
      <c r="B42" s="2437">
        <v>278</v>
      </c>
      <c r="C42" s="2437">
        <v>234</v>
      </c>
      <c r="D42" s="2437">
        <f t="shared" si="210"/>
        <v>234</v>
      </c>
      <c r="E42" s="2437">
        <v>379</v>
      </c>
      <c r="F42" s="2438">
        <v>220</v>
      </c>
      <c r="G42" s="3875">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876"/>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876"/>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8" thickBot="1">
      <c r="A45" s="2387" t="s">
        <v>1078</v>
      </c>
      <c r="B45" s="2388">
        <f>B44/(1+N44)</f>
        <v>275.19025476197027</v>
      </c>
      <c r="C45" s="2439">
        <v>232</v>
      </c>
      <c r="D45" s="2439">
        <f t="shared" si="210"/>
        <v>232</v>
      </c>
      <c r="E45" s="2388">
        <f t="shared" si="221"/>
        <v>375.65990977608692</v>
      </c>
      <c r="F45" s="2388">
        <f t="shared" si="221"/>
        <v>214.12518283971252</v>
      </c>
      <c r="G45" s="3877"/>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8" thickBot="1">
      <c r="A46" s="2387" t="s">
        <v>1079</v>
      </c>
      <c r="B46" s="2402">
        <v>275</v>
      </c>
      <c r="C46" s="2402">
        <v>232</v>
      </c>
      <c r="D46" s="2402">
        <f t="shared" si="210"/>
        <v>232</v>
      </c>
      <c r="E46" s="2402">
        <v>376</v>
      </c>
      <c r="F46" s="2403">
        <v>213</v>
      </c>
      <c r="G46" s="3875">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876">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876">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8"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877">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8" thickBot="1">
      <c r="A50" s="2387" t="s">
        <v>1083</v>
      </c>
      <c r="B50" s="2402">
        <v>269</v>
      </c>
      <c r="C50" s="2402">
        <v>221</v>
      </c>
      <c r="D50" s="2402">
        <f t="shared" si="210"/>
        <v>221</v>
      </c>
      <c r="E50" s="2402">
        <v>373</v>
      </c>
      <c r="F50" s="2403">
        <v>196</v>
      </c>
      <c r="G50" s="3875">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876">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876">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8"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877">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8" thickBot="1">
      <c r="A54" s="2387" t="s">
        <v>1087</v>
      </c>
      <c r="B54" s="2402">
        <v>220</v>
      </c>
      <c r="C54" s="2402">
        <v>187</v>
      </c>
      <c r="D54" s="2402">
        <f t="shared" si="210"/>
        <v>187</v>
      </c>
      <c r="E54" s="2402">
        <v>301</v>
      </c>
      <c r="F54" s="2403">
        <v>168</v>
      </c>
      <c r="G54" s="3875">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876">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876">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877">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8" thickBot="1">
      <c r="A58" s="2387" t="s">
        <v>1091</v>
      </c>
      <c r="B58" s="2437">
        <v>214</v>
      </c>
      <c r="C58" s="2437">
        <v>188</v>
      </c>
      <c r="D58" s="2437">
        <f t="shared" si="210"/>
        <v>188</v>
      </c>
      <c r="E58" s="2437">
        <v>289</v>
      </c>
      <c r="F58" s="2438">
        <v>166</v>
      </c>
      <c r="G58" s="3875">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876">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876">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8"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877">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8" thickBot="1">
      <c r="A62" s="2387" t="s">
        <v>1095</v>
      </c>
      <c r="B62" s="2402">
        <v>188</v>
      </c>
      <c r="C62" s="2402">
        <v>165</v>
      </c>
      <c r="D62" s="2402">
        <f t="shared" si="210"/>
        <v>165</v>
      </c>
      <c r="E62" s="2402">
        <v>254</v>
      </c>
      <c r="F62" s="2403">
        <v>148</v>
      </c>
      <c r="G62" s="3875">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876">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876">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877">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8" thickBot="1">
      <c r="A66" s="2387" t="s">
        <v>1099</v>
      </c>
      <c r="B66" s="2416">
        <v>159</v>
      </c>
      <c r="C66" s="2416">
        <v>141</v>
      </c>
      <c r="D66" s="2416">
        <f t="shared" si="210"/>
        <v>141</v>
      </c>
      <c r="E66" s="2416">
        <v>195</v>
      </c>
      <c r="F66" s="2417">
        <v>122</v>
      </c>
      <c r="G66" s="3875">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876">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876">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877">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8" thickBot="1">
      <c r="A70" s="2387" t="s">
        <v>1103</v>
      </c>
      <c r="B70" s="2416">
        <v>138</v>
      </c>
      <c r="C70" s="2416">
        <v>131</v>
      </c>
      <c r="D70" s="2416">
        <f t="shared" si="210"/>
        <v>131</v>
      </c>
      <c r="E70" s="2416">
        <v>155</v>
      </c>
      <c r="F70" s="2417">
        <v>114</v>
      </c>
      <c r="G70" s="3875">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876">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876">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877">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8" thickBot="1">
      <c r="A74" s="2387" t="s">
        <v>1107</v>
      </c>
      <c r="B74" s="2437">
        <v>121</v>
      </c>
      <c r="C74" s="2437">
        <v>122</v>
      </c>
      <c r="D74" s="2437">
        <f t="shared" si="210"/>
        <v>122</v>
      </c>
      <c r="E74" s="2437">
        <v>124</v>
      </c>
      <c r="F74" s="2438">
        <v>107</v>
      </c>
      <c r="G74" s="3875">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876">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876">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8"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877">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8" thickBot="1">
      <c r="A78" s="2387" t="s">
        <v>1111</v>
      </c>
      <c r="B78" s="2457">
        <v>111</v>
      </c>
      <c r="C78" s="2457">
        <v>114</v>
      </c>
      <c r="D78" s="2457">
        <f t="shared" si="210"/>
        <v>114</v>
      </c>
      <c r="E78" s="2457">
        <v>108</v>
      </c>
      <c r="F78" s="2458">
        <v>104</v>
      </c>
      <c r="G78" s="3875">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876">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876">
        <v>2003</v>
      </c>
      <c r="H80" s="2400">
        <v>2</v>
      </c>
      <c r="I80" s="2459"/>
      <c r="J80" s="2459"/>
      <c r="K80" s="2459"/>
      <c r="L80" s="2459"/>
      <c r="X80" s="2451"/>
      <c r="Y80" s="2451"/>
      <c r="Z80" s="2451"/>
    </row>
    <row r="81" spans="1:26" ht="13.8" thickBot="1">
      <c r="A81" s="2387" t="s">
        <v>1114</v>
      </c>
      <c r="B81" s="2461">
        <f t="shared" si="246"/>
        <v>107.25</v>
      </c>
      <c r="C81" s="2461">
        <f t="shared" si="246"/>
        <v>108.75</v>
      </c>
      <c r="D81" s="2461">
        <f t="shared" si="210"/>
        <v>108.75</v>
      </c>
      <c r="E81" s="2461">
        <f t="shared" si="247"/>
        <v>105.75</v>
      </c>
      <c r="F81" s="2461">
        <f t="shared" si="247"/>
        <v>102.5</v>
      </c>
      <c r="G81" s="3877">
        <v>2003</v>
      </c>
      <c r="H81" s="2462">
        <v>1</v>
      </c>
      <c r="I81" s="2459"/>
      <c r="J81" s="2459"/>
      <c r="K81" s="2459"/>
      <c r="L81" s="2459"/>
      <c r="S81" s="2390"/>
      <c r="T81" s="2375"/>
      <c r="U81" s="2375"/>
      <c r="X81" s="2451"/>
      <c r="Y81" s="2451"/>
      <c r="Z81" s="2451"/>
    </row>
    <row r="82" spans="1:26" ht="13.8" thickBot="1">
      <c r="A82" s="2387" t="s">
        <v>1115</v>
      </c>
      <c r="B82" s="2463">
        <v>106</v>
      </c>
      <c r="C82" s="2463">
        <v>107</v>
      </c>
      <c r="D82" s="2463">
        <f t="shared" si="210"/>
        <v>107</v>
      </c>
      <c r="E82" s="2463">
        <v>105</v>
      </c>
      <c r="F82" s="2464">
        <v>102</v>
      </c>
      <c r="G82" s="3875">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876">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876">
        <v>2002</v>
      </c>
      <c r="H84" s="2400">
        <v>2</v>
      </c>
      <c r="I84" s="2459"/>
      <c r="J84" s="2459"/>
      <c r="K84" s="2459"/>
      <c r="L84" s="2459"/>
      <c r="X84" s="2451"/>
      <c r="Y84" s="2451"/>
      <c r="Z84" s="2451"/>
    </row>
    <row r="85" spans="1:26" s="2424" customFormat="1" ht="13.8" thickBot="1">
      <c r="A85" s="2420" t="s">
        <v>1118</v>
      </c>
      <c r="B85" s="2427">
        <f t="shared" si="248"/>
        <v>103</v>
      </c>
      <c r="C85" s="2427">
        <f t="shared" si="248"/>
        <v>104</v>
      </c>
      <c r="D85" s="2427">
        <f t="shared" si="210"/>
        <v>104</v>
      </c>
      <c r="E85" s="2427">
        <f t="shared" si="249"/>
        <v>103.5</v>
      </c>
      <c r="F85" s="2427">
        <f t="shared" si="249"/>
        <v>100.5</v>
      </c>
      <c r="G85" s="3877">
        <v>2002</v>
      </c>
      <c r="H85" s="2465">
        <v>1</v>
      </c>
      <c r="I85" s="2466"/>
      <c r="J85" s="2466"/>
      <c r="K85" s="2466"/>
      <c r="L85" s="2466"/>
      <c r="N85" s="2467"/>
      <c r="S85" s="2467"/>
      <c r="X85" s="2468"/>
      <c r="Y85" s="2468"/>
      <c r="Z85" s="2468"/>
    </row>
    <row r="86" spans="1:26" ht="13.8"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8"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8"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640625" defaultRowHeight="21.75" customHeight="1"/>
  <cols>
    <col min="1" max="2" width="12.6640625" style="1904"/>
    <col min="3" max="4" width="12.6640625" style="1904" customWidth="1"/>
    <col min="5" max="9" width="12.6640625" style="1904"/>
    <col min="10" max="11" width="12.6640625" style="731" customWidth="1"/>
    <col min="12" max="12" width="12.6640625" style="731"/>
    <col min="13" max="13" width="14.109375" style="731" bestFit="1" customWidth="1"/>
    <col min="14" max="26" width="12.6640625" style="731"/>
    <col min="27" max="35" width="12.6640625" style="1903"/>
    <col min="36" max="16384" width="12.6640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919" t="str">
        <f>项目基本情况!S2</f>
        <v>北京市房地产</v>
      </c>
      <c r="B2" s="3920"/>
      <c r="C2" s="3920"/>
      <c r="D2" s="3920"/>
      <c r="E2" s="3920"/>
      <c r="F2" s="3920"/>
      <c r="G2" s="3920"/>
      <c r="H2" s="3920"/>
      <c r="I2" s="3921"/>
    </row>
    <row r="3" spans="1:12" ht="13.2">
      <c r="A3" s="3923" t="s">
        <v>1890</v>
      </c>
      <c r="B3" s="3924"/>
      <c r="C3" s="3924"/>
      <c r="D3" s="3924"/>
      <c r="E3" s="3924"/>
      <c r="F3" s="3924"/>
      <c r="G3" s="3924"/>
      <c r="H3" s="3924"/>
      <c r="I3" s="3924"/>
    </row>
    <row r="4" spans="1:12" ht="14.4">
      <c r="A4" s="1905" t="s">
        <v>1891</v>
      </c>
      <c r="B4" s="1906" t="s">
        <v>1892</v>
      </c>
      <c r="C4" s="1907"/>
      <c r="D4" s="1907"/>
      <c r="E4" s="3925" t="s">
        <v>1893</v>
      </c>
      <c r="F4" s="3926"/>
      <c r="G4" s="3926"/>
      <c r="H4" s="3926"/>
      <c r="I4" s="3927"/>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899" t="s">
        <v>1894</v>
      </c>
      <c r="B5" s="3771">
        <v>25</v>
      </c>
      <c r="C5" s="3902"/>
      <c r="D5" s="3922"/>
      <c r="E5" s="134" t="s">
        <v>1895</v>
      </c>
      <c r="F5" s="1908"/>
      <c r="G5" s="1908"/>
      <c r="H5" s="1908"/>
      <c r="I5" s="1522"/>
    </row>
    <row r="6" spans="1:12" ht="13.2">
      <c r="A6" s="3899"/>
      <c r="B6" s="3771"/>
      <c r="C6" s="3903"/>
      <c r="D6" s="3922"/>
      <c r="E6" s="134" t="s">
        <v>1896</v>
      </c>
      <c r="F6" s="1908"/>
      <c r="G6" s="1908"/>
      <c r="H6" s="1908"/>
      <c r="I6" s="1522"/>
    </row>
    <row r="7" spans="1:12" ht="13.2">
      <c r="A7" s="3899"/>
      <c r="B7" s="3771"/>
      <c r="C7" s="3904"/>
      <c r="D7" s="3922"/>
      <c r="E7" s="134" t="s">
        <v>1897</v>
      </c>
      <c r="F7" s="1908"/>
      <c r="G7" s="1908"/>
      <c r="H7" s="1908"/>
      <c r="I7" s="1522"/>
    </row>
    <row r="8" spans="1:12" ht="13.2">
      <c r="A8" s="3899" t="s">
        <v>1898</v>
      </c>
      <c r="B8" s="3771">
        <v>15</v>
      </c>
      <c r="C8" s="3902"/>
      <c r="D8" s="3922"/>
      <c r="E8" s="134" t="s">
        <v>1899</v>
      </c>
      <c r="F8" s="1908"/>
      <c r="G8" s="1908"/>
      <c r="H8" s="1908"/>
      <c r="I8" s="1522"/>
    </row>
    <row r="9" spans="1:12" ht="13.2">
      <c r="A9" s="3899"/>
      <c r="B9" s="3771"/>
      <c r="C9" s="3904"/>
      <c r="D9" s="3922"/>
      <c r="E9" s="134" t="s">
        <v>1900</v>
      </c>
      <c r="F9" s="1908"/>
      <c r="G9" s="1908"/>
      <c r="H9" s="1908"/>
      <c r="I9" s="1522"/>
    </row>
    <row r="10" spans="1:12" ht="13.2">
      <c r="A10" s="3899" t="s">
        <v>1901</v>
      </c>
      <c r="B10" s="3771">
        <v>15</v>
      </c>
      <c r="C10" s="3902"/>
      <c r="D10" s="3922"/>
      <c r="E10" s="134" t="s">
        <v>1902</v>
      </c>
      <c r="F10" s="1908"/>
      <c r="G10" s="1908"/>
      <c r="H10" s="1908"/>
      <c r="I10" s="1522"/>
    </row>
    <row r="11" spans="1:12" ht="13.2">
      <c r="A11" s="3899"/>
      <c r="B11" s="3771"/>
      <c r="C11" s="3904"/>
      <c r="D11" s="3922"/>
      <c r="E11" s="134" t="s">
        <v>1903</v>
      </c>
      <c r="F11" s="1908"/>
      <c r="G11" s="1908"/>
      <c r="H11" s="1908"/>
      <c r="I11" s="1522"/>
    </row>
    <row r="12" spans="1:12" ht="13.2">
      <c r="A12" s="3899" t="s">
        <v>1904</v>
      </c>
      <c r="B12" s="3771">
        <v>15</v>
      </c>
      <c r="C12" s="3902"/>
      <c r="D12" s="3922"/>
      <c r="E12" s="134" t="s">
        <v>1905</v>
      </c>
      <c r="F12" s="1908"/>
      <c r="G12" s="1908"/>
      <c r="H12" s="1908"/>
      <c r="I12" s="1522"/>
    </row>
    <row r="13" spans="1:12" ht="13.2">
      <c r="A13" s="3899"/>
      <c r="B13" s="3771"/>
      <c r="C13" s="3904"/>
      <c r="D13" s="3922"/>
      <c r="E13" s="134" t="s">
        <v>1906</v>
      </c>
      <c r="F13" s="1908"/>
      <c r="G13" s="1908"/>
      <c r="H13" s="1908"/>
      <c r="I13" s="1522"/>
    </row>
    <row r="14" spans="1:12" ht="13.2">
      <c r="A14" s="3899" t="s">
        <v>1907</v>
      </c>
      <c r="B14" s="3771">
        <v>30</v>
      </c>
      <c r="C14" s="3902"/>
      <c r="D14" s="3922"/>
      <c r="E14" s="134" t="s">
        <v>1908</v>
      </c>
      <c r="F14" s="1908"/>
      <c r="G14" s="1908"/>
      <c r="H14" s="1908"/>
      <c r="I14" s="1522"/>
    </row>
    <row r="15" spans="1:12" ht="13.2">
      <c r="A15" s="3899"/>
      <c r="B15" s="3771"/>
      <c r="C15" s="3903"/>
      <c r="D15" s="3922"/>
      <c r="E15" s="134" t="s">
        <v>1909</v>
      </c>
      <c r="F15" s="1908"/>
      <c r="G15" s="1908"/>
      <c r="H15" s="1908"/>
      <c r="I15" s="1522"/>
    </row>
    <row r="16" spans="1:12" ht="13.2">
      <c r="A16" s="3899"/>
      <c r="B16" s="3771"/>
      <c r="C16" s="3904"/>
      <c r="D16" s="3922"/>
      <c r="E16" s="134" t="s">
        <v>1910</v>
      </c>
      <c r="F16" s="1908"/>
      <c r="G16" s="1908"/>
      <c r="H16" s="1908"/>
      <c r="I16" s="1522"/>
    </row>
    <row r="17" spans="1:36" ht="14.4">
      <c r="A17" s="1909" t="s">
        <v>1911</v>
      </c>
      <c r="B17" s="60"/>
      <c r="C17" s="135">
        <f>SUM(C5:C16)</f>
        <v>0</v>
      </c>
      <c r="D17" s="135">
        <f>SUM(D5:D16)</f>
        <v>0</v>
      </c>
      <c r="E17" s="132"/>
      <c r="F17" s="132"/>
      <c r="G17" s="132"/>
      <c r="H17" s="132"/>
      <c r="I17" s="132"/>
      <c r="K17" s="306"/>
      <c r="L17" s="306" t="s">
        <v>1912</v>
      </c>
      <c r="M17" s="306" t="s">
        <v>1913</v>
      </c>
    </row>
    <row r="18" spans="1:36" ht="31.95" customHeight="1" thickBot="1">
      <c r="A18" s="1910" t="s">
        <v>1914</v>
      </c>
      <c r="B18" s="1911"/>
      <c r="C18" s="136" t="e">
        <f>ROUND(C17/SUM(C17:D17),2)</f>
        <v>#DIV/0!</v>
      </c>
      <c r="D18" s="136" t="e">
        <f>1-C18</f>
        <v>#DIV/0!</v>
      </c>
      <c r="E18" s="3909" t="s">
        <v>2811</v>
      </c>
      <c r="F18" s="3910"/>
      <c r="G18" s="3910"/>
      <c r="H18" s="3910"/>
      <c r="I18" s="3910"/>
      <c r="K18" s="306" t="s">
        <v>1915</v>
      </c>
      <c r="L18" s="306">
        <f>IF(C1="",'数据-汇总表'!E3,SUMIF(项目类型,C1,'数据-汇总表'!E17:E26)+SUMIF(项目类型,C1,'数据-汇总表'!I17:I26))</f>
        <v>50449</v>
      </c>
      <c r="M18" s="306">
        <f>IF(C1="",'数据-汇总表'!E3,SUMIF(项目类型,C1,'数据-汇总表'!E17:E26))</f>
        <v>50449</v>
      </c>
    </row>
    <row r="19" spans="1:36" ht="14.4">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21500</v>
      </c>
      <c r="M19" s="306">
        <f>IF(C1="",'数据-汇总表'!D3,SUMIF(项目类型,C1,'数据-汇总表'!D17:D26))</f>
        <v>21500</v>
      </c>
    </row>
    <row r="20" spans="1:36" ht="14.4">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8" thickBot="1">
      <c r="A23" s="1898"/>
      <c r="B23" s="1898"/>
      <c r="C23" s="1898"/>
      <c r="D23" s="1898"/>
      <c r="E23" s="132"/>
      <c r="F23" s="132"/>
      <c r="G23" s="132"/>
      <c r="H23" s="132"/>
      <c r="I23" s="132"/>
    </row>
    <row r="24" spans="1:36" ht="14.4">
      <c r="A24" s="3893" t="s">
        <v>1925</v>
      </c>
      <c r="B24" s="1913" t="s">
        <v>1917</v>
      </c>
      <c r="C24" s="139">
        <f>IF(B30=0,0,D30)</f>
        <v>0</v>
      </c>
      <c r="D24" s="1920"/>
      <c r="E24" s="132"/>
      <c r="F24" s="132"/>
      <c r="G24" s="132"/>
      <c r="H24" s="132"/>
      <c r="I24" s="132"/>
    </row>
    <row r="25" spans="1:36" ht="14.4">
      <c r="A25" s="3894"/>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3.8">
      <c r="A27" s="1922"/>
      <c r="B27" s="145">
        <v>0</v>
      </c>
      <c r="C27" s="145">
        <v>0</v>
      </c>
      <c r="D27" s="146">
        <f>ROUND(C27*B27/10000,0)</f>
        <v>0</v>
      </c>
      <c r="E27" s="132"/>
      <c r="F27" s="132"/>
      <c r="G27" s="132"/>
      <c r="H27" s="132"/>
      <c r="I27" s="132"/>
    </row>
    <row r="28" spans="1:36" ht="13.8">
      <c r="A28" s="1922"/>
      <c r="B28" s="145"/>
      <c r="C28" s="145"/>
      <c r="D28" s="146"/>
      <c r="E28" s="132"/>
      <c r="F28" s="132"/>
      <c r="G28" s="132"/>
      <c r="H28" s="132"/>
      <c r="I28" s="132"/>
    </row>
    <row r="29" spans="1:36" ht="13.8">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5.6" thickTop="1" thickBot="1">
      <c r="A32" s="1924" t="s">
        <v>1931</v>
      </c>
      <c r="B32" s="1925"/>
      <c r="C32" s="147" t="e">
        <f ca="1">IF(D32="总价",G19-C24,G20-C25)</f>
        <v>#REF!</v>
      </c>
      <c r="D32" s="1926"/>
      <c r="E32" s="132"/>
      <c r="F32" s="132"/>
      <c r="G32" s="132"/>
      <c r="H32" s="132"/>
      <c r="I32" s="132"/>
    </row>
    <row r="33" spans="1:15" ht="14.4">
      <c r="A33" s="891" t="s">
        <v>1932</v>
      </c>
      <c r="B33" s="1927"/>
      <c r="C33" s="1928"/>
      <c r="D33" s="1929"/>
      <c r="E33" s="1930" t="s">
        <v>1933</v>
      </c>
      <c r="F33" s="1931" t="str">
        <f>IF(D32="楼面单价","取值（单价）","取值（总价）")</f>
        <v>取值（总价）</v>
      </c>
      <c r="G33" s="132"/>
      <c r="H33" s="132"/>
      <c r="I33" s="132"/>
    </row>
    <row r="34" spans="1:15" ht="14.4">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 thickBot="1">
      <c r="A36" s="3913" t="s">
        <v>1938</v>
      </c>
      <c r="B36" s="1938" t="s">
        <v>1939</v>
      </c>
      <c r="C36" s="148"/>
      <c r="D36" s="1939"/>
      <c r="E36" s="1940"/>
      <c r="F36" s="1941"/>
      <c r="G36" s="132"/>
      <c r="H36" s="132"/>
      <c r="I36" s="132"/>
    </row>
    <row r="37" spans="1:15" ht="15" thickBot="1">
      <c r="A37" s="3914"/>
      <c r="B37" s="1825" t="s">
        <v>1940</v>
      </c>
      <c r="C37" s="150"/>
      <c r="D37" s="1268"/>
      <c r="E37" s="1268"/>
      <c r="F37" s="1941"/>
      <c r="G37" s="132"/>
      <c r="H37" s="132"/>
      <c r="I37" s="132"/>
    </row>
    <row r="38" spans="1:15" ht="15" thickBot="1">
      <c r="A38" s="3915"/>
      <c r="B38" s="1942" t="s">
        <v>1941</v>
      </c>
      <c r="C38" s="680"/>
      <c r="D38" s="1943" t="s">
        <v>1942</v>
      </c>
      <c r="E38" s="1268"/>
      <c r="F38" s="1941"/>
      <c r="G38" s="132"/>
      <c r="H38" s="132"/>
      <c r="I38" s="132"/>
    </row>
    <row r="39" spans="1:15" ht="14.4">
      <c r="A39" s="1915" t="s">
        <v>1943</v>
      </c>
      <c r="B39" s="1944" t="s">
        <v>1944</v>
      </c>
      <c r="C39" s="1945" t="s">
        <v>1945</v>
      </c>
      <c r="D39" s="1945" t="s">
        <v>1946</v>
      </c>
      <c r="E39" s="1946" t="s">
        <v>1947</v>
      </c>
      <c r="F39" s="1941"/>
      <c r="G39" s="132"/>
      <c r="H39" s="132"/>
      <c r="I39" s="132"/>
    </row>
    <row r="40" spans="1:15" ht="13.8">
      <c r="A40" s="1947" t="s">
        <v>1948</v>
      </c>
      <c r="B40" s="152"/>
      <c r="C40" s="153"/>
      <c r="D40" s="153"/>
      <c r="E40" s="154"/>
      <c r="F40" s="1941"/>
      <c r="G40" s="132"/>
      <c r="H40" s="132"/>
      <c r="I40" s="132"/>
    </row>
    <row r="41" spans="1:15" ht="13.8">
      <c r="A41" s="1947" t="s">
        <v>1949</v>
      </c>
      <c r="B41" s="152"/>
      <c r="C41" s="153"/>
      <c r="D41" s="153"/>
      <c r="E41" s="154"/>
      <c r="F41" s="1941"/>
      <c r="G41" s="132"/>
      <c r="H41" s="132"/>
      <c r="I41" s="132"/>
    </row>
    <row r="42" spans="1:15" ht="14.4" thickBot="1">
      <c r="A42" s="1948"/>
      <c r="B42" s="155"/>
      <c r="C42" s="156"/>
      <c r="D42" s="156"/>
      <c r="E42" s="157"/>
      <c r="F42" s="1941"/>
      <c r="G42" s="132"/>
      <c r="H42" s="132"/>
      <c r="I42" s="132"/>
    </row>
    <row r="43" spans="1:15" ht="13.2">
      <c r="A43" s="1727"/>
      <c r="B43" s="1727"/>
      <c r="C43" s="1727"/>
      <c r="D43" s="1727"/>
      <c r="E43" s="1727"/>
      <c r="F43" s="1949"/>
      <c r="G43" s="1949"/>
      <c r="H43" s="1949"/>
      <c r="I43" s="1950"/>
    </row>
    <row r="44" spans="1:15" ht="17.399999999999999">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890" t="s">
        <v>1952</v>
      </c>
      <c r="B45" s="3891"/>
      <c r="C45" s="3892"/>
      <c r="D45" s="158" t="e">
        <f ca="1">ROUND(H101*F45,0)</f>
        <v>#REF!</v>
      </c>
      <c r="E45" s="159" t="s">
        <v>1953</v>
      </c>
      <c r="F45" s="160">
        <v>1</v>
      </c>
      <c r="G45" s="161" t="s">
        <v>1954</v>
      </c>
      <c r="H45" s="132"/>
      <c r="I45" s="132"/>
      <c r="J45" s="3971" t="s">
        <v>1955</v>
      </c>
      <c r="K45" s="3971"/>
      <c r="L45" s="3971"/>
      <c r="M45" s="3971"/>
      <c r="N45" s="3971"/>
      <c r="O45" s="3971"/>
    </row>
    <row r="46" spans="1:15" ht="14.25" customHeight="1">
      <c r="A46" s="3887" t="s">
        <v>1956</v>
      </c>
      <c r="B46" s="3888"/>
      <c r="C46" s="3888"/>
      <c r="D46" s="3888"/>
      <c r="E46" s="3888"/>
      <c r="F46" s="3888"/>
      <c r="G46" s="3889"/>
      <c r="H46" s="1957"/>
      <c r="I46" s="162"/>
      <c r="J46" s="2712">
        <v>1</v>
      </c>
      <c r="K46" s="3952" t="s">
        <v>1957</v>
      </c>
      <c r="L46" s="3952"/>
      <c r="M46" s="3972"/>
      <c r="N46" s="3972"/>
      <c r="O46" s="3972"/>
    </row>
    <row r="47" spans="1:15" ht="12" customHeight="1">
      <c r="A47" s="163" t="s">
        <v>1958</v>
      </c>
      <c r="B47" s="164"/>
      <c r="C47" s="165"/>
      <c r="D47" s="1214" t="s">
        <v>1959</v>
      </c>
      <c r="E47" s="306" t="s">
        <v>1960</v>
      </c>
      <c r="F47" s="166" t="s">
        <v>1961</v>
      </c>
      <c r="G47" s="2735" t="s">
        <v>1962</v>
      </c>
      <c r="H47" s="2736"/>
      <c r="I47" s="162"/>
      <c r="J47" s="2712">
        <v>2</v>
      </c>
      <c r="K47" s="3952" t="s">
        <v>1963</v>
      </c>
      <c r="L47" s="3952"/>
      <c r="M47" s="3973">
        <f>'数据-取费表'!B2</f>
        <v>43252</v>
      </c>
      <c r="N47" s="3973"/>
      <c r="O47" s="3973"/>
    </row>
    <row r="48" spans="1:15" ht="26.4">
      <c r="A48" s="3918" t="s">
        <v>1964</v>
      </c>
      <c r="B48" s="3901"/>
      <c r="C48" s="3901"/>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952" t="s">
        <v>1966</v>
      </c>
      <c r="L48" s="3952"/>
      <c r="M48" s="3974" t="e">
        <f ca="1">H101</f>
        <v>#REF!</v>
      </c>
      <c r="N48" s="3974"/>
      <c r="O48" s="3974"/>
    </row>
    <row r="49" spans="1:35" ht="25.5" customHeight="1">
      <c r="A49" s="2520" t="s">
        <v>1967</v>
      </c>
      <c r="B49" s="3886" t="s">
        <v>1968</v>
      </c>
      <c r="C49" s="3886"/>
      <c r="D49" s="1740">
        <v>0</v>
      </c>
      <c r="E49" s="328" t="s">
        <v>1969</v>
      </c>
      <c r="F49" s="2613" t="s">
        <v>34</v>
      </c>
      <c r="G49" s="3958"/>
      <c r="H49" s="2492" t="s">
        <v>2814</v>
      </c>
      <c r="I49" s="2493"/>
      <c r="J49" s="2712">
        <v>4</v>
      </c>
      <c r="K49" s="3952" t="str">
        <f>IF(项目基本情况!E8="房地产抵押价值","房地产抵押价值","抵押担保权已注销时的房地产抵押价值")</f>
        <v>抵押担保权已注销时的房地产抵押价值</v>
      </c>
      <c r="L49" s="3952"/>
      <c r="M49" s="3974" t="str">
        <f>IF(项目基本情况!E8="房地产抵押价值",H107,H109)</f>
        <v>——</v>
      </c>
      <c r="N49" s="3974"/>
      <c r="O49" s="3974"/>
    </row>
    <row r="50" spans="1:35" ht="25.5" customHeight="1">
      <c r="A50" s="2740"/>
      <c r="B50" s="3886" t="s">
        <v>1970</v>
      </c>
      <c r="C50" s="3886"/>
      <c r="D50" s="2741"/>
      <c r="E50" s="336"/>
      <c r="F50" s="2613"/>
      <c r="G50" s="3959"/>
      <c r="H50" s="2494" t="s">
        <v>2815</v>
      </c>
      <c r="I50" s="2493"/>
      <c r="J50" s="3971" t="s">
        <v>1971</v>
      </c>
      <c r="K50" s="3971"/>
      <c r="L50" s="3971"/>
      <c r="M50" s="3971"/>
      <c r="N50" s="3971"/>
      <c r="O50" s="3971"/>
    </row>
    <row r="51" spans="1:35" ht="20.399999999999999" customHeight="1">
      <c r="A51" s="2742"/>
      <c r="B51" s="3886" t="s">
        <v>1972</v>
      </c>
      <c r="C51" s="3886"/>
      <c r="D51" s="1214"/>
      <c r="E51" s="331"/>
      <c r="F51" s="2613"/>
      <c r="G51" s="3960"/>
      <c r="H51" s="2494" t="s">
        <v>2816</v>
      </c>
      <c r="I51" s="2493"/>
      <c r="J51" s="2713" t="s">
        <v>1973</v>
      </c>
      <c r="K51" s="3952" t="s">
        <v>1974</v>
      </c>
      <c r="L51" s="3952"/>
      <c r="M51" s="2713" t="s">
        <v>1975</v>
      </c>
      <c r="N51" s="2713" t="s">
        <v>1976</v>
      </c>
      <c r="O51" s="2713" t="s">
        <v>1977</v>
      </c>
    </row>
    <row r="52" spans="1:35" ht="24" customHeight="1">
      <c r="A52" s="2522" t="s">
        <v>1978</v>
      </c>
      <c r="B52" s="3886" t="s">
        <v>1979</v>
      </c>
      <c r="C52" s="3886"/>
      <c r="D52" s="1214" t="e">
        <f ca="1">ROUND(D45*'数据-取费表'!B41/(1+'数据-取费表'!C42),0)</f>
        <v>#REF!</v>
      </c>
      <c r="E52" s="2521" t="s">
        <v>1980</v>
      </c>
      <c r="F52" s="2743">
        <f>'数据-取费表'!B41</f>
        <v>0</v>
      </c>
      <c r="G52" s="2744"/>
      <c r="H52" s="2733"/>
      <c r="I52" s="1958"/>
      <c r="J52" s="2712">
        <v>1</v>
      </c>
      <c r="K52" s="3953" t="s">
        <v>1981</v>
      </c>
      <c r="L52" s="3953"/>
      <c r="M52" s="2714" t="b">
        <f>D48</f>
        <v>0</v>
      </c>
      <c r="N52" s="2712" t="str">
        <f>E48</f>
        <v>销售额×税（费）率</v>
      </c>
      <c r="O52" s="2715">
        <f>F48</f>
        <v>0</v>
      </c>
    </row>
    <row r="53" spans="1:35" ht="12" customHeight="1">
      <c r="A53" s="2522" t="s">
        <v>1982</v>
      </c>
      <c r="B53" s="3911" t="s">
        <v>2975</v>
      </c>
      <c r="C53" s="3912"/>
      <c r="D53" s="1214" t="e">
        <f ca="1">ROUND(D45*'数据-取费表'!B41/(1+'数据-取费表'!C42),0)</f>
        <v>#REF!</v>
      </c>
      <c r="E53" s="2521" t="s">
        <v>1980</v>
      </c>
      <c r="F53" s="2743">
        <f>'数据-取费表'!B41</f>
        <v>0</v>
      </c>
      <c r="G53" s="2744"/>
      <c r="H53" s="2733"/>
      <c r="I53" s="1958"/>
      <c r="J53" s="2712">
        <v>2</v>
      </c>
      <c r="K53" s="3953" t="s">
        <v>1983</v>
      </c>
      <c r="L53" s="3953"/>
      <c r="M53" s="2714" t="e">
        <f t="shared" ref="M53:O54" ca="1" si="0">D55</f>
        <v>#REF!</v>
      </c>
      <c r="N53" s="2712" t="str">
        <f t="shared" si="0"/>
        <v>销售额×税（费）率</v>
      </c>
      <c r="O53" s="2715" t="str">
        <f t="shared" si="0"/>
        <v>免征</v>
      </c>
    </row>
    <row r="54" spans="1:35" ht="12" customHeight="1">
      <c r="A54" s="2522" t="s">
        <v>1984</v>
      </c>
      <c r="B54" s="3911" t="s">
        <v>2976</v>
      </c>
      <c r="C54" s="3912"/>
      <c r="D54" s="1214" t="e">
        <f ca="1">C68</f>
        <v>#REF!</v>
      </c>
      <c r="E54" s="331" t="s">
        <v>1985</v>
      </c>
      <c r="F54" s="2743">
        <f>'数据-取费表'!B41</f>
        <v>0</v>
      </c>
      <c r="G54" s="2744"/>
      <c r="H54" s="2745"/>
      <c r="I54" s="1958"/>
      <c r="J54" s="2712">
        <v>3</v>
      </c>
      <c r="K54" s="3953" t="s">
        <v>1986</v>
      </c>
      <c r="L54" s="3953"/>
      <c r="M54" s="2714" t="e">
        <f t="shared" ca="1" si="0"/>
        <v>#REF!</v>
      </c>
      <c r="N54" s="2712" t="str">
        <f t="shared" si="0"/>
        <v>增值额×税（费）率</v>
      </c>
      <c r="O54" s="2716" t="str">
        <f t="shared" si="0"/>
        <v>免征</v>
      </c>
    </row>
    <row r="55" spans="1:35" ht="24" customHeight="1">
      <c r="A55" s="3900" t="s">
        <v>1987</v>
      </c>
      <c r="B55" s="3901"/>
      <c r="C55" s="3901"/>
      <c r="D55" s="2511" t="e">
        <f ca="1">IF(H55="个人住宅",0,ROUND(D45*I55,0))</f>
        <v>#REF!</v>
      </c>
      <c r="E55" s="2521" t="s">
        <v>1988</v>
      </c>
      <c r="F55" s="2743" t="str">
        <f>IF(H55="正常",I55,"免征")</f>
        <v>免征</v>
      </c>
      <c r="G55" s="2744"/>
      <c r="H55" s="2739"/>
      <c r="I55" s="168">
        <f>'数据-取费表'!B49</f>
        <v>5.0000000000000001E-4</v>
      </c>
      <c r="J55" s="2712">
        <f>IF(H59="非个人房产","",4)</f>
        <v>4</v>
      </c>
      <c r="K55" s="3953" t="str">
        <f>IF(H59="非个人房产","——","个人所得税")</f>
        <v>个人所得税</v>
      </c>
      <c r="L55" s="3953"/>
      <c r="M55" s="2717" t="e">
        <f ca="1">D59</f>
        <v>#REF!</v>
      </c>
      <c r="N55" s="2193" t="str">
        <f>E59</f>
        <v>差额计税</v>
      </c>
      <c r="O55" s="2718">
        <f>F59</f>
        <v>0.01</v>
      </c>
    </row>
    <row r="56" spans="1:35" ht="25.2">
      <c r="A56" s="3900" t="s">
        <v>1989</v>
      </c>
      <c r="B56" s="3901"/>
      <c r="C56" s="3901"/>
      <c r="D56" s="2511" t="e">
        <f ca="1">IF(H56="个人住宅",D57,D58)</f>
        <v>#REF!</v>
      </c>
      <c r="E56" s="2521" t="s">
        <v>1990</v>
      </c>
      <c r="F56" s="2743" t="str">
        <f>IF(H56="正常",F58,"免征")</f>
        <v>免征</v>
      </c>
      <c r="G56" s="2746" t="s">
        <v>1991</v>
      </c>
      <c r="H56" s="2747"/>
      <c r="I56" s="1959"/>
      <c r="J56" s="2712" t="str">
        <f>IF(项目基本情况!K6="上海银行",IF(J55="",4,J55+1),"")</f>
        <v/>
      </c>
      <c r="K56" s="3976" t="str">
        <f>IF(项目基本情况!K6="上海银行","其他处置费用","")</f>
        <v/>
      </c>
      <c r="L56" s="3977"/>
      <c r="M56" s="2714" t="str">
        <f>IF(项目基本情况!K6="上海银行",M69,"")</f>
        <v/>
      </c>
      <c r="N56" s="3976" t="str">
        <f>IF(项目基本情况!K6="上海银行","包含处置中涉及的律师、诉讼、拍卖、评估等费用","")</f>
        <v/>
      </c>
      <c r="O56" s="3979"/>
    </row>
    <row r="57" spans="1:35" ht="13.2">
      <c r="A57" s="2522" t="s">
        <v>1967</v>
      </c>
      <c r="B57" s="3911" t="s">
        <v>1992</v>
      </c>
      <c r="C57" s="3912"/>
      <c r="D57" s="1740">
        <v>0</v>
      </c>
      <c r="E57" s="328" t="s">
        <v>1969</v>
      </c>
      <c r="F57" s="306"/>
      <c r="G57" s="2744"/>
      <c r="H57" s="2748"/>
      <c r="I57" s="1959"/>
      <c r="J57" s="3953">
        <f>IF(AND(J55="",J56=""),4,IF(项目基本情况!K6="上海银行",结果表!J56+1,结果表!J55+1))</f>
        <v>5</v>
      </c>
      <c r="K57" s="3953" t="s">
        <v>1993</v>
      </c>
      <c r="L57" s="2719" t="s">
        <v>1994</v>
      </c>
      <c r="M57" s="2720"/>
      <c r="N57" s="2721">
        <f ca="1">SUMIF(M52:M56,"&lt;9e307")</f>
        <v>0</v>
      </c>
      <c r="O57" s="2722"/>
      <c r="P57" s="2882" t="e">
        <f ca="1">N57/M49</f>
        <v>#VALUE!</v>
      </c>
    </row>
    <row r="58" spans="1:35" ht="25.2">
      <c r="A58" s="2522" t="s">
        <v>1978</v>
      </c>
      <c r="B58" s="3911" t="s">
        <v>1995</v>
      </c>
      <c r="C58" s="3886"/>
      <c r="D58" s="2511" t="e">
        <f ca="1">IF(H58="转让取得",C81,C97)</f>
        <v>#REF!</v>
      </c>
      <c r="E58" s="2521" t="s">
        <v>1990</v>
      </c>
      <c r="F58" s="306" t="s">
        <v>34</v>
      </c>
      <c r="G58" s="2744"/>
      <c r="H58" s="2747"/>
      <c r="I58" s="1959"/>
      <c r="J58" s="3953"/>
      <c r="K58" s="3953"/>
      <c r="L58" s="2719" t="s">
        <v>1996</v>
      </c>
      <c r="M58" s="2723"/>
      <c r="N58" s="2724" t="str">
        <f ca="1">NUMBERSTRING(INT(N57*10000),2)&amp;"元整"</f>
        <v>零元整</v>
      </c>
      <c r="O58" s="2725"/>
    </row>
    <row r="59" spans="1:35" ht="24.6" thickBot="1">
      <c r="A59" s="3956" t="s">
        <v>1997</v>
      </c>
      <c r="B59" s="3957"/>
      <c r="C59" s="3957"/>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954">
        <f>J57+1</f>
        <v>6</v>
      </c>
      <c r="K59" s="3953" t="s">
        <v>1998</v>
      </c>
      <c r="L59" s="2712" t="s">
        <v>1994</v>
      </c>
      <c r="M59" s="2726"/>
      <c r="N59" s="2727" t="e">
        <f ca="1">M49-N57</f>
        <v>#VALUE!</v>
      </c>
      <c r="O59" s="2728"/>
    </row>
    <row r="60" spans="1:35" ht="12" customHeight="1">
      <c r="A60" s="1960"/>
      <c r="B60" s="1898"/>
      <c r="C60" s="1898"/>
      <c r="D60" s="1898"/>
      <c r="E60" s="1728"/>
      <c r="F60" s="1959"/>
      <c r="G60" s="1959"/>
      <c r="H60" s="1961"/>
      <c r="I60" s="132"/>
      <c r="J60" s="3955"/>
      <c r="K60" s="3953"/>
      <c r="L60" s="2719" t="s">
        <v>1996</v>
      </c>
      <c r="M60" s="2723"/>
      <c r="N60" s="2724" t="e">
        <f ca="1">NUMBERSTRING(INT(N59*10000),2)&amp;"元整"</f>
        <v>#VALUE!</v>
      </c>
      <c r="O60" s="2725"/>
    </row>
    <row r="61" spans="1:35" ht="13.8" thickBot="1">
      <c r="A61" s="3898" t="s">
        <v>1999</v>
      </c>
      <c r="B61" s="3898"/>
      <c r="C61" s="3898"/>
      <c r="D61" s="3898"/>
      <c r="E61" s="3898"/>
      <c r="F61" s="1959"/>
      <c r="G61" s="1959"/>
      <c r="H61" s="1961"/>
      <c r="I61" s="132"/>
      <c r="J61" s="2712">
        <f>J59+1</f>
        <v>7</v>
      </c>
      <c r="K61" s="3953" t="s">
        <v>2000</v>
      </c>
      <c r="L61" s="3953"/>
      <c r="M61" s="2729"/>
      <c r="N61" s="2730" t="e">
        <f ca="1">ROUND(N59*10000/'数据-汇总表'!E3,0)</f>
        <v>#VALUE!</v>
      </c>
      <c r="O61" s="2731"/>
    </row>
    <row r="62" spans="1:35" ht="13.2">
      <c r="A62" s="3916" t="s">
        <v>2001</v>
      </c>
      <c r="B62" s="3917"/>
      <c r="C62" s="2174"/>
      <c r="D62" s="2174" t="s">
        <v>2002</v>
      </c>
      <c r="E62" s="169" t="s">
        <v>2003</v>
      </c>
      <c r="F62" s="1959"/>
      <c r="G62" s="1959"/>
      <c r="H62" s="1961"/>
      <c r="I62" s="132"/>
    </row>
    <row r="63" spans="1:35" ht="13.2">
      <c r="A63" s="176" t="s">
        <v>775</v>
      </c>
      <c r="B63" s="170" t="s">
        <v>2004</v>
      </c>
      <c r="C63" s="2753" t="e">
        <f ca="1">ROUND((C64+C65)/(1+'数据-取费表'!C42),0)</f>
        <v>#REF!</v>
      </c>
      <c r="D63" s="170"/>
      <c r="E63" s="171"/>
      <c r="F63" s="1959"/>
      <c r="G63" s="1959"/>
      <c r="H63" s="1961"/>
      <c r="I63" s="132"/>
      <c r="J63" s="3978"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978"/>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978"/>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978"/>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978"/>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978"/>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978"/>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4.4" thickBot="1">
      <c r="A70" s="3937" t="s">
        <v>2020</v>
      </c>
      <c r="B70" s="3938"/>
      <c r="C70" s="3938"/>
      <c r="D70" s="3938"/>
      <c r="E70" s="3938"/>
      <c r="F70" s="3938"/>
      <c r="G70" s="3938"/>
      <c r="H70" s="3938"/>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3.8">
      <c r="A71" s="3916" t="s">
        <v>2001</v>
      </c>
      <c r="B71" s="3917"/>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3.8">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3.8">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28.8">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911" t="s">
        <v>2028</v>
      </c>
      <c r="F76" s="3886"/>
      <c r="G76" s="3886"/>
      <c r="H76" s="3936"/>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895" t="s">
        <v>2032</v>
      </c>
      <c r="F78" s="3896"/>
      <c r="G78" s="3896"/>
      <c r="H78" s="3905"/>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3.8">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6"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4.4" thickBot="1">
      <c r="A83" s="3937" t="s">
        <v>2036</v>
      </c>
      <c r="B83" s="3938"/>
      <c r="C83" s="3938"/>
      <c r="D83" s="3938"/>
      <c r="E83" s="3938"/>
      <c r="F83" s="3938"/>
      <c r="G83" s="3938"/>
      <c r="H83" s="3938"/>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3.8">
      <c r="A84" s="3916" t="s">
        <v>2001</v>
      </c>
      <c r="B84" s="3917"/>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3.8">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3.8">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3.8">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4">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3.8">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4">
      <c r="A90" s="172" t="s">
        <v>771</v>
      </c>
      <c r="B90" s="173" t="s">
        <v>2042</v>
      </c>
      <c r="C90" s="2771"/>
      <c r="D90" s="2766"/>
      <c r="E90" s="197" t="str">
        <f>IF(H88="-","土地取得成本中已包含该笔费用"," ")</f>
        <v xml:space="preserve"> </v>
      </c>
      <c r="F90" s="2514"/>
      <c r="G90" s="3980" t="s">
        <v>2809</v>
      </c>
      <c r="H90" s="3981"/>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895" t="s">
        <v>2045</v>
      </c>
      <c r="F91" s="3896"/>
      <c r="G91" s="3896"/>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895" t="s">
        <v>2048</v>
      </c>
      <c r="F92" s="3896"/>
      <c r="G92" s="3896"/>
      <c r="H92" s="3905"/>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895" t="s">
        <v>2032</v>
      </c>
      <c r="F93" s="3896"/>
      <c r="G93" s="3896"/>
      <c r="H93" s="3905"/>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906" t="s">
        <v>2052</v>
      </c>
      <c r="F94" s="3907"/>
      <c r="G94" s="3907"/>
      <c r="H94" s="3908"/>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3.8">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6"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637" t="s">
        <v>2054</v>
      </c>
      <c r="B100" s="3638"/>
      <c r="C100" s="3638"/>
      <c r="D100" s="3897"/>
      <c r="E100" s="3638" t="s">
        <v>2055</v>
      </c>
      <c r="F100" s="3638"/>
      <c r="G100" s="3638"/>
      <c r="H100" s="3897"/>
      <c r="I100" s="132"/>
    </row>
    <row r="101" spans="1:35" ht="18.75" customHeight="1">
      <c r="A101" s="3961" t="s">
        <v>2056</v>
      </c>
      <c r="B101" s="3962"/>
      <c r="C101" s="2774">
        <f>C4</f>
        <v>0</v>
      </c>
      <c r="D101" s="2775">
        <f>D4</f>
        <v>0</v>
      </c>
      <c r="E101" s="3975" t="s">
        <v>2057</v>
      </c>
      <c r="F101" s="3929"/>
      <c r="G101" s="1978" t="s">
        <v>2058</v>
      </c>
      <c r="H101" s="2784" t="e">
        <f ca="1">H118</f>
        <v>#REF!</v>
      </c>
      <c r="I101" s="132"/>
    </row>
    <row r="102" spans="1:35" ht="18.75" customHeight="1">
      <c r="A102" s="3931" t="s">
        <v>2059</v>
      </c>
      <c r="B102" s="2773" t="s">
        <v>2058</v>
      </c>
      <c r="C102" s="2774" t="e">
        <f ca="1">C19</f>
        <v>#REF!</v>
      </c>
      <c r="D102" s="2775" t="e">
        <f ca="1">D19</f>
        <v>#REF!</v>
      </c>
      <c r="E102" s="3975"/>
      <c r="F102" s="3929"/>
      <c r="G102" s="1978" t="s">
        <v>2060</v>
      </c>
      <c r="H102" s="2744" t="e">
        <f ca="1">I118</f>
        <v>#REF!</v>
      </c>
      <c r="I102" s="132"/>
    </row>
    <row r="103" spans="1:35" ht="42.75" customHeight="1">
      <c r="A103" s="3931"/>
      <c r="B103" s="2773" t="s">
        <v>2060</v>
      </c>
      <c r="C103" s="2776" t="e">
        <f ca="1">C20</f>
        <v>#REF!</v>
      </c>
      <c r="D103" s="2777" t="e">
        <f ca="1">D20</f>
        <v>#REF!</v>
      </c>
      <c r="E103" s="3969" t="s">
        <v>2061</v>
      </c>
      <c r="F103" s="3970"/>
      <c r="G103" s="1979" t="s">
        <v>2062</v>
      </c>
      <c r="H103" s="2784">
        <f>IF(D36="正常操作",H104+H105+H106,H105+H106)</f>
        <v>0</v>
      </c>
      <c r="I103" s="132"/>
    </row>
    <row r="104" spans="1:35" ht="18.75" customHeight="1">
      <c r="A104" s="3931"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932"/>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928" t="str">
        <f>IF(项目基本情况!E8="已注销","——","3.房地产抵押价值")</f>
        <v>3.房地产抵押价值</v>
      </c>
      <c r="F107" s="3929"/>
      <c r="G107" s="1978" t="s">
        <v>2058</v>
      </c>
      <c r="H107" s="2784" t="e">
        <f ca="1">IF(E107="——","——",H101-H103)</f>
        <v>#REF!</v>
      </c>
      <c r="I107" s="132"/>
    </row>
    <row r="108" spans="1:35" ht="18.75" customHeight="1">
      <c r="A108" s="132"/>
      <c r="B108" s="132"/>
      <c r="C108" s="132"/>
      <c r="D108" s="132"/>
      <c r="E108" s="3928"/>
      <c r="F108" s="3929"/>
      <c r="G108" s="1978" t="s">
        <v>2060</v>
      </c>
      <c r="H108" s="2744" t="e">
        <f ca="1">ROUND(H107*10000/'数据-汇总表'!E3,0)</f>
        <v>#REF!</v>
      </c>
      <c r="I108" s="132"/>
    </row>
    <row r="109" spans="1:35" ht="18.75" customHeight="1">
      <c r="A109" s="132"/>
      <c r="B109" s="132"/>
      <c r="C109" s="132"/>
      <c r="D109" s="132"/>
      <c r="E109" s="3928" t="str">
        <f>IF(项目基本情况!E8="已注销及未注销","4.抵押担保权已注销时的房地产抵押价值",IF(项目基本情况!E8="已注销","3.抵押担保权已注销时的房地产抵押价值","——"))</f>
        <v>——</v>
      </c>
      <c r="F109" s="3929"/>
      <c r="G109" s="1978" t="s">
        <v>2058</v>
      </c>
      <c r="H109" s="2787" t="str">
        <f>IF(E109="——","——",H101-H105-H106)</f>
        <v>——</v>
      </c>
      <c r="I109" s="132"/>
    </row>
    <row r="110" spans="1:35" ht="18.75" customHeight="1">
      <c r="A110" s="132"/>
      <c r="B110" s="132"/>
      <c r="C110" s="132"/>
      <c r="D110" s="132"/>
      <c r="E110" s="3928"/>
      <c r="F110" s="3929"/>
      <c r="G110" s="1978" t="s">
        <v>2060</v>
      </c>
      <c r="H110" s="2744" t="str">
        <f>IF(H109="——","——",ROUND(H109*10000/'数据-汇总表'!E3,0))</f>
        <v>——</v>
      </c>
      <c r="I110" s="132"/>
    </row>
    <row r="111" spans="1:35" ht="18.75" customHeight="1">
      <c r="A111" s="132"/>
      <c r="B111" s="132"/>
      <c r="C111" s="132"/>
      <c r="D111" s="132"/>
      <c r="E111" s="3963" t="str">
        <f>IF(项目基本情况!E9="抵押净值",IF(OR(项目基本情况!E8="已注销",项目基本情况!E8="房地产抵押价值"),"4.抵押净值","5.抵押净值"),"——")</f>
        <v>——</v>
      </c>
      <c r="F111" s="3930"/>
      <c r="G111" s="1978" t="s">
        <v>2058</v>
      </c>
      <c r="H111" s="2784" t="str">
        <f>IF(E111="——","——",N59)</f>
        <v>——</v>
      </c>
      <c r="I111" s="132"/>
    </row>
    <row r="112" spans="1:35" ht="18.75" customHeight="1" thickBot="1">
      <c r="A112" s="132"/>
      <c r="B112" s="132"/>
      <c r="C112" s="132"/>
      <c r="D112" s="132"/>
      <c r="E112" s="3964"/>
      <c r="F112" s="3965"/>
      <c r="G112" s="1981" t="s">
        <v>2060</v>
      </c>
      <c r="H112" s="2788" t="str">
        <f>IF(E111="——","——",N61)</f>
        <v>——</v>
      </c>
      <c r="I112" s="132"/>
    </row>
    <row r="113" spans="1:27" ht="18.75" customHeight="1">
      <c r="A113" s="132"/>
      <c r="B113" s="132"/>
      <c r="C113" s="132"/>
      <c r="D113" s="132"/>
      <c r="E113" s="3933" t="s">
        <v>2066</v>
      </c>
      <c r="F113" s="3933"/>
      <c r="G113" s="3933"/>
      <c r="H113" s="3933"/>
      <c r="I113" s="132"/>
    </row>
    <row r="114" spans="1:27" ht="3.75" customHeight="1">
      <c r="A114" s="1898"/>
      <c r="B114" s="1898"/>
      <c r="C114" s="1898"/>
      <c r="D114" s="1898"/>
      <c r="E114" s="1960"/>
      <c r="F114" s="1960"/>
      <c r="G114" s="1960"/>
      <c r="H114" s="1960"/>
      <c r="I114" s="1898"/>
    </row>
    <row r="115" spans="1:27" ht="18.75" customHeight="1">
      <c r="A115" s="3946" t="s">
        <v>2068</v>
      </c>
      <c r="B115" s="3947"/>
      <c r="C115" s="3947"/>
      <c r="D115" s="3947"/>
      <c r="E115" s="3947"/>
      <c r="F115" s="3947"/>
      <c r="G115" s="3947"/>
      <c r="H115" s="3947"/>
      <c r="I115" s="3948"/>
    </row>
    <row r="116" spans="1:27" ht="27" customHeight="1">
      <c r="A116" s="3899" t="s">
        <v>2069</v>
      </c>
      <c r="B116" s="3934" t="s">
        <v>2070</v>
      </c>
      <c r="C116" s="3934" t="s">
        <v>2071</v>
      </c>
      <c r="D116" s="3950" t="s">
        <v>2072</v>
      </c>
      <c r="E116" s="3951"/>
      <c r="F116" s="3942" t="s">
        <v>2073</v>
      </c>
      <c r="G116" s="3942"/>
      <c r="H116" s="3899" t="s">
        <v>2074</v>
      </c>
      <c r="I116" s="3899"/>
    </row>
    <row r="117" spans="1:27" ht="18.75" customHeight="1">
      <c r="A117" s="3899"/>
      <c r="B117" s="3935"/>
      <c r="C117" s="3935"/>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50449</v>
      </c>
      <c r="C118" s="2516">
        <f>M19</f>
        <v>21500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899" t="s">
        <v>2078</v>
      </c>
      <c r="B119" s="3899"/>
      <c r="C119" s="3899"/>
      <c r="D119" s="3939" t="e">
        <f ca="1">NUMBERSTRING(INT(D118*10000),2)&amp;"元整"</f>
        <v>#REF!</v>
      </c>
      <c r="E119" s="3941"/>
      <c r="F119" s="3939" t="e">
        <f ca="1">NUMBERSTRING(INT(F118*10000),2)&amp;"元整"</f>
        <v>#REF!</v>
      </c>
      <c r="G119" s="3941"/>
      <c r="H119" s="3939" t="e">
        <f ca="1">NUMBERSTRING(INT(H118*10000),2)&amp;"元整"</f>
        <v>#REF!</v>
      </c>
      <c r="I119" s="3941"/>
    </row>
    <row r="120" spans="1:27" ht="18.75" customHeight="1">
      <c r="A120" s="3966" t="str">
        <f>IF(项目基本情况!B9="房地产市场价值","",MID(E103,3,LEN(E103)-2))</f>
        <v/>
      </c>
      <c r="B120" s="3967"/>
      <c r="C120" s="3968"/>
      <c r="D120" s="3966">
        <f>H103</f>
        <v>0</v>
      </c>
      <c r="E120" s="3967"/>
      <c r="F120" s="3967"/>
      <c r="G120" s="3967"/>
      <c r="H120" s="3967"/>
      <c r="I120" s="3968"/>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943" t="s">
        <v>2078</v>
      </c>
      <c r="B121" s="3944"/>
      <c r="C121" s="3945"/>
      <c r="D121" s="3939" t="str">
        <f>IF(D120=0,"零元整",NUMBERSTRING(INT(D120*10000),2)&amp;"元整")</f>
        <v>零元整</v>
      </c>
      <c r="E121" s="3940"/>
      <c r="F121" s="3940"/>
      <c r="G121" s="3940"/>
      <c r="H121" s="3940"/>
      <c r="I121" s="3941"/>
      <c r="AA121" s="731"/>
    </row>
    <row r="122" spans="1:27" ht="18.75" customHeight="1">
      <c r="A122" s="3930" t="str">
        <f>IF(项目基本情况!B9="房地产市场价值","",MID(E107,3,LEN(E107)-2))</f>
        <v/>
      </c>
      <c r="B122" s="3930"/>
      <c r="C122" s="3930"/>
      <c r="D122" s="3966" t="e">
        <f ca="1">H107</f>
        <v>#REF!</v>
      </c>
      <c r="E122" s="3967"/>
      <c r="F122" s="3967"/>
      <c r="G122" s="3967"/>
      <c r="H122" s="3967"/>
      <c r="I122" s="3968"/>
      <c r="AA122" s="731"/>
    </row>
    <row r="123" spans="1:27" ht="18.75" customHeight="1">
      <c r="A123" s="3899" t="s">
        <v>2078</v>
      </c>
      <c r="B123" s="3899"/>
      <c r="C123" s="3899"/>
      <c r="D123" s="3939" t="e">
        <f ca="1">NUMBERSTRING(INT(D122*10000),2)&amp;"元整"</f>
        <v>#REF!</v>
      </c>
      <c r="E123" s="3940"/>
      <c r="F123" s="3940"/>
      <c r="G123" s="3940"/>
      <c r="H123" s="3940"/>
      <c r="I123" s="3941"/>
      <c r="AA123" s="731"/>
    </row>
    <row r="124" spans="1:27" ht="18.75" customHeight="1">
      <c r="A124" s="3930" t="str">
        <f>IF(项目基本情况!B9="房地产市场价值","",MID(E109,3,LEN(E109)-2))</f>
        <v/>
      </c>
      <c r="B124" s="3930"/>
      <c r="C124" s="3930"/>
      <c r="D124" s="3966" t="str">
        <f>H109</f>
        <v>——</v>
      </c>
      <c r="E124" s="3967"/>
      <c r="F124" s="3967"/>
      <c r="G124" s="3967"/>
      <c r="H124" s="3967"/>
      <c r="I124" s="3968"/>
      <c r="AA124" s="731"/>
    </row>
    <row r="125" spans="1:27" ht="18.75" customHeight="1">
      <c r="A125" s="3899" t="s">
        <v>2078</v>
      </c>
      <c r="B125" s="3899"/>
      <c r="C125" s="3899"/>
      <c r="D125" s="3939" t="e">
        <f>NUMBERSTRING(INT(D124*10000),2)&amp;"元整"</f>
        <v>#VALUE!</v>
      </c>
      <c r="E125" s="3940"/>
      <c r="F125" s="3940"/>
      <c r="G125" s="3940"/>
      <c r="H125" s="3940"/>
      <c r="I125" s="3941"/>
      <c r="AA125" s="731"/>
    </row>
    <row r="126" spans="1:27" ht="18.75" customHeight="1">
      <c r="A126" s="3930" t="str">
        <f>IF(项目基本情况!B9="房地产市场价值","",MID(E111,3,LEN(E111)-2))</f>
        <v/>
      </c>
      <c r="B126" s="3930"/>
      <c r="C126" s="3930"/>
      <c r="D126" s="3966" t="str">
        <f>H111</f>
        <v>——</v>
      </c>
      <c r="E126" s="3967"/>
      <c r="F126" s="3967"/>
      <c r="G126" s="3967"/>
      <c r="H126" s="3967"/>
      <c r="I126" s="3968"/>
      <c r="AA126" s="731"/>
    </row>
    <row r="127" spans="1:27" ht="18.75" customHeight="1">
      <c r="A127" s="3899" t="s">
        <v>2078</v>
      </c>
      <c r="B127" s="3899"/>
      <c r="C127" s="3899"/>
      <c r="D127" s="3939" t="e">
        <f>NUMBERSTRING(INT(D126*10000),2)&amp;"元整"</f>
        <v>#VALUE!</v>
      </c>
      <c r="E127" s="3940"/>
      <c r="F127" s="3940"/>
      <c r="G127" s="3940"/>
      <c r="H127" s="3940"/>
      <c r="I127" s="3941"/>
      <c r="AA127" s="731"/>
    </row>
    <row r="128" spans="1:27" ht="21.75" customHeight="1">
      <c r="A128" s="3949" t="s">
        <v>2079</v>
      </c>
      <c r="B128" s="3949"/>
      <c r="C128" s="3949"/>
      <c r="D128" s="3949"/>
      <c r="E128" s="3949"/>
      <c r="F128" s="3949"/>
      <c r="G128" s="3949"/>
      <c r="H128" s="3949"/>
      <c r="I128" s="3949"/>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702" customWidth="1"/>
    <col min="2" max="9" width="15.77734375" style="2702" customWidth="1"/>
    <col min="10" max="16384" width="9" style="2702"/>
  </cols>
  <sheetData>
    <row r="1" spans="1:11" ht="16.2">
      <c r="A1" s="2701" t="s">
        <v>1271</v>
      </c>
      <c r="B1" s="2701">
        <f>SUM(B14:B23)</f>
        <v>46810</v>
      </c>
      <c r="C1" s="2878"/>
      <c r="D1" s="2878"/>
      <c r="E1" s="2878"/>
      <c r="F1" s="2878"/>
      <c r="G1" s="2879"/>
      <c r="H1" s="2880"/>
      <c r="I1" s="2880"/>
      <c r="J1" s="2880"/>
      <c r="K1" s="2880"/>
    </row>
    <row r="2" spans="1:11" ht="16.2">
      <c r="A2" s="2701" t="s">
        <v>1259</v>
      </c>
      <c r="B2" s="2701">
        <f>SUM(C14:C23)</f>
        <v>18734.726999999999</v>
      </c>
      <c r="C2" s="2878"/>
      <c r="D2" s="2878"/>
      <c r="E2" s="2878"/>
      <c r="F2" s="2878"/>
      <c r="G2" s="2879"/>
      <c r="H2" s="2880"/>
      <c r="I2" s="2880"/>
      <c r="J2" s="2880"/>
      <c r="K2" s="2880"/>
    </row>
    <row r="3" spans="1:11" ht="15.6">
      <c r="A3" s="2701" t="s">
        <v>1268</v>
      </c>
      <c r="B3" s="2703">
        <f>项目基本情况!D3</f>
        <v>43252</v>
      </c>
      <c r="C3" s="2878"/>
      <c r="D3" s="2878"/>
      <c r="E3" s="2878"/>
      <c r="F3" s="2878"/>
      <c r="G3" s="2879"/>
      <c r="H3" s="2880"/>
      <c r="I3" s="2880"/>
      <c r="J3" s="2880"/>
      <c r="K3" s="2880"/>
    </row>
    <row r="4" spans="1:11" ht="31.2">
      <c r="A4" s="2701" t="s">
        <v>1267</v>
      </c>
      <c r="B4" s="2701" t="s">
        <v>1266</v>
      </c>
      <c r="C4" s="2701" t="s">
        <v>1265</v>
      </c>
      <c r="D4" s="2701" t="s">
        <v>1264</v>
      </c>
      <c r="E4" s="2878"/>
      <c r="F4" s="2879"/>
      <c r="G4" s="2879"/>
      <c r="H4" s="2880"/>
      <c r="I4" s="2880"/>
      <c r="J4" s="2880"/>
      <c r="K4" s="2880"/>
    </row>
    <row r="5" spans="1:11" ht="15.6">
      <c r="A5" s="2701" t="s">
        <v>1263</v>
      </c>
      <c r="B5" s="2701">
        <f ca="1">SUM(D14:D23)</f>
        <v>165562</v>
      </c>
      <c r="C5" s="2701">
        <f ca="1">ROUND(B5*10000/$B$1,0)</f>
        <v>35369</v>
      </c>
      <c r="D5" s="2701">
        <f ca="1">ROUND(B5*10000/$B$2,0)</f>
        <v>88372</v>
      </c>
      <c r="E5" s="2878"/>
      <c r="F5" s="2879"/>
      <c r="G5" s="2879"/>
      <c r="H5" s="2880"/>
      <c r="I5" s="2880"/>
      <c r="J5" s="2880"/>
      <c r="K5" s="2880"/>
    </row>
    <row r="6" spans="1:11" ht="15.6">
      <c r="A6" s="2701" t="s">
        <v>1262</v>
      </c>
      <c r="B6" s="2701" t="e">
        <f ca="1">SUM(G14:G23)</f>
        <v>#REF!</v>
      </c>
      <c r="C6" s="2701" t="e">
        <f ca="1">ROUND(B6*10000/$B$1,0)</f>
        <v>#REF!</v>
      </c>
      <c r="D6" s="2701" t="e">
        <f ca="1">ROUND(B6*10000/$B$2,0)</f>
        <v>#REF!</v>
      </c>
      <c r="E6" s="2878"/>
      <c r="F6" s="2879"/>
      <c r="G6" s="2879"/>
      <c r="H6" s="2880"/>
      <c r="I6" s="2880"/>
      <c r="J6" s="2880"/>
      <c r="K6" s="2880"/>
    </row>
    <row r="7" spans="1:11" ht="15.6">
      <c r="A7" s="2701" t="s">
        <v>1270</v>
      </c>
      <c r="B7" s="2701">
        <f>SUM(H14:H23)</f>
        <v>0</v>
      </c>
      <c r="C7" s="2701">
        <f>ROUND(B7*10000/$B$1,0)</f>
        <v>0</v>
      </c>
      <c r="D7" s="2701">
        <f>ROUND(B7*10000/$B$2,0)</f>
        <v>0</v>
      </c>
      <c r="E7" s="2878"/>
      <c r="F7" s="2879"/>
      <c r="G7" s="2879"/>
      <c r="H7" s="2880"/>
      <c r="I7" s="2880"/>
      <c r="J7" s="2880"/>
      <c r="K7" s="2880"/>
    </row>
    <row r="8" spans="1:11" ht="15.6">
      <c r="A8" s="2701" t="s">
        <v>1193</v>
      </c>
      <c r="B8" s="2701">
        <f>SUM(I14:I23)</f>
        <v>0</v>
      </c>
      <c r="C8" s="2701">
        <f>ROUND(B8*10000/$B$1,0)</f>
        <v>0</v>
      </c>
      <c r="D8" s="2701">
        <f>ROUND(B8*10000/$B$2,0)</f>
        <v>0</v>
      </c>
      <c r="E8" s="2878"/>
      <c r="F8" s="2879"/>
      <c r="G8" s="2879"/>
      <c r="H8" s="2880"/>
      <c r="I8" s="2880"/>
      <c r="J8" s="2880"/>
      <c r="K8" s="2880"/>
    </row>
    <row r="9" spans="1:11" ht="15.6">
      <c r="A9" s="2701" t="s">
        <v>1261</v>
      </c>
      <c r="B9" s="2709"/>
      <c r="C9" s="2878"/>
      <c r="D9" s="2878"/>
      <c r="E9" s="2878"/>
      <c r="F9" s="2879"/>
      <c r="G9" s="2879"/>
      <c r="H9" s="2880"/>
      <c r="I9" s="2880"/>
      <c r="J9" s="2880"/>
      <c r="K9" s="2880"/>
    </row>
    <row r="10" spans="1:11" ht="15.6">
      <c r="A10" s="2701" t="s">
        <v>1260</v>
      </c>
      <c r="B10" s="2709"/>
      <c r="C10" s="2878"/>
      <c r="D10" s="2878"/>
      <c r="E10" s="2878"/>
      <c r="F10" s="2879"/>
      <c r="G10" s="2879"/>
      <c r="H10" s="2880"/>
      <c r="I10" s="2880"/>
      <c r="J10" s="2880"/>
      <c r="K10" s="2880"/>
    </row>
    <row r="11" spans="1:11" ht="15.6">
      <c r="A11" s="2701" t="s">
        <v>1276</v>
      </c>
      <c r="B11" s="2709"/>
      <c r="C11" s="2878"/>
      <c r="D11" s="2878"/>
      <c r="E11" s="2878"/>
      <c r="F11" s="2879"/>
      <c r="G11" s="2879"/>
      <c r="H11" s="2880"/>
      <c r="I11" s="2880"/>
      <c r="J11" s="2880"/>
      <c r="K11" s="2880"/>
    </row>
    <row r="12" spans="1:11" ht="15.6">
      <c r="A12" s="2878"/>
      <c r="B12" s="2878"/>
      <c r="C12" s="2878"/>
      <c r="D12" s="2878"/>
      <c r="E12" s="2878"/>
      <c r="F12" s="2879"/>
      <c r="G12" s="2879"/>
      <c r="H12" s="2880"/>
      <c r="I12" s="2880"/>
      <c r="J12" s="2880"/>
      <c r="K12" s="2880"/>
    </row>
    <row r="13" spans="1:11" ht="31.8">
      <c r="A13" s="2704" t="s">
        <v>1275</v>
      </c>
      <c r="B13" s="2705" t="s">
        <v>1272</v>
      </c>
      <c r="C13" s="2705" t="s">
        <v>1274</v>
      </c>
      <c r="D13" s="2705" t="s">
        <v>1273</v>
      </c>
      <c r="E13" s="2701" t="s">
        <v>1265</v>
      </c>
      <c r="F13" s="2701" t="s">
        <v>1264</v>
      </c>
      <c r="G13" s="2705" t="s">
        <v>1258</v>
      </c>
      <c r="H13" s="2705" t="s">
        <v>1269</v>
      </c>
      <c r="I13" s="2705" t="s">
        <v>1257</v>
      </c>
      <c r="J13" s="2879"/>
      <c r="K13" s="2880"/>
    </row>
    <row r="14" spans="1:11" ht="15.6">
      <c r="A14" s="2706" t="s">
        <v>1256</v>
      </c>
      <c r="B14" s="2707">
        <f>'数据-汇总表'!E19</f>
        <v>46810</v>
      </c>
      <c r="C14" s="2707">
        <f>面积表!F1</f>
        <v>18734.726999999999</v>
      </c>
      <c r="D14" s="2707">
        <f ca="1">成本法!B2</f>
        <v>165562</v>
      </c>
      <c r="E14" s="2707">
        <f ca="1">ROUND(D14*10000/B14,0)</f>
        <v>35369</v>
      </c>
      <c r="F14" s="2707">
        <f ca="1">ROUND(D14*10000/C14,0)</f>
        <v>88372</v>
      </c>
      <c r="G14" s="2707" t="e">
        <f ca="1">结果表!D122</f>
        <v>#REF!</v>
      </c>
      <c r="H14" s="2707" t="str">
        <f>结果表!D124</f>
        <v>——</v>
      </c>
      <c r="I14" s="2707" t="str">
        <f>结果表!D126</f>
        <v>——</v>
      </c>
      <c r="J14" s="2879"/>
      <c r="K14" s="2880"/>
    </row>
    <row r="15" spans="1:11" ht="15.6">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5.6">
      <c r="A16" s="2706" t="s">
        <v>1254</v>
      </c>
      <c r="B16" s="2708"/>
      <c r="C16" s="2708"/>
      <c r="D16" s="2708"/>
      <c r="E16" s="2707" t="e">
        <f t="shared" si="0"/>
        <v>#DIV/0!</v>
      </c>
      <c r="F16" s="2707" t="e">
        <f t="shared" si="1"/>
        <v>#DIV/0!</v>
      </c>
      <c r="G16" s="1466"/>
      <c r="H16" s="1466"/>
      <c r="I16" s="2708"/>
      <c r="J16" s="2880"/>
      <c r="K16" s="2880"/>
    </row>
    <row r="17" spans="1:11" ht="15.6">
      <c r="A17" s="2706" t="s">
        <v>1253</v>
      </c>
      <c r="B17" s="2708"/>
      <c r="C17" s="2708"/>
      <c r="D17" s="2708"/>
      <c r="E17" s="2707" t="e">
        <f t="shared" si="0"/>
        <v>#DIV/0!</v>
      </c>
      <c r="F17" s="2707" t="e">
        <f t="shared" si="1"/>
        <v>#DIV/0!</v>
      </c>
      <c r="G17" s="1466"/>
      <c r="H17" s="1466"/>
      <c r="I17" s="2708"/>
      <c r="J17" s="2880"/>
      <c r="K17" s="2880"/>
    </row>
    <row r="18" spans="1:11" ht="15.6">
      <c r="A18" s="2706" t="s">
        <v>1252</v>
      </c>
      <c r="B18" s="2708"/>
      <c r="C18" s="2708"/>
      <c r="D18" s="2708"/>
      <c r="E18" s="2707" t="e">
        <f t="shared" si="0"/>
        <v>#DIV/0!</v>
      </c>
      <c r="F18" s="2707" t="e">
        <f t="shared" si="1"/>
        <v>#DIV/0!</v>
      </c>
      <c r="G18" s="2708"/>
      <c r="H18" s="2708"/>
      <c r="I18" s="2708"/>
      <c r="J18" s="2880"/>
      <c r="K18" s="2880"/>
    </row>
    <row r="19" spans="1:11" ht="15.6">
      <c r="A19" s="2706" t="s">
        <v>1251</v>
      </c>
      <c r="B19" s="2708"/>
      <c r="C19" s="2708"/>
      <c r="D19" s="2708"/>
      <c r="E19" s="2707" t="e">
        <f t="shared" si="0"/>
        <v>#DIV/0!</v>
      </c>
      <c r="F19" s="2707" t="e">
        <f t="shared" si="1"/>
        <v>#DIV/0!</v>
      </c>
      <c r="G19" s="2708"/>
      <c r="H19" s="2708"/>
      <c r="I19" s="2708"/>
      <c r="J19" s="2880"/>
      <c r="K19" s="2880"/>
    </row>
    <row r="20" spans="1:11" ht="15.6">
      <c r="A20" s="2706" t="s">
        <v>1250</v>
      </c>
      <c r="B20" s="2708"/>
      <c r="C20" s="2708"/>
      <c r="D20" s="2708"/>
      <c r="E20" s="2707" t="e">
        <f t="shared" si="0"/>
        <v>#DIV/0!</v>
      </c>
      <c r="F20" s="2707" t="e">
        <f t="shared" si="1"/>
        <v>#DIV/0!</v>
      </c>
      <c r="G20" s="2708"/>
      <c r="H20" s="2708"/>
      <c r="I20" s="2708"/>
      <c r="J20" s="2880"/>
      <c r="K20" s="2880"/>
    </row>
    <row r="21" spans="1:11" ht="15.6">
      <c r="A21" s="2706" t="s">
        <v>1249</v>
      </c>
      <c r="B21" s="2708"/>
      <c r="C21" s="2708"/>
      <c r="D21" s="2708"/>
      <c r="E21" s="2707" t="e">
        <f t="shared" si="0"/>
        <v>#DIV/0!</v>
      </c>
      <c r="F21" s="2707" t="e">
        <f t="shared" si="1"/>
        <v>#DIV/0!</v>
      </c>
      <c r="G21" s="2708"/>
      <c r="H21" s="2708"/>
      <c r="I21" s="2708"/>
      <c r="J21" s="2880"/>
      <c r="K21" s="2880"/>
    </row>
    <row r="22" spans="1:11" ht="15.6">
      <c r="A22" s="2706" t="s">
        <v>1248</v>
      </c>
      <c r="B22" s="2708"/>
      <c r="C22" s="2708"/>
      <c r="D22" s="2708"/>
      <c r="E22" s="2707" t="e">
        <f t="shared" si="0"/>
        <v>#DIV/0!</v>
      </c>
      <c r="F22" s="2707" t="e">
        <f t="shared" si="1"/>
        <v>#DIV/0!</v>
      </c>
      <c r="G22" s="2708"/>
      <c r="H22" s="2708"/>
      <c r="I22" s="2708"/>
      <c r="J22" s="2880"/>
      <c r="K22" s="2880"/>
    </row>
    <row r="23" spans="1:11" ht="15.6">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6"/>
  <sheetViews>
    <sheetView topLeftCell="K1" workbookViewId="0">
      <selection activeCell="D8" sqref="D8"/>
    </sheetView>
  </sheetViews>
  <sheetFormatPr defaultRowHeight="14.4"/>
  <sheetData>
    <row r="1" spans="1:28">
      <c r="A1" s="3982" t="s">
        <v>3432</v>
      </c>
      <c r="B1" s="3982"/>
      <c r="C1" s="3982"/>
      <c r="D1" s="3982"/>
      <c r="E1" s="3983"/>
      <c r="F1" s="3983"/>
      <c r="G1" s="3983"/>
      <c r="H1" s="3983"/>
      <c r="I1" s="3983"/>
      <c r="J1" s="3983"/>
      <c r="K1" s="3983"/>
      <c r="L1" s="3983"/>
      <c r="M1" s="3983"/>
      <c r="N1" s="3983"/>
      <c r="O1" s="3983"/>
      <c r="P1" s="3983"/>
      <c r="Q1" s="3983"/>
      <c r="R1" s="3983"/>
      <c r="S1" s="3983"/>
      <c r="T1" s="3983"/>
      <c r="U1" s="3983"/>
      <c r="V1" s="3983"/>
      <c r="W1" s="3983"/>
      <c r="X1" s="3984" t="s">
        <v>3433</v>
      </c>
      <c r="Y1" s="3984"/>
      <c r="Z1" s="3984"/>
      <c r="AA1" s="3985"/>
      <c r="AB1" s="3358"/>
    </row>
    <row r="2" spans="1:28">
      <c r="A2" s="3986" t="s">
        <v>3434</v>
      </c>
      <c r="B2" s="3986"/>
      <c r="C2" s="3986"/>
      <c r="D2" s="3986"/>
      <c r="E2" s="3987" t="s">
        <v>3435</v>
      </c>
      <c r="F2" s="3988"/>
      <c r="G2" s="3988"/>
      <c r="H2" s="3988"/>
      <c r="I2" s="3988"/>
      <c r="J2" s="3987" t="s">
        <v>3436</v>
      </c>
      <c r="K2" s="3989" t="s">
        <v>3437</v>
      </c>
      <c r="L2" s="3990"/>
      <c r="M2" s="3990"/>
      <c r="N2" s="3990"/>
      <c r="O2" s="3990"/>
      <c r="P2" s="3991" t="s">
        <v>3438</v>
      </c>
      <c r="Q2" s="3992"/>
      <c r="R2" s="3992"/>
      <c r="S2" s="3992"/>
      <c r="T2" s="3992"/>
      <c r="U2" s="3992"/>
      <c r="V2" s="3992"/>
      <c r="W2" s="3992"/>
      <c r="X2" s="3993" t="s">
        <v>3439</v>
      </c>
      <c r="Y2" s="3993" t="s">
        <v>3440</v>
      </c>
      <c r="Z2" s="3993" t="s">
        <v>3441</v>
      </c>
      <c r="AA2" s="3994" t="s">
        <v>3442</v>
      </c>
      <c r="AB2" s="3358"/>
    </row>
    <row r="3" spans="1:28">
      <c r="A3" s="3986" t="s">
        <v>3340</v>
      </c>
      <c r="B3" s="3986" t="s">
        <v>3443</v>
      </c>
      <c r="C3" s="3986" t="s">
        <v>3444</v>
      </c>
      <c r="D3" s="3986" t="s">
        <v>3445</v>
      </c>
      <c r="E3" s="3987" t="s">
        <v>3446</v>
      </c>
      <c r="F3" s="3988"/>
      <c r="G3" s="3988"/>
      <c r="H3" s="3987" t="s">
        <v>3447</v>
      </c>
      <c r="I3" s="3987" t="s">
        <v>3448</v>
      </c>
      <c r="J3" s="3988"/>
      <c r="K3" s="3989" t="s">
        <v>37</v>
      </c>
      <c r="L3" s="3989" t="s">
        <v>3449</v>
      </c>
      <c r="M3" s="3989" t="s">
        <v>3450</v>
      </c>
      <c r="N3" s="3989" t="s">
        <v>3451</v>
      </c>
      <c r="O3" s="3989" t="s">
        <v>3452</v>
      </c>
      <c r="P3" s="3991" t="s">
        <v>3448</v>
      </c>
      <c r="Q3" s="3991" t="s">
        <v>3453</v>
      </c>
      <c r="R3" s="3992"/>
      <c r="S3" s="3992"/>
      <c r="T3" s="3992"/>
      <c r="U3" s="3991" t="s">
        <v>3454</v>
      </c>
      <c r="V3" s="3992"/>
      <c r="W3" s="3992"/>
      <c r="X3" s="3993"/>
      <c r="Y3" s="3993"/>
      <c r="Z3" s="3993"/>
      <c r="AA3" s="3994"/>
      <c r="AB3" s="3358"/>
    </row>
    <row r="4" spans="1:28">
      <c r="A4" s="3986"/>
      <c r="B4" s="3986"/>
      <c r="C4" s="3986"/>
      <c r="D4" s="3986"/>
      <c r="E4" s="3359" t="s">
        <v>40</v>
      </c>
      <c r="F4" s="3359" t="s">
        <v>3455</v>
      </c>
      <c r="G4" s="3359" t="s">
        <v>3456</v>
      </c>
      <c r="H4" s="3988"/>
      <c r="I4" s="3988"/>
      <c r="J4" s="3988"/>
      <c r="K4" s="3990"/>
      <c r="L4" s="3990"/>
      <c r="M4" s="3990"/>
      <c r="N4" s="3990"/>
      <c r="O4" s="3990"/>
      <c r="P4" s="3992"/>
      <c r="Q4" s="3360" t="s">
        <v>40</v>
      </c>
      <c r="R4" s="3360" t="s">
        <v>3457</v>
      </c>
      <c r="S4" s="3360" t="s">
        <v>3458</v>
      </c>
      <c r="T4" s="3360" t="s">
        <v>3459</v>
      </c>
      <c r="U4" s="3360" t="s">
        <v>40</v>
      </c>
      <c r="V4" s="3360" t="s">
        <v>3460</v>
      </c>
      <c r="W4" s="3360" t="s">
        <v>3459</v>
      </c>
      <c r="X4" s="3993"/>
      <c r="Y4" s="3993"/>
      <c r="Z4" s="3993"/>
      <c r="AA4" s="3994"/>
      <c r="AB4" s="3358"/>
    </row>
    <row r="5" spans="1:28" ht="36">
      <c r="A5" s="3361">
        <v>2</v>
      </c>
      <c r="B5" s="3361" t="s">
        <v>3461</v>
      </c>
      <c r="C5" s="3361" t="s">
        <v>3462</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48">
      <c r="A6" s="3361">
        <v>8</v>
      </c>
      <c r="B6" s="3361" t="s">
        <v>3461</v>
      </c>
      <c r="C6" s="3361" t="s">
        <v>3463</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60">
      <c r="A7" s="3366">
        <v>14</v>
      </c>
      <c r="B7" s="3367" t="s">
        <v>3461</v>
      </c>
      <c r="C7" s="3366" t="s">
        <v>3464</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96">
      <c r="A8" s="3376">
        <v>15</v>
      </c>
      <c r="B8" s="3377" t="s">
        <v>3461</v>
      </c>
      <c r="C8" s="3377" t="s">
        <v>3465</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3288</v>
      </c>
      <c r="C9" s="3366" t="s">
        <v>3466</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60">
      <c r="A10" s="3366">
        <v>42</v>
      </c>
      <c r="B10" s="3366" t="s">
        <v>3288</v>
      </c>
      <c r="C10" s="3366" t="s">
        <v>3467</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48">
      <c r="A11" s="3376">
        <v>43</v>
      </c>
      <c r="B11" s="3376" t="s">
        <v>3288</v>
      </c>
      <c r="C11" s="3376" t="s">
        <v>3468</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3288</v>
      </c>
      <c r="C12" s="3376" t="s">
        <v>3469</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32">
      <c r="A13" s="3366">
        <v>49</v>
      </c>
      <c r="B13" s="3371" t="s">
        <v>3470</v>
      </c>
      <c r="C13" s="3371" t="s">
        <v>3471</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80">
      <c r="A14" s="3366">
        <v>50</v>
      </c>
      <c r="B14" s="3373" t="s">
        <v>3470</v>
      </c>
      <c r="C14" s="3373" t="s">
        <v>3337</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32">
      <c r="A15" s="3366">
        <v>51</v>
      </c>
      <c r="B15" s="3373" t="s">
        <v>3470</v>
      </c>
      <c r="C15" s="3371" t="s">
        <v>3472</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3288</v>
      </c>
      <c r="C16" s="3366" t="s">
        <v>3473</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M3:M4"/>
    <mergeCell ref="N3:N4"/>
    <mergeCell ref="O3:O4"/>
    <mergeCell ref="P3:P4"/>
    <mergeCell ref="Q3:T3"/>
    <mergeCell ref="E3:G3"/>
    <mergeCell ref="H3:H4"/>
    <mergeCell ref="I3:I4"/>
    <mergeCell ref="K3:K4"/>
    <mergeCell ref="L3:L4"/>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s>
  <phoneticPr fontId="140" type="noConversion"/>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3" t="s">
        <v>1278</v>
      </c>
      <c r="E1" s="1477" t="s">
        <v>1282</v>
      </c>
      <c r="F1" s="1478" t="s">
        <v>1286</v>
      </c>
    </row>
    <row r="2" spans="1:13" ht="19.8">
      <c r="A2" s="1484" t="s">
        <v>1279</v>
      </c>
    </row>
    <row r="3" spans="1:13" ht="15.6">
      <c r="A3" s="1485" t="s">
        <v>1280</v>
      </c>
    </row>
    <row r="4" spans="1:13">
      <c r="A4" s="1475" t="s">
        <v>1281</v>
      </c>
      <c r="B4" s="1480" t="s">
        <v>1283</v>
      </c>
      <c r="C4" s="1481"/>
      <c r="D4" s="1482"/>
      <c r="E4" s="1480" t="s">
        <v>27</v>
      </c>
      <c r="F4" s="1481"/>
      <c r="G4" s="1482"/>
      <c r="H4" s="1480" t="s">
        <v>1284</v>
      </c>
      <c r="I4" s="1481"/>
      <c r="J4" s="1482"/>
      <c r="K4" s="1480" t="s">
        <v>6</v>
      </c>
      <c r="L4" s="1481"/>
      <c r="M4" s="1482"/>
    </row>
    <row r="5" spans="1:13">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7" customWidth="1"/>
    <col min="2" max="3" width="22.33203125" style="1627" customWidth="1"/>
    <col min="4" max="4" width="23" style="1627" customWidth="1"/>
    <col min="5" max="16384" width="9" style="1627"/>
  </cols>
  <sheetData>
    <row r="1" spans="1:4" ht="17.399999999999999">
      <c r="A1" s="3579" t="s">
        <v>1567</v>
      </c>
      <c r="B1" s="3579"/>
      <c r="C1" s="3579"/>
      <c r="D1" s="3579"/>
    </row>
    <row r="2" spans="1:4" ht="17.399999999999999">
      <c r="A2" s="3580" t="s">
        <v>1551</v>
      </c>
      <c r="B2" s="3580"/>
      <c r="C2" s="3580"/>
      <c r="D2" s="3580"/>
    </row>
    <row r="3" spans="1:4" ht="17.399999999999999">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0</v>
      </c>
      <c r="C5" s="1664"/>
      <c r="D5" s="1663" t="s">
        <v>1556</v>
      </c>
    </row>
    <row r="6" spans="1:4" ht="17.399999999999999">
      <c r="A6" s="3580" t="s">
        <v>1557</v>
      </c>
      <c r="B6" s="3580"/>
      <c r="C6" s="3580"/>
      <c r="D6" s="3580"/>
    </row>
    <row r="7" spans="1:4" ht="17.399999999999999">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7.399999999999999">
      <c r="A10" s="1666" t="s">
        <v>1559</v>
      </c>
      <c r="B10" s="681"/>
      <c r="C10" s="681"/>
      <c r="D10" s="681"/>
    </row>
    <row r="11" spans="1:4" ht="30" customHeight="1">
      <c r="A11" s="3581" t="s">
        <v>1560</v>
      </c>
      <c r="B11" s="3573"/>
      <c r="C11" s="3573"/>
      <c r="D11" s="3573"/>
    </row>
    <row r="12" spans="1:4" ht="15.6">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8"/>
      <c r="C12" s="3578"/>
      <c r="D12" s="3578"/>
    </row>
    <row r="13" spans="1:4" ht="30" customHeight="1">
      <c r="A13" s="3573" t="str">
        <f>IF(项目基本情况!B8="抵押","3.抵押双方在办理抵押登记手续时，应使用本公司出具的正式《房地产评估报告》，特提醒报告使用者注意。","——")</f>
        <v>——</v>
      </c>
      <c r="B13" s="3578"/>
      <c r="C13" s="3578"/>
      <c r="D13" s="3578"/>
    </row>
    <row r="14" spans="1:4" ht="15.75" customHeight="1">
      <c r="A14" s="3573" t="str">
        <f>IF(项目基本情况!B8="抵押","4.本次评估估价师所知悉的法定优先受偿款情况说明如下：","——")</f>
        <v>——</v>
      </c>
      <c r="B14" s="3578"/>
      <c r="C14" s="3578"/>
      <c r="D14" s="3578"/>
    </row>
    <row r="15" spans="1:4" ht="42" customHeight="1">
      <c r="A15" s="3573" t="str">
        <f>IF(项目基本情况!B8="抵押","（1）"&amp;CONCATENATE(项目基本情况!L20,项目基本情况!L21,项目基本情况!L22),"——")</f>
        <v>——</v>
      </c>
      <c r="B15" s="3573"/>
      <c r="C15" s="3573"/>
      <c r="D15" s="3573"/>
    </row>
    <row r="16" spans="1:4" ht="30" customHeight="1">
      <c r="A16" s="3575" t="s">
        <v>1561</v>
      </c>
      <c r="B16" s="3575"/>
      <c r="C16" s="3575"/>
      <c r="D16" s="3575"/>
    </row>
    <row r="17" spans="1:4" ht="144" customHeight="1">
      <c r="A17" s="3575" t="s">
        <v>1562</v>
      </c>
      <c r="B17" s="3575"/>
      <c r="C17" s="3575"/>
      <c r="D17" s="3575"/>
    </row>
    <row r="18" spans="1:4" ht="15.75" customHeight="1">
      <c r="A18" s="3573" t="str">
        <f>IF(项目基本情况!B8="抵押",结果表!K120,"——")</f>
        <v>——</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6"/>
      <c r="C21" s="3576"/>
      <c r="D21" s="3576"/>
    </row>
    <row r="22" spans="1:4" ht="18.75" customHeight="1">
      <c r="A22" s="3577" t="s">
        <v>1563</v>
      </c>
      <c r="B22" s="3577"/>
      <c r="C22" s="3577"/>
      <c r="D22" s="3577"/>
    </row>
    <row r="23" spans="1:4">
      <c r="A23" s="1667"/>
      <c r="B23" s="1639"/>
      <c r="C23" s="1639"/>
      <c r="D23" s="1639"/>
    </row>
    <row r="24" spans="1:4">
      <c r="A24" s="1667"/>
      <c r="B24" s="1639"/>
      <c r="C24" s="1639"/>
      <c r="D24" s="1639"/>
    </row>
    <row r="25" spans="1:4" ht="17.399999999999999">
      <c r="A25" s="1668" t="s">
        <v>1564</v>
      </c>
    </row>
    <row r="26" spans="1:4" ht="17.399999999999999">
      <c r="A26" s="1637"/>
    </row>
    <row r="27" spans="1:4" ht="17.399999999999999">
      <c r="A27" s="1637" t="s">
        <v>1565</v>
      </c>
    </row>
    <row r="30" spans="1:4" ht="17.399999999999999">
      <c r="D30" s="1668" t="s">
        <v>1566</v>
      </c>
    </row>
    <row r="31" spans="1:4" ht="13.5" customHeight="1">
      <c r="C31" s="3574">
        <v>42551</v>
      </c>
      <c r="D31" s="35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5" customWidth="1"/>
    <col min="3" max="10" width="12.44140625" style="1625" customWidth="1"/>
    <col min="11" max="16384" width="9" style="1625"/>
  </cols>
  <sheetData>
    <row r="1" spans="1:10" ht="17.399999999999999">
      <c r="A1" s="1658" t="s">
        <v>838</v>
      </c>
      <c r="B1" s="1669"/>
      <c r="C1" s="1669"/>
      <c r="D1" s="1669"/>
      <c r="E1" s="1669"/>
      <c r="F1" s="1669"/>
      <c r="G1" s="1669"/>
      <c r="H1" s="1669"/>
      <c r="I1" s="1669"/>
      <c r="J1" s="1669"/>
    </row>
    <row r="2" spans="1:10" ht="17.399999999999999">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5" customWidth="1"/>
    <col min="2" max="16384" width="14.44140625" style="1657"/>
  </cols>
  <sheetData>
    <row r="1" spans="1:7" s="1672" customFormat="1" ht="17.399999999999999">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4.4">
      <c r="A15" s="3587" t="s">
        <v>1574</v>
      </c>
      <c r="B15" s="3582" t="s">
        <v>136</v>
      </c>
      <c r="C15" s="3583"/>
    </row>
    <row r="16" spans="1:7" ht="14.4">
      <c r="A16" s="3588"/>
      <c r="B16" s="3582" t="s">
        <v>69</v>
      </c>
      <c r="C16" s="3583"/>
    </row>
    <row r="17" spans="1:3" ht="14.4">
      <c r="A17" s="3588"/>
      <c r="B17" s="3585" t="s">
        <v>1575</v>
      </c>
      <c r="C17" s="1682" t="s">
        <v>1574</v>
      </c>
    </row>
    <row r="18" spans="1:3" ht="14.4">
      <c r="A18" s="3588"/>
      <c r="B18" s="3585"/>
      <c r="C18" s="1682" t="s">
        <v>1576</v>
      </c>
    </row>
    <row r="19" spans="1:3" ht="14.4">
      <c r="A19" s="3588"/>
      <c r="B19" s="3585"/>
      <c r="C19" s="1682" t="s">
        <v>1577</v>
      </c>
    </row>
    <row r="20" spans="1:3" ht="14.4">
      <c r="A20" s="3589"/>
      <c r="B20" s="3584" t="s">
        <v>1578</v>
      </c>
      <c r="C20" s="3583"/>
    </row>
    <row r="21" spans="1:3" ht="14.4">
      <c r="A21" s="1683" t="s">
        <v>1579</v>
      </c>
      <c r="B21" s="1684"/>
      <c r="C21" s="1685"/>
    </row>
    <row r="22" spans="1:3" ht="14.4">
      <c r="A22" s="3586" t="s">
        <v>1580</v>
      </c>
      <c r="B22" s="3584" t="s">
        <v>1581</v>
      </c>
      <c r="C22" s="3583"/>
    </row>
    <row r="23" spans="1:3" ht="14.4">
      <c r="A23" s="3586"/>
      <c r="B23" s="3584" t="s">
        <v>1582</v>
      </c>
      <c r="C23" s="3583"/>
    </row>
    <row r="24" spans="1:3" ht="14.4">
      <c r="A24" s="3586"/>
      <c r="B24" s="3584" t="s">
        <v>1583</v>
      </c>
      <c r="C24" s="3583"/>
    </row>
    <row r="25" spans="1:3" ht="14.4">
      <c r="A25" s="3586"/>
      <c r="B25" s="3585" t="s">
        <v>1584</v>
      </c>
      <c r="C25" s="1682" t="s">
        <v>1585</v>
      </c>
    </row>
    <row r="26" spans="1:3" ht="14.4">
      <c r="A26" s="3586"/>
      <c r="B26" s="3585"/>
      <c r="C26" s="1682" t="s">
        <v>1586</v>
      </c>
    </row>
    <row r="27" spans="1:3" ht="14.4">
      <c r="A27" s="3586"/>
      <c r="B27" s="3585"/>
      <c r="C27" s="1682" t="s">
        <v>1587</v>
      </c>
    </row>
    <row r="28" spans="1:3" ht="14.4">
      <c r="A28" s="3586"/>
      <c r="B28" s="3585"/>
      <c r="C28" s="1682" t="s">
        <v>1588</v>
      </c>
    </row>
    <row r="29" spans="1:3" ht="14.4">
      <c r="A29" s="3586"/>
      <c r="B29" s="3585"/>
      <c r="C29" s="1682" t="s">
        <v>1589</v>
      </c>
    </row>
    <row r="30" spans="1:3" ht="14.4">
      <c r="A30" s="3586"/>
      <c r="B30" s="3585"/>
      <c r="C30" s="1682" t="s">
        <v>1590</v>
      </c>
    </row>
    <row r="31" spans="1:3" ht="14.4">
      <c r="A31" s="3586"/>
      <c r="B31" s="3585"/>
      <c r="C31" s="1682" t="s">
        <v>1591</v>
      </c>
    </row>
    <row r="32" spans="1:3" ht="14.4">
      <c r="A32" s="3586"/>
      <c r="B32" s="3585"/>
      <c r="C32" s="1682" t="s">
        <v>1592</v>
      </c>
    </row>
    <row r="33" spans="1:3" ht="14.4">
      <c r="A33" s="3586"/>
      <c r="B33" s="3585"/>
      <c r="C33" s="1682" t="s">
        <v>1593</v>
      </c>
    </row>
    <row r="34" spans="1:3">
      <c r="A34" s="1686" t="s">
        <v>76</v>
      </c>
    </row>
    <row r="37" spans="1:3">
      <c r="A37" s="1686" t="s">
        <v>1594</v>
      </c>
    </row>
    <row r="38" spans="1:3" ht="14.4">
      <c r="A38" s="1687" t="s">
        <v>77</v>
      </c>
    </row>
    <row r="39" spans="1:3" ht="14.4">
      <c r="A39" s="1687" t="s">
        <v>78</v>
      </c>
    </row>
    <row r="40" spans="1:3" ht="14.4">
      <c r="A40" s="1687" t="s">
        <v>79</v>
      </c>
    </row>
    <row r="41" spans="1:3" ht="14.4">
      <c r="A41" s="1688" t="s">
        <v>80</v>
      </c>
    </row>
    <row r="42" spans="1:3" ht="14.4">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4" customWidth="1"/>
    <col min="2" max="2" width="38.6640625" style="2524" customWidth="1"/>
    <col min="3" max="3" width="26" style="2524" customWidth="1"/>
    <col min="4" max="4" width="35" style="2524" hidden="1" customWidth="1"/>
    <col min="5" max="5" width="30.109375" style="2524" customWidth="1"/>
    <col min="6" max="6" width="35.44140625" style="2524" customWidth="1"/>
    <col min="7" max="7" width="31" style="2524" customWidth="1"/>
    <col min="8" max="8" width="37.44140625" style="2524" hidden="1" customWidth="1"/>
    <col min="9" max="16384" width="22.6640625" style="2524"/>
  </cols>
  <sheetData>
    <row r="1" spans="1:8" ht="24" customHeight="1">
      <c r="A1" s="2523"/>
      <c r="B1" s="2523"/>
      <c r="C1" s="2523"/>
      <c r="D1" s="2523"/>
      <c r="E1" s="2523"/>
      <c r="F1" s="2523"/>
      <c r="G1" s="2523"/>
      <c r="H1" s="2523"/>
    </row>
    <row r="2" spans="1:8" ht="24" customHeight="1">
      <c r="A2" s="2525" t="s">
        <v>2819</v>
      </c>
      <c r="B2" s="2526">
        <f ca="1">TODAY()</f>
        <v>45861</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t="str">
        <f ca="1">IF(C4&lt;B2,"已过期",1119970066)</f>
        <v>已过期</v>
      </c>
      <c r="C4" s="2532">
        <v>44876</v>
      </c>
      <c r="D4" s="2533" t="str">
        <f ca="1">A4&amp;"（注册号："&amp;B4&amp;"）"</f>
        <v>梁津（注册号：已过期）</v>
      </c>
      <c r="E4" s="2534" t="s">
        <v>2828</v>
      </c>
      <c r="F4" s="1439">
        <f ca="1">IF(G4&lt;B2,"已过期",96010014)</f>
        <v>96010014</v>
      </c>
      <c r="G4" s="2535">
        <v>47118</v>
      </c>
      <c r="H4" s="2536" t="str">
        <f ca="1">E4&amp;"（注册号："&amp;F4&amp;"）"</f>
        <v>梁津（注册号：96010014）</v>
      </c>
    </row>
    <row r="5" spans="1:8" ht="24" customHeight="1">
      <c r="A5" s="1439" t="s">
        <v>2829</v>
      </c>
      <c r="B5" s="1439" t="str">
        <f ca="1">IF(C5&lt;B2,"已过期",1119970111)</f>
        <v>已过期</v>
      </c>
      <c r="C5" s="2532">
        <v>44876</v>
      </c>
      <c r="D5" s="2533" t="str">
        <f t="shared" ref="D5:D15" ca="1" si="0">A5&amp;"（注册号："&amp;B5&amp;"）"</f>
        <v>叶凌（注册号：已过期）</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t="str">
        <f ca="1">IF(C7&lt;B2,"已过期",1120000080)</f>
        <v>已过期</v>
      </c>
      <c r="C7" s="2532">
        <v>44876</v>
      </c>
      <c r="D7" s="2533" t="str">
        <f t="shared" ca="1" si="0"/>
        <v>欧红伟（注册号：已过期）</v>
      </c>
      <c r="E7" s="2534" t="s">
        <v>2831</v>
      </c>
      <c r="F7" s="1439">
        <f ca="1">IF(G7&lt;B2,"已过期",2000110082)</f>
        <v>2000110082</v>
      </c>
      <c r="G7" s="2535">
        <v>46387</v>
      </c>
      <c r="H7" s="2536" t="str">
        <f t="shared" ca="1" si="1"/>
        <v>欧红伟（注册号：2000110082）</v>
      </c>
    </row>
    <row r="8" spans="1:8" ht="24" customHeight="1">
      <c r="A8" s="1439" t="s">
        <v>2832</v>
      </c>
      <c r="B8" s="1439" t="str">
        <f ca="1">IF(C8&lt;B2,"已过期",1419970001)</f>
        <v>已过期</v>
      </c>
      <c r="C8" s="2532">
        <v>44899</v>
      </c>
      <c r="D8" s="2533" t="str">
        <f t="shared" ca="1" si="0"/>
        <v>吴薇（注册号：已过期）</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t="str">
        <f ca="1">IF(C10&lt;B2,"已过期",1120100036)</f>
        <v>已过期</v>
      </c>
      <c r="C10" s="2537">
        <v>44675</v>
      </c>
      <c r="D10" s="2533" t="str">
        <f t="shared" ca="1" si="0"/>
        <v>崔锴（注册号：已过期）</v>
      </c>
      <c r="E10" s="2534" t="s">
        <v>2834</v>
      </c>
      <c r="F10" s="1439">
        <f ca="1">IF(G10&lt;B2,"已过期",2010110070)</f>
        <v>2010110070</v>
      </c>
      <c r="G10" s="2535">
        <v>47907</v>
      </c>
      <c r="H10" s="2536" t="str">
        <f t="shared" ca="1" si="1"/>
        <v>崔锴（注册号：2010110070）</v>
      </c>
    </row>
    <row r="11" spans="1:8" ht="24" customHeight="1">
      <c r="A11" s="1439" t="s">
        <v>2835</v>
      </c>
      <c r="B11" s="1439" t="str">
        <f ca="1">IF(C11&lt;B2,"已过期",1120070131)</f>
        <v>已过期</v>
      </c>
      <c r="C11" s="2532">
        <v>44849</v>
      </c>
      <c r="D11" s="2533" t="str">
        <f t="shared" ca="1" si="0"/>
        <v>郑燚（注册号：已过期）</v>
      </c>
      <c r="E11" s="2534" t="s">
        <v>2835</v>
      </c>
      <c r="F11" s="1439">
        <f ca="1">IF(G11&lt;B2,"已过期",2014110011)</f>
        <v>2014110011</v>
      </c>
      <c r="G11" s="2535">
        <v>49302</v>
      </c>
      <c r="H11" s="2536" t="str">
        <f t="shared" ca="1" si="1"/>
        <v>郑燚（注册号：2014110011）</v>
      </c>
    </row>
    <row r="12" spans="1:8" ht="24" customHeight="1">
      <c r="A12" s="1439" t="s">
        <v>2836</v>
      </c>
      <c r="B12" s="1439" t="str">
        <f ca="1">IF(C12&lt;B2,"已过期",1120040230)</f>
        <v>已过期</v>
      </c>
      <c r="C12" s="2537">
        <v>44864</v>
      </c>
      <c r="D12" s="2533" t="str">
        <f t="shared" ca="1" si="0"/>
        <v>苏海（注册号：已过期）</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t="str">
        <f ca="1">IF(C14&lt;B2,"已过期",1119980106)</f>
        <v>已过期</v>
      </c>
      <c r="C14" s="2537">
        <v>44969</v>
      </c>
      <c r="D14" s="2533" t="str">
        <f t="shared" ca="1" si="0"/>
        <v>刘俊财（注册号：已过期）</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590" t="s">
        <v>2840</v>
      </c>
      <c r="B17" s="3590"/>
      <c r="C17" s="3590"/>
      <c r="D17" s="3590"/>
      <c r="E17" s="3590"/>
      <c r="F17" s="3590"/>
      <c r="G17" s="3590"/>
      <c r="H17" s="3590"/>
    </row>
    <row r="18" spans="1:8" ht="24" customHeight="1">
      <c r="A18" s="3591" t="s">
        <v>2841</v>
      </c>
      <c r="B18" s="3591"/>
      <c r="C18" s="3591"/>
      <c r="D18" s="2530"/>
      <c r="E18" s="3592" t="s">
        <v>2842</v>
      </c>
      <c r="F18" s="3591"/>
      <c r="G18" s="3591"/>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权属文件</vt:lpstr>
      <vt:lpstr>估价对象房地状况</vt:lpstr>
      <vt:lpstr>结果汇总表</vt:lpstr>
      <vt:lpstr>Sheet1</vt:lpstr>
      <vt:lpstr>面积表</vt:lpstr>
      <vt:lpstr>Sheet4</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Sheet5</vt:lpstr>
      <vt:lpstr>Sheet3</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2025-07-23T06:07:59Z</dcterms:modified>
</cp:coreProperties>
</file>