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公安部\"/>
    </mc:Choice>
  </mc:AlternateContent>
  <bookViews>
    <workbookView xWindow="0" yWindow="0" windowWidth="19452" windowHeight="127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0" r:id="rId35"/>
    <sheet name="成本法" sheetId="68"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19" i="80" l="1"/>
  <c r="D5" i="9" l="1"/>
  <c r="D28" i="80"/>
  <c r="D27" i="80"/>
  <c r="D26" i="80"/>
  <c r="D25" i="80"/>
  <c r="D24" i="80"/>
  <c r="D23" i="80"/>
  <c r="D22" i="80"/>
  <c r="D21" i="80"/>
  <c r="D20" i="80"/>
  <c r="D18" i="80"/>
  <c r="D17" i="80"/>
  <c r="D16" i="80"/>
  <c r="D15" i="80"/>
  <c r="D14" i="80"/>
  <c r="D13" i="80"/>
  <c r="D5" i="80"/>
  <c r="D6" i="80"/>
  <c r="D7" i="80"/>
  <c r="D8" i="80"/>
  <c r="D9" i="80"/>
  <c r="D10" i="80"/>
  <c r="D11" i="80"/>
  <c r="D12" i="80"/>
  <c r="D4" i="80"/>
  <c r="G73" i="43" l="1"/>
  <c r="G74" i="43"/>
  <c r="G75" i="43"/>
  <c r="G76" i="43"/>
  <c r="G77" i="43"/>
  <c r="G78" i="43"/>
  <c r="G79" i="43"/>
  <c r="G80" i="43"/>
  <c r="G72" i="43"/>
  <c r="F19" i="6"/>
  <c r="B56" i="1"/>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5" i="79"/>
  <c r="AD36" i="79"/>
  <c r="AD37" i="79"/>
  <c r="AR40" i="79"/>
  <c r="AR41" i="79" s="1"/>
  <c r="AR42" i="79" s="1"/>
  <c r="AR43" i="79" s="1"/>
  <c r="AR44" i="79" s="1"/>
  <c r="AR45" i="79" s="1"/>
  <c r="AR46" i="79" s="1"/>
  <c r="AR47" i="79" s="1"/>
  <c r="AR48" i="79" s="1"/>
  <c r="AR49" i="79" s="1"/>
  <c r="AR50" i="79" s="1"/>
  <c r="AR51" i="79" s="1"/>
  <c r="AR52" i="79" s="1"/>
  <c r="Z3" i="79"/>
  <c r="T40" i="79"/>
  <c r="AD47" i="79"/>
  <c r="AD51" i="79"/>
  <c r="AA31" i="79"/>
  <c r="AD31" i="79" s="1"/>
  <c r="S48" i="79"/>
  <c r="AG48" i="79" s="1"/>
  <c r="U50" i="79"/>
  <c r="AI50" i="79" s="1"/>
  <c r="AR18" i="79"/>
  <c r="AR19" i="79" s="1"/>
  <c r="AR20" i="79" s="1"/>
  <c r="AR21" i="79" s="1"/>
  <c r="AR22" i="79" s="1"/>
  <c r="AR23" i="79" s="1"/>
  <c r="AR24" i="79" s="1"/>
  <c r="T35" i="79"/>
  <c r="T33" i="79"/>
  <c r="T34" i="79"/>
  <c r="S33" i="79"/>
  <c r="AG33" i="79" s="1"/>
  <c r="S34" i="79"/>
  <c r="AG34" i="79" s="1"/>
  <c r="S35" i="79"/>
  <c r="AG35" i="79" s="1"/>
  <c r="U46" i="79"/>
  <c r="AI46"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2" i="79" l="1"/>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D58" i="71"/>
  <c r="D62" i="71"/>
  <c r="Q68" i="71"/>
  <c r="E71" i="71"/>
  <c r="E70" i="71" s="1"/>
  <c r="D72" i="71"/>
  <c r="E75" i="71"/>
  <c r="E74" i="71" s="1"/>
  <c r="E79" i="71"/>
  <c r="E78" i="71" s="1"/>
  <c r="D80" i="71"/>
  <c r="C87" i="71"/>
  <c r="F28" i="71"/>
  <c r="F27" i="71" s="1"/>
  <c r="F26" i="71" s="1"/>
  <c r="AB27" i="7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K5" i="3" s="1"/>
  <c r="BM556" i="3"/>
  <c r="BN556" i="3"/>
  <c r="BO556" i="3"/>
  <c r="BP556" i="3"/>
  <c r="BP5"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F5" i="3" s="1"/>
  <c r="BG560" i="3"/>
  <c r="BH560" i="3"/>
  <c r="BI560" i="3"/>
  <c r="BJ560" i="3"/>
  <c r="BJ5" i="3" s="1"/>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A564" i="3" s="1"/>
  <c r="AZ564" i="3" s="1"/>
  <c r="BE564" i="3"/>
  <c r="BF564" i="3"/>
  <c r="BG564" i="3"/>
  <c r="BH564" i="3"/>
  <c r="BI564" i="3"/>
  <c r="BJ564" i="3"/>
  <c r="BK564" i="3"/>
  <c r="BM564" i="3"/>
  <c r="BN564" i="3"/>
  <c r="BO564" i="3"/>
  <c r="BP564" i="3"/>
  <c r="BQ564" i="3"/>
  <c r="BR564" i="3"/>
  <c r="BS564" i="3"/>
  <c r="BT564" i="3"/>
  <c r="H565" i="3"/>
  <c r="G565" i="3" s="1"/>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B99" i="35"/>
  <c r="F35" i="35" s="1"/>
  <c r="AA35" i="35" s="1"/>
  <c r="B97" i="35"/>
  <c r="B77" i="35"/>
  <c r="B75" i="35"/>
  <c r="J24" i="35" s="1"/>
  <c r="AC24" i="35"/>
  <c r="B73" i="35"/>
  <c r="J23" i="35" s="1"/>
  <c r="AC23" i="35" s="1"/>
  <c r="H23" i="35"/>
  <c r="U23" i="35" s="1"/>
  <c r="B57" i="35"/>
  <c r="B61" i="35"/>
  <c r="B59" i="35"/>
  <c r="F12" i="35" s="1"/>
  <c r="B131" i="34"/>
  <c r="B129" i="34"/>
  <c r="B127" i="34"/>
  <c r="B99" i="34"/>
  <c r="B97" i="34"/>
  <c r="B95" i="34"/>
  <c r="B93" i="34"/>
  <c r="F29" i="34" s="1"/>
  <c r="S29" i="34" s="1"/>
  <c r="B75" i="34"/>
  <c r="B73" i="34"/>
  <c r="B71" i="34"/>
  <c r="J12" i="34" s="1"/>
  <c r="W12" i="34" s="1"/>
  <c r="B130" i="33"/>
  <c r="F46" i="33" s="1"/>
  <c r="AA46" i="33" s="1"/>
  <c r="B128" i="33"/>
  <c r="B126" i="33"/>
  <c r="B98" i="33"/>
  <c r="B96" i="33"/>
  <c r="F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F46" i="21" s="1"/>
  <c r="B128" i="21"/>
  <c r="J45" i="21"/>
  <c r="W45" i="21" s="1"/>
  <c r="B126" i="21"/>
  <c r="B98" i="21"/>
  <c r="B96" i="21"/>
  <c r="H30" i="21" s="1"/>
  <c r="B94" i="21"/>
  <c r="J29" i="21"/>
  <c r="AC29" i="21" s="1"/>
  <c r="B92" i="21"/>
  <c r="H28" i="21" s="1"/>
  <c r="AB28" i="21" s="1"/>
  <c r="B90" i="21"/>
  <c r="J27" i="21"/>
  <c r="W27" i="21" s="1"/>
  <c r="B74" i="21"/>
  <c r="H14" i="21" s="1"/>
  <c r="AB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F36" i="39"/>
  <c r="S36" i="39" s="1"/>
  <c r="H36" i="39"/>
  <c r="AB36" i="39"/>
  <c r="F35" i="39"/>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C27" i="35"/>
  <c r="W28" i="35"/>
  <c r="U31" i="35"/>
  <c r="W22" i="35"/>
  <c r="S31" i="35"/>
  <c r="U34" i="35"/>
  <c r="F36" i="34"/>
  <c r="J35" i="34"/>
  <c r="W9" i="34"/>
  <c r="U34" i="34"/>
  <c r="H39" i="33"/>
  <c r="AB39" i="33" s="1"/>
  <c r="F26" i="33"/>
  <c r="U33" i="33"/>
  <c r="S40" i="33"/>
  <c r="W39" i="33"/>
  <c r="F11" i="40"/>
  <c r="AA11" i="40" s="1"/>
  <c r="H11" i="40"/>
  <c r="AB11" i="40" s="1"/>
  <c r="W8" i="40"/>
  <c r="AA9" i="40"/>
  <c r="W31" i="40"/>
  <c r="U34" i="40"/>
  <c r="S38" i="40"/>
  <c r="F42" i="39"/>
  <c r="AA42" i="39" s="1"/>
  <c r="F41" i="39"/>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c r="F27" i="39"/>
  <c r="F11" i="21"/>
  <c r="S11" i="21" s="1"/>
  <c r="S40" i="21"/>
  <c r="U34" i="21"/>
  <c r="C25" i="39"/>
  <c r="H11" i="39"/>
  <c r="U11" i="39" s="1"/>
  <c r="C15" i="39"/>
  <c r="H32" i="33"/>
  <c r="AB32" i="33"/>
  <c r="H11" i="21"/>
  <c r="U11" i="21" s="1"/>
  <c r="J11" i="21"/>
  <c r="W11" i="21" s="1"/>
  <c r="H37" i="40"/>
  <c r="U37" i="40"/>
  <c r="H36" i="40"/>
  <c r="AB36" i="40" s="1"/>
  <c r="F35" i="40"/>
  <c r="AA35" i="40" s="1"/>
  <c r="H23" i="40"/>
  <c r="AB23" i="40" s="1"/>
  <c r="H17" i="40"/>
  <c r="U17" i="40"/>
  <c r="J15" i="40"/>
  <c r="W15" i="40" s="1"/>
  <c r="J11" i="40"/>
  <c r="AB8" i="39"/>
  <c r="AC12" i="34"/>
  <c r="AB12" i="35"/>
  <c r="W32" i="40"/>
  <c r="F37" i="39"/>
  <c r="AA37" i="39"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AA41" i="33"/>
  <c r="E113" i="33"/>
  <c r="F32" i="33"/>
  <c r="AA32" i="33"/>
  <c r="J19" i="33"/>
  <c r="AC19" i="33"/>
  <c r="J15" i="33"/>
  <c r="AC15" i="33"/>
  <c r="F11" i="33"/>
  <c r="AA11" i="33" s="1"/>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W36" i="34"/>
  <c r="H37" i="34"/>
  <c r="U37" i="34" s="1"/>
  <c r="H25" i="34"/>
  <c r="AB25" i="34" s="1"/>
  <c r="J25" i="34"/>
  <c r="AC25" i="34"/>
  <c r="AB23" i="34"/>
  <c r="F23" i="34"/>
  <c r="J19" i="34"/>
  <c r="AC19" i="34" s="1"/>
  <c r="F17" i="34"/>
  <c r="AA17" i="34"/>
  <c r="J17" i="34"/>
  <c r="W17" i="34" s="1"/>
  <c r="AB17" i="34"/>
  <c r="S41" i="33"/>
  <c r="F113" i="33"/>
  <c r="G113" i="33" s="1"/>
  <c r="H113" i="33"/>
  <c r="I113" i="33" s="1"/>
  <c r="J113" i="33" s="1"/>
  <c r="K113" i="33" s="1"/>
  <c r="L113" i="33" s="1"/>
  <c r="M113" i="33" s="1"/>
  <c r="H37" i="33"/>
  <c r="AB37" i="33" s="1"/>
  <c r="H15" i="33"/>
  <c r="AB15" i="33" s="1"/>
  <c r="H11" i="33"/>
  <c r="AB11" i="33" s="1"/>
  <c r="F28" i="40"/>
  <c r="AA29" i="35"/>
  <c r="S42" i="34"/>
  <c r="AC38" i="34"/>
  <c r="AA38" i="34"/>
  <c r="J37" i="34"/>
  <c r="AC37" i="34" s="1"/>
  <c r="J11" i="33"/>
  <c r="J42" i="21"/>
  <c r="AC42" i="21" s="1"/>
  <c r="H42" i="21"/>
  <c r="U42" i="21" s="1"/>
  <c r="J44" i="34"/>
  <c r="W44" i="34" s="1"/>
  <c r="F44" i="34"/>
  <c r="AA44" i="34"/>
  <c r="J10" i="35"/>
  <c r="AC10" i="35" s="1"/>
  <c r="J14" i="21"/>
  <c r="W14" i="21" s="1"/>
  <c r="F14" i="21"/>
  <c r="S14" i="21" s="1"/>
  <c r="F28" i="21"/>
  <c r="AA28" i="21" s="1"/>
  <c r="J28" i="21"/>
  <c r="J30" i="21"/>
  <c r="AC30" i="21" s="1"/>
  <c r="J44" i="21"/>
  <c r="AC44" i="21" s="1"/>
  <c r="H44" i="21"/>
  <c r="U44" i="21"/>
  <c r="F44" i="21"/>
  <c r="AA44" i="21" s="1"/>
  <c r="H46" i="21"/>
  <c r="U46" i="21" s="1"/>
  <c r="J46" i="21"/>
  <c r="AA46" i="21"/>
  <c r="H26" i="33"/>
  <c r="H28" i="33"/>
  <c r="U28" i="33" s="1"/>
  <c r="F28" i="33"/>
  <c r="AA28" i="33" s="1"/>
  <c r="F33" i="35"/>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W46" i="34" s="1"/>
  <c r="H11" i="35"/>
  <c r="AB11" i="35" s="1"/>
  <c r="J11" i="35"/>
  <c r="F11" i="35"/>
  <c r="S11" i="35" s="1"/>
  <c r="J26" i="36"/>
  <c r="W26" i="36"/>
  <c r="H28" i="36"/>
  <c r="U28" i="36" s="1"/>
  <c r="H32" i="36"/>
  <c r="AB32" i="36" s="1"/>
  <c r="J32" i="36"/>
  <c r="W32"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J40" i="37"/>
  <c r="AC40" i="37" s="1"/>
  <c r="F40" i="37"/>
  <c r="AA40" i="37" s="1"/>
  <c r="AC12" i="40"/>
  <c r="W12" i="40"/>
  <c r="H14" i="33"/>
  <c r="U14" i="33" s="1"/>
  <c r="F14" i="33"/>
  <c r="J14" i="33"/>
  <c r="H30" i="33"/>
  <c r="AB30" i="33" s="1"/>
  <c r="J30" i="33"/>
  <c r="AC30" i="33" s="1"/>
  <c r="H44" i="33"/>
  <c r="J44" i="33"/>
  <c r="AC44" i="33" s="1"/>
  <c r="F44" i="33"/>
  <c r="S44" i="33" s="1"/>
  <c r="J46" i="33"/>
  <c r="AC46" i="33" s="1"/>
  <c r="H46" i="33"/>
  <c r="AB46" i="33" s="1"/>
  <c r="H13" i="34"/>
  <c r="U13" i="34" s="1"/>
  <c r="J13" i="34"/>
  <c r="W13" i="34"/>
  <c r="F13" i="34"/>
  <c r="AA13" i="34" s="1"/>
  <c r="J29" i="34"/>
  <c r="H29" i="34"/>
  <c r="J31" i="34"/>
  <c r="AC31" i="34" s="1"/>
  <c r="H31" i="34"/>
  <c r="F31" i="34"/>
  <c r="S31" i="34"/>
  <c r="H47" i="34"/>
  <c r="U47" i="34"/>
  <c r="F47" i="34"/>
  <c r="S47" i="34" s="1"/>
  <c r="J47" i="34"/>
  <c r="AC47" i="34" s="1"/>
  <c r="F13" i="35"/>
  <c r="J25" i="35"/>
  <c r="W25" i="35"/>
  <c r="F25" i="35"/>
  <c r="S25" i="35" s="1"/>
  <c r="H25" i="35"/>
  <c r="AB25" i="35"/>
  <c r="J35" i="35"/>
  <c r="AC35" i="35" s="1"/>
  <c r="H35" i="35"/>
  <c r="J25" i="36"/>
  <c r="W25" i="36"/>
  <c r="F25" i="36"/>
  <c r="S25" i="36" s="1"/>
  <c r="H25" i="36"/>
  <c r="AB25" i="36" s="1"/>
  <c r="H13" i="37"/>
  <c r="AB13" i="37" s="1"/>
  <c r="F13" i="37"/>
  <c r="S13" i="37"/>
  <c r="J13" i="37"/>
  <c r="W13" i="37" s="1"/>
  <c r="F28" i="37"/>
  <c r="AA28" i="37" s="1"/>
  <c r="H28" i="37"/>
  <c r="H38" i="37"/>
  <c r="AB38" i="37" s="1"/>
  <c r="J38" i="37"/>
  <c r="AC38" i="37" s="1"/>
  <c r="F38" i="37"/>
  <c r="S38" i="37"/>
  <c r="F43" i="39"/>
  <c r="AA43" i="39" s="1"/>
  <c r="H43" i="39"/>
  <c r="J14" i="39"/>
  <c r="AC14" i="39" s="1"/>
  <c r="F14" i="39"/>
  <c r="AA14" i="39" s="1"/>
  <c r="H14" i="39"/>
  <c r="AB14" i="39"/>
  <c r="F12" i="40"/>
  <c r="S12" i="40"/>
  <c r="H12" i="40"/>
  <c r="AB12" i="40"/>
  <c r="H30" i="40"/>
  <c r="AB30" i="40"/>
  <c r="F33" i="40"/>
  <c r="AA33" i="40"/>
  <c r="H33" i="40"/>
  <c r="U33" i="40"/>
  <c r="J35" i="40"/>
  <c r="AC35" i="40"/>
  <c r="J37" i="40"/>
  <c r="AC37" i="40"/>
  <c r="J13" i="40"/>
  <c r="F14" i="37"/>
  <c r="S14" i="37"/>
  <c r="F27" i="37"/>
  <c r="AA27" i="37"/>
  <c r="F13" i="39"/>
  <c r="J13" i="39"/>
  <c r="H13" i="39"/>
  <c r="H14" i="40"/>
  <c r="J14" i="40"/>
  <c r="W14" i="40" s="1"/>
  <c r="F14" i="40"/>
  <c r="AA14" i="40"/>
  <c r="J14" i="37"/>
  <c r="J27" i="37"/>
  <c r="AA44" i="33"/>
  <c r="U46" i="33"/>
  <c r="J36" i="37"/>
  <c r="AC36" i="37"/>
  <c r="J10" i="36"/>
  <c r="AC10" i="36" s="1"/>
  <c r="AA14" i="37"/>
  <c r="W31" i="34"/>
  <c r="AB46" i="34"/>
  <c r="AA14" i="34"/>
  <c r="AB45" i="33"/>
  <c r="S44" i="34"/>
  <c r="BA586" i="3"/>
  <c r="F17" i="21"/>
  <c r="AA17" i="21" s="1"/>
  <c r="H17" i="21"/>
  <c r="AB17" i="21" s="1"/>
  <c r="F15" i="21"/>
  <c r="S15" i="21" s="1"/>
  <c r="J41" i="39"/>
  <c r="W41" i="39" s="1"/>
  <c r="U36" i="39"/>
  <c r="G544" i="3"/>
  <c r="G536" i="3"/>
  <c r="G535" i="3"/>
  <c r="G532" i="3"/>
  <c r="G528" i="3"/>
  <c r="G527" i="3"/>
  <c r="G523" i="3"/>
  <c r="G514" i="3"/>
  <c r="G508" i="3"/>
  <c r="G500" i="3"/>
  <c r="G584" i="3"/>
  <c r="G580" i="3"/>
  <c r="G576" i="3"/>
  <c r="G572" i="3"/>
  <c r="G568" i="3"/>
  <c r="G560" i="3"/>
  <c r="G554" i="3"/>
  <c r="G550" i="3"/>
  <c r="BL580" i="3"/>
  <c r="BL576" i="3"/>
  <c r="BL572" i="3"/>
  <c r="BL568" i="3"/>
  <c r="BL564" i="3"/>
  <c r="BL554" i="3"/>
  <c r="AZ554" i="3" s="1"/>
  <c r="BL542" i="3"/>
  <c r="BL534" i="3"/>
  <c r="BL526" i="3"/>
  <c r="BL516" i="3"/>
  <c r="BL506" i="3"/>
  <c r="BL498" i="3"/>
  <c r="BL582" i="3"/>
  <c r="BL578" i="3"/>
  <c r="BL574" i="3"/>
  <c r="BL570" i="3"/>
  <c r="BL566" i="3"/>
  <c r="BL556" i="3"/>
  <c r="BL552" i="3"/>
  <c r="BL544" i="3"/>
  <c r="BL536" i="3"/>
  <c r="BL532" i="3"/>
  <c r="G529" i="3"/>
  <c r="BL528" i="3"/>
  <c r="BL524" i="3"/>
  <c r="BL514" i="3"/>
  <c r="BL504" i="3"/>
  <c r="BL496" i="3"/>
  <c r="G493" i="3"/>
  <c r="BA584" i="3"/>
  <c r="BA580" i="3"/>
  <c r="BA578" i="3"/>
  <c r="BA576" i="3"/>
  <c r="AZ576" i="3" s="1"/>
  <c r="BA574" i="3"/>
  <c r="BA572" i="3"/>
  <c r="AZ572" i="3" s="1"/>
  <c r="BA570" i="3"/>
  <c r="AZ570" i="3" s="1"/>
  <c r="BA568" i="3"/>
  <c r="AZ568" i="3" s="1"/>
  <c r="BA566" i="3"/>
  <c r="BA554" i="3"/>
  <c r="BA552" i="3"/>
  <c r="AZ552" i="3"/>
  <c r="BA546" i="3"/>
  <c r="BA538" i="3"/>
  <c r="BA536" i="3"/>
  <c r="BA534" i="3"/>
  <c r="AZ534" i="3" s="1"/>
  <c r="BA532" i="3"/>
  <c r="BA530" i="3"/>
  <c r="BA526" i="3"/>
  <c r="BA522" i="3"/>
  <c r="BA518" i="3"/>
  <c r="BA514" i="3"/>
  <c r="AZ514" i="3" s="1"/>
  <c r="BA506" i="3"/>
  <c r="AZ506" i="3" s="1"/>
  <c r="BA500" i="3"/>
  <c r="BA494" i="3"/>
  <c r="BA581" i="3"/>
  <c r="BA579" i="3"/>
  <c r="BA577" i="3"/>
  <c r="BA575" i="3"/>
  <c r="BA573" i="3"/>
  <c r="BA571" i="3"/>
  <c r="BA569" i="3"/>
  <c r="BA567" i="3"/>
  <c r="BA555" i="3"/>
  <c r="BA553" i="3"/>
  <c r="BA549" i="3"/>
  <c r="BA545" i="3"/>
  <c r="BA541" i="3"/>
  <c r="BA537" i="3"/>
  <c r="AZ537" i="3" s="1"/>
  <c r="BA533" i="3"/>
  <c r="BA529" i="3"/>
  <c r="BA525" i="3"/>
  <c r="BA519" i="3"/>
  <c r="BA515" i="3"/>
  <c r="BA511" i="3"/>
  <c r="BA505" i="3"/>
  <c r="BA501" i="3"/>
  <c r="BA497" i="3"/>
  <c r="BA493" i="3"/>
  <c r="AZ493" i="3" s="1"/>
  <c r="G583" i="3"/>
  <c r="G581" i="3"/>
  <c r="G579" i="3"/>
  <c r="G577" i="3"/>
  <c r="G575" i="3"/>
  <c r="G573" i="3"/>
  <c r="G571" i="3"/>
  <c r="G569" i="3"/>
  <c r="G567" i="3"/>
  <c r="G563" i="3"/>
  <c r="G561" i="3"/>
  <c r="AC557" i="3"/>
  <c r="G557" i="3" s="1"/>
  <c r="BQ557" i="3"/>
  <c r="BQ583" i="3"/>
  <c r="BL583" i="3" s="1"/>
  <c r="BQ581" i="3"/>
  <c r="BL581" i="3"/>
  <c r="BQ579" i="3"/>
  <c r="BL579" i="3"/>
  <c r="BQ577" i="3"/>
  <c r="BL577" i="3" s="1"/>
  <c r="BQ575" i="3"/>
  <c r="BL575" i="3" s="1"/>
  <c r="BQ573" i="3"/>
  <c r="BL573" i="3" s="1"/>
  <c r="AZ573" i="3" s="1"/>
  <c r="BQ571" i="3"/>
  <c r="BL571" i="3"/>
  <c r="BQ569" i="3"/>
  <c r="BL569" i="3" s="1"/>
  <c r="BQ567" i="3"/>
  <c r="BL567" i="3" s="1"/>
  <c r="BQ565" i="3"/>
  <c r="BQ563" i="3"/>
  <c r="BQ561" i="3"/>
  <c r="BQ559" i="3"/>
  <c r="BL559" i="3" s="1"/>
  <c r="G555" i="3"/>
  <c r="G553" i="3"/>
  <c r="G547" i="3"/>
  <c r="G545" i="3"/>
  <c r="G543" i="3"/>
  <c r="G539" i="3"/>
  <c r="G537" i="3"/>
  <c r="BQ555" i="3"/>
  <c r="BL555" i="3" s="1"/>
  <c r="BQ553" i="3"/>
  <c r="BL553" i="3" s="1"/>
  <c r="AZ553" i="3" s="1"/>
  <c r="BQ551" i="3"/>
  <c r="BQ549" i="3"/>
  <c r="BQ547" i="3"/>
  <c r="BQ545" i="3"/>
  <c r="BQ543" i="3"/>
  <c r="BL543" i="3" s="1"/>
  <c r="BQ541" i="3"/>
  <c r="BQ539" i="3"/>
  <c r="BL539" i="3" s="1"/>
  <c r="BQ537" i="3"/>
  <c r="BL537" i="3"/>
  <c r="BQ535" i="3"/>
  <c r="BQ533" i="3"/>
  <c r="BQ531" i="3"/>
  <c r="BL531" i="3" s="1"/>
  <c r="BQ529" i="3"/>
  <c r="BL529" i="3"/>
  <c r="BQ527" i="3"/>
  <c r="BQ525" i="3"/>
  <c r="BL525" i="3"/>
  <c r="AZ525" i="3" s="1"/>
  <c r="BQ523" i="3"/>
  <c r="BA521" i="3"/>
  <c r="AC521" i="3"/>
  <c r="G521" i="3"/>
  <c r="BQ521" i="3"/>
  <c r="BL521" i="3"/>
  <c r="AZ521" i="3" s="1"/>
  <c r="G517" i="3"/>
  <c r="G515" i="3"/>
  <c r="G513" i="3"/>
  <c r="BQ519" i="3"/>
  <c r="BL519" i="3" s="1"/>
  <c r="BQ517" i="3"/>
  <c r="BL517" i="3"/>
  <c r="BQ515" i="3"/>
  <c r="BQ513" i="3"/>
  <c r="BQ511" i="3"/>
  <c r="BL511" i="3" s="1"/>
  <c r="AZ511" i="3" s="1"/>
  <c r="AC509" i="3"/>
  <c r="BQ509" i="3"/>
  <c r="BL509" i="3"/>
  <c r="G507" i="3"/>
  <c r="G505" i="3"/>
  <c r="G501" i="3"/>
  <c r="G499" i="3"/>
  <c r="G497"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F14" i="36"/>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W23" i="35"/>
  <c r="U26" i="37"/>
  <c r="AC36" i="34"/>
  <c r="AA13" i="33"/>
  <c r="AC31" i="33"/>
  <c r="AC45" i="33"/>
  <c r="W44" i="33"/>
  <c r="U11" i="33"/>
  <c r="U19" i="21"/>
  <c r="W44"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F94" i="37"/>
  <c r="G94" i="37" s="1"/>
  <c r="H94" i="37" s="1"/>
  <c r="I94" i="37" s="1"/>
  <c r="J94" i="37" s="1"/>
  <c r="K94" i="37" s="1"/>
  <c r="L94" i="37" s="1"/>
  <c r="M94" i="37" s="1"/>
  <c r="H31" i="37"/>
  <c r="J15" i="37"/>
  <c r="AT6"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F11" i="39"/>
  <c r="G4" i="4"/>
  <c r="I4" i="4"/>
  <c r="F61" i="43"/>
  <c r="H64" i="43" s="1"/>
  <c r="AZ497"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BL192" i="3"/>
  <c r="G193" i="3"/>
  <c r="BA195" i="3"/>
  <c r="AZ195" i="3"/>
  <c r="BL196" i="3"/>
  <c r="G197" i="3"/>
  <c r="BA199" i="3"/>
  <c r="BL200" i="3"/>
  <c r="G201" i="3"/>
  <c r="BA203" i="3"/>
  <c r="BL204" i="3"/>
  <c r="AZ120" i="3"/>
  <c r="AZ128" i="3"/>
  <c r="G534" i="3"/>
  <c r="G530"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94" i="3"/>
  <c r="AZ198"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45" i="3"/>
  <c r="AZ265" i="3"/>
  <c r="BA379" i="3"/>
  <c r="BL380" i="3"/>
  <c r="G381" i="3"/>
  <c r="BA383" i="3"/>
  <c r="AZ383" i="3" s="1"/>
  <c r="BL384" i="3"/>
  <c r="G385" i="3"/>
  <c r="BA387" i="3"/>
  <c r="AZ387" i="3" s="1"/>
  <c r="BL388" i="3"/>
  <c r="G389" i="3"/>
  <c r="BA391" i="3"/>
  <c r="BL392" i="3"/>
  <c r="AZ392" i="3" s="1"/>
  <c r="G393" i="3"/>
  <c r="BO5" i="3"/>
  <c r="AZ325" i="3"/>
  <c r="AC5" i="3"/>
  <c r="G538" i="3"/>
  <c r="G520" i="3"/>
  <c r="G502" i="3"/>
  <c r="BG5" i="3"/>
  <c r="BC5" i="3"/>
  <c r="G17" i="3"/>
  <c r="BA17" i="3"/>
  <c r="AZ350" i="3"/>
  <c r="BA15" i="3"/>
  <c r="AZ15" i="3" s="1"/>
  <c r="AZ380" i="3"/>
  <c r="G509" i="3"/>
  <c r="U36" i="40"/>
  <c r="F83" i="43"/>
  <c r="H85" i="43" s="1"/>
  <c r="F50" i="43"/>
  <c r="H54" i="43" s="1"/>
  <c r="F72" i="43"/>
  <c r="H75" i="43" s="1"/>
  <c r="U17" i="39"/>
  <c r="S14" i="35"/>
  <c r="U43" i="21"/>
  <c r="U35" i="21"/>
  <c r="AC35" i="21"/>
  <c r="W37" i="37"/>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H27" i="40"/>
  <c r="U27" i="40" s="1"/>
  <c r="J27" i="40"/>
  <c r="F27" i="40"/>
  <c r="S27" i="40" s="1"/>
  <c r="J30" i="40"/>
  <c r="AC30" i="40" s="1"/>
  <c r="F30" i="40"/>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50"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U34" i="36"/>
  <c r="U33" i="36"/>
  <c r="AC12" i="39"/>
  <c r="W12" i="39"/>
  <c r="AA32" i="36"/>
  <c r="S32" i="36"/>
  <c r="BL14" i="3"/>
  <c r="U30" i="33"/>
  <c r="AC13" i="34"/>
  <c r="S19" i="39"/>
  <c r="H12" i="39"/>
  <c r="AB12" i="39" s="1"/>
  <c r="F39" i="40"/>
  <c r="AA39" i="40" s="1"/>
  <c r="BA14" i="3"/>
  <c r="AZ22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U13" i="36"/>
  <c r="U26" i="36"/>
  <c r="S33" i="36"/>
  <c r="AA34" i="36"/>
  <c r="AC26" i="36"/>
  <c r="AA22" i="36"/>
  <c r="W14" i="36"/>
  <c r="AB14" i="36"/>
  <c r="U22" i="36"/>
  <c r="S16" i="36"/>
  <c r="AA25" i="36"/>
  <c r="S24" i="36"/>
  <c r="AB20" i="36"/>
  <c r="U16" i="36"/>
  <c r="AA25" i="35"/>
  <c r="S23" i="35"/>
  <c r="W24" i="35"/>
  <c r="U29" i="35"/>
  <c r="U28" i="35"/>
  <c r="AB27" i="35"/>
  <c r="U32" i="35"/>
  <c r="AC30" i="35"/>
  <c r="S32" i="35"/>
  <c r="AA36" i="35"/>
  <c r="S28" i="35"/>
  <c r="AB16" i="35"/>
  <c r="S20" i="35"/>
  <c r="AC20" i="35"/>
  <c r="S22" i="35"/>
  <c r="U14" i="35"/>
  <c r="AA11" i="35"/>
  <c r="AC9" i="35"/>
  <c r="W9" i="35"/>
  <c r="AC12" i="35"/>
  <c r="F9" i="35"/>
  <c r="S9" i="35" s="1"/>
  <c r="H9" i="35"/>
  <c r="U9" i="35" s="1"/>
  <c r="S25" i="37"/>
  <c r="AC29" i="37"/>
  <c r="U29" i="37"/>
  <c r="S32" i="37"/>
  <c r="W30" i="37"/>
  <c r="S36" i="37"/>
  <c r="AA38"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U43" i="34"/>
  <c r="AC39" i="34"/>
  <c r="W41" i="34"/>
  <c r="AC42" i="34"/>
  <c r="AB35" i="34"/>
  <c r="U39" i="34"/>
  <c r="S43" i="34"/>
  <c r="AA25" i="34"/>
  <c r="S17" i="34"/>
  <c r="AA29" i="34"/>
  <c r="U27" i="34"/>
  <c r="U15" i="34"/>
  <c r="S13" i="34"/>
  <c r="H10" i="34"/>
  <c r="AB10" i="34" s="1"/>
  <c r="F11" i="34"/>
  <c r="S11" i="34" s="1"/>
  <c r="F70" i="34"/>
  <c r="W42" i="33"/>
  <c r="AA35" i="33"/>
  <c r="S27" i="33"/>
  <c r="S32" i="33"/>
  <c r="AA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B14" i="33"/>
  <c r="W43" i="21"/>
  <c r="W41" i="21"/>
  <c r="AB39" i="21"/>
  <c r="AA43" i="21"/>
  <c r="S39" i="21"/>
  <c r="AA36" i="21"/>
  <c r="AC40" i="21"/>
  <c r="J15" i="21"/>
  <c r="W15" i="21" s="1"/>
  <c r="F77" i="21"/>
  <c r="G77" i="21"/>
  <c r="F23" i="21"/>
  <c r="S23" i="21" s="1"/>
  <c r="E85" i="21"/>
  <c r="F85" i="21" s="1"/>
  <c r="G85" i="21" s="1"/>
  <c r="AA14" i="21"/>
  <c r="D120" i="9"/>
  <c r="D121" i="9" s="1"/>
  <c r="D7" i="52" s="1"/>
  <c r="C18" i="9"/>
  <c r="D18" i="9" s="1"/>
  <c r="F34" i="15"/>
  <c r="F62" i="15" s="1"/>
  <c r="G13" i="3"/>
  <c r="BA13" i="3"/>
  <c r="BL17" i="3"/>
  <c r="AZ17" i="3"/>
  <c r="BL13" i="3"/>
  <c r="J56" i="9"/>
  <c r="J57" i="9" s="1"/>
  <c r="J59" i="9" s="1"/>
  <c r="J61" i="9" s="1"/>
  <c r="E32" i="6"/>
  <c r="K1" i="12"/>
  <c r="E19" i="11"/>
  <c r="E1" i="73"/>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W23" i="40"/>
  <c r="U32" i="40"/>
  <c r="AB31" i="40"/>
  <c r="S37" i="40"/>
  <c r="AB28" i="40"/>
  <c r="W28" i="40"/>
  <c r="W34" i="40"/>
  <c r="S36" i="40"/>
  <c r="W37" i="40"/>
  <c r="AC14" i="40"/>
  <c r="S33" i="40"/>
  <c r="AA15" i="40"/>
  <c r="U11" i="40"/>
  <c r="S31" i="40"/>
  <c r="U15" i="40"/>
  <c r="AB17" i="40"/>
  <c r="U8" i="40"/>
  <c r="S8" i="40"/>
  <c r="AA39" i="39"/>
  <c r="AC41" i="39"/>
  <c r="U42" i="39"/>
  <c r="W25" i="39"/>
  <c r="AC25" i="39"/>
  <c r="U13" i="39"/>
  <c r="AB13" i="39"/>
  <c r="AA13" i="39"/>
  <c r="S13" i="39"/>
  <c r="U43" i="39"/>
  <c r="AB43" i="39"/>
  <c r="AB11" i="39"/>
  <c r="AA27" i="39"/>
  <c r="S27" i="39"/>
  <c r="W17" i="39"/>
  <c r="W31" i="39"/>
  <c r="AC31" i="39"/>
  <c r="S23" i="39"/>
  <c r="AA45" i="39"/>
  <c r="AB39" i="39"/>
  <c r="W34" i="39"/>
  <c r="U38" i="39"/>
  <c r="S8" i="39"/>
  <c r="S20" i="36"/>
  <c r="AC25" i="36"/>
  <c r="U32" i="36"/>
  <c r="W29" i="36"/>
  <c r="AC20" i="36"/>
  <c r="U25" i="36"/>
  <c r="AB28" i="36"/>
  <c r="W9" i="36"/>
  <c r="W22" i="36"/>
  <c r="AB20" i="35"/>
  <c r="AC25" i="35"/>
  <c r="U25" i="35"/>
  <c r="S24" i="35"/>
  <c r="U24" i="35"/>
  <c r="S35" i="35"/>
  <c r="W35" i="35"/>
  <c r="AA16" i="35"/>
  <c r="AA35" i="37"/>
  <c r="W36" i="37"/>
  <c r="S27" i="37"/>
  <c r="S28" i="37"/>
  <c r="W32" i="37"/>
  <c r="U36" i="37"/>
  <c r="S40" i="37"/>
  <c r="U38" i="37"/>
  <c r="AB37" i="37"/>
  <c r="AC34" i="37"/>
  <c r="AB35" i="37"/>
  <c r="AA31" i="37"/>
  <c r="U19" i="37"/>
  <c r="U8" i="37"/>
  <c r="AA40" i="34"/>
  <c r="AB40" i="34"/>
  <c r="U19" i="34"/>
  <c r="W19" i="34"/>
  <c r="AB33" i="34"/>
  <c r="AA31" i="34"/>
  <c r="AA30" i="34"/>
  <c r="AB47" i="34"/>
  <c r="U25" i="34"/>
  <c r="AB36" i="34"/>
  <c r="AC14" i="34"/>
  <c r="AC32" i="34"/>
  <c r="AC29" i="34"/>
  <c r="W29"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W30" i="33"/>
  <c r="S31" i="33"/>
  <c r="AA31" i="33"/>
  <c r="W13" i="33"/>
  <c r="AC13"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B46" i="21"/>
  <c r="U40" i="21"/>
  <c r="AC15" i="21"/>
  <c r="U13" i="21"/>
  <c r="AB13" i="21"/>
  <c r="S35" i="21"/>
  <c r="J37" i="21"/>
  <c r="W37" i="21" s="1"/>
  <c r="H15" i="21"/>
  <c r="U15" i="21" s="1"/>
  <c r="J17" i="21"/>
  <c r="AC17" i="21"/>
  <c r="AC19" i="21"/>
  <c r="W39" i="21"/>
  <c r="S46" i="21"/>
  <c r="H45" i="21"/>
  <c r="U45" i="21" s="1"/>
  <c r="F29" i="21"/>
  <c r="AA29" i="21" s="1"/>
  <c r="F13" i="21"/>
  <c r="AA13" i="21" s="1"/>
  <c r="AC38" i="21"/>
  <c r="H32" i="21"/>
  <c r="AB32" i="21" s="1"/>
  <c r="H9" i="21"/>
  <c r="J9" i="21"/>
  <c r="AC9" i="21" s="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D68" i="9"/>
  <c r="F54" i="9"/>
  <c r="J32" i="39"/>
  <c r="AC32" i="39" s="1"/>
  <c r="H32" i="39"/>
  <c r="AB32" i="39" s="1"/>
  <c r="AA32" i="39"/>
  <c r="S32" i="39"/>
  <c r="AB21" i="39"/>
  <c r="U21" i="39"/>
  <c r="AA21" i="39"/>
  <c r="S21" i="39"/>
  <c r="AC17" i="37"/>
  <c r="S17" i="37"/>
  <c r="J19" i="37"/>
  <c r="W19" i="37" s="1"/>
  <c r="G75" i="37"/>
  <c r="AA19" i="37"/>
  <c r="J23" i="37"/>
  <c r="G79" i="37"/>
  <c r="J10" i="37"/>
  <c r="W10" i="37" s="1"/>
  <c r="G63" i="37"/>
  <c r="H63" i="37" s="1"/>
  <c r="I63" i="37" s="1"/>
  <c r="J63" i="37" s="1"/>
  <c r="K63" i="37" s="1"/>
  <c r="L63" i="37" s="1"/>
  <c r="M63" i="37" s="1"/>
  <c r="H11" i="37"/>
  <c r="AB11" i="37" s="1"/>
  <c r="G70" i="34"/>
  <c r="H11" i="34"/>
  <c r="U11" i="34" s="1"/>
  <c r="J10" i="34"/>
  <c r="AC10" i="34" s="1"/>
  <c r="U41" i="33"/>
  <c r="W35" i="33"/>
  <c r="AC35" i="33"/>
  <c r="J36" i="33"/>
  <c r="W36" i="33" s="1"/>
  <c r="H36" i="33"/>
  <c r="U36" i="33" s="1"/>
  <c r="S36" i="33"/>
  <c r="W32" i="33"/>
  <c r="U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AB15" i="21"/>
  <c r="J23" i="21"/>
  <c r="W23" i="21" s="1"/>
  <c r="H23" i="21"/>
  <c r="U23" i="21" s="1"/>
  <c r="S13" i="21"/>
  <c r="AP7" i="1"/>
  <c r="AB45" i="21"/>
  <c r="AB9" i="21"/>
  <c r="U9" i="21"/>
  <c r="S32" i="21"/>
  <c r="W9" i="21"/>
  <c r="U32" i="21"/>
  <c r="A18" i="62"/>
  <c r="B64" i="72" s="1"/>
  <c r="U32" i="39"/>
  <c r="W23" i="37"/>
  <c r="AC23" i="37"/>
  <c r="J11" i="37"/>
  <c r="AC11" i="37" s="1"/>
  <c r="H70" i="34"/>
  <c r="I70" i="34" s="1"/>
  <c r="J70" i="34" s="1"/>
  <c r="K70" i="34" s="1"/>
  <c r="L70" i="34" s="1"/>
  <c r="M70" i="34" s="1"/>
  <c r="J11" i="34"/>
  <c r="W11" i="34" s="1"/>
  <c r="W27" i="33"/>
  <c r="AC27" i="33"/>
  <c r="W25" i="33"/>
  <c r="AC25" i="33"/>
  <c r="AB23" i="21"/>
  <c r="AC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8" i="76"/>
  <c r="F43" i="15"/>
  <c r="E2" i="69"/>
  <c r="E2" i="68"/>
  <c r="E9" i="76"/>
  <c r="B11" i="76"/>
  <c r="B10" i="76"/>
  <c r="B7" i="76"/>
  <c r="E7" i="76"/>
  <c r="F4" i="73"/>
  <c r="D6" i="73"/>
  <c r="F3" i="73"/>
  <c r="F8" i="15"/>
  <c r="F20" i="31"/>
  <c r="D34" i="9"/>
  <c r="L47" i="15"/>
  <c r="D35" i="9"/>
  <c r="E12" i="76"/>
  <c r="B8" i="76"/>
  <c r="F5" i="73"/>
  <c r="F6" i="73"/>
  <c r="F7" i="15"/>
  <c r="B9" i="76"/>
  <c r="F42" i="15"/>
  <c r="C76" i="15"/>
  <c r="B13" i="76"/>
  <c r="E10" i="76"/>
  <c r="E13" i="76"/>
  <c r="F7" i="73"/>
  <c r="E11" i="76"/>
  <c r="B12" i="76"/>
  <c r="A2" i="9" l="1"/>
  <c r="A4" i="52"/>
  <c r="B41" i="72" s="1"/>
  <c r="A118" i="9"/>
  <c r="G1" i="68"/>
  <c r="K6" i="1"/>
  <c r="AP6" i="1" s="1"/>
  <c r="G1" i="67"/>
  <c r="G1" i="69"/>
  <c r="E19" i="69"/>
  <c r="C40" i="11"/>
  <c r="M20" i="67"/>
  <c r="F34" i="67"/>
  <c r="F62" i="67" s="1"/>
  <c r="D23" i="15"/>
  <c r="G22" i="69"/>
  <c r="AB19" i="33"/>
  <c r="W30" i="21"/>
  <c r="W40" i="34"/>
  <c r="AA29" i="37"/>
  <c r="D6" i="52"/>
  <c r="AA23" i="37"/>
  <c r="AA26" i="21"/>
  <c r="U15" i="33"/>
  <c r="W33" i="34"/>
  <c r="S14" i="39"/>
  <c r="AB29" i="33"/>
  <c r="AB41" i="34"/>
  <c r="AA33" i="34"/>
  <c r="U12" i="39"/>
  <c r="AB27" i="40"/>
  <c r="AA47" i="34"/>
  <c r="AB32" i="37"/>
  <c r="U32" i="37"/>
  <c r="AZ374" i="3"/>
  <c r="AZ322" i="3"/>
  <c r="AZ311" i="3"/>
  <c r="AZ199" i="3"/>
  <c r="AZ140" i="3"/>
  <c r="W11" i="39"/>
  <c r="AC11" i="39"/>
  <c r="W15" i="37"/>
  <c r="AC15" i="37"/>
  <c r="S15" i="37"/>
  <c r="AA15" i="37"/>
  <c r="W12" i="37"/>
  <c r="AC12" i="37"/>
  <c r="AA14" i="36"/>
  <c r="S14" i="36"/>
  <c r="BL565" i="3"/>
  <c r="AZ565" i="3" s="1"/>
  <c r="AZ526" i="3"/>
  <c r="AZ536" i="3"/>
  <c r="AZ546" i="3"/>
  <c r="AZ580" i="3"/>
  <c r="U14" i="40"/>
  <c r="AB14" i="40"/>
  <c r="S14" i="33"/>
  <c r="AA14" i="33"/>
  <c r="W11" i="35"/>
  <c r="AC11" i="35"/>
  <c r="U14" i="21"/>
  <c r="AC11" i="40"/>
  <c r="W11" i="40"/>
  <c r="J12" i="33"/>
  <c r="H12" i="33"/>
  <c r="U12" i="33" s="1"/>
  <c r="F12" i="33"/>
  <c r="H45" i="34"/>
  <c r="J45" i="34"/>
  <c r="F45" i="34"/>
  <c r="H13" i="35"/>
  <c r="J13" i="35"/>
  <c r="U12" i="36"/>
  <c r="AB12" i="36"/>
  <c r="AA23" i="36"/>
  <c r="S23" i="36"/>
  <c r="H11" i="36"/>
  <c r="U11" i="36" s="1"/>
  <c r="J11" i="36"/>
  <c r="AC11" i="36" s="1"/>
  <c r="AC28" i="37"/>
  <c r="W28" i="37"/>
  <c r="U40" i="37"/>
  <c r="AB40" i="37"/>
  <c r="AA34" i="40"/>
  <c r="S34" i="40"/>
  <c r="H13" i="40"/>
  <c r="F13" i="40"/>
  <c r="J39" i="40"/>
  <c r="H39" i="40"/>
  <c r="W31" i="35"/>
  <c r="AC31" i="35"/>
  <c r="AC30" i="36"/>
  <c r="W30" i="36"/>
  <c r="BL584" i="3"/>
  <c r="AZ584" i="3" s="1"/>
  <c r="BA583" i="3"/>
  <c r="AZ583" i="3" s="1"/>
  <c r="BA582" i="3"/>
  <c r="AZ582" i="3" s="1"/>
  <c r="BL551" i="3"/>
  <c r="BA551" i="3"/>
  <c r="AZ551" i="3" s="1"/>
  <c r="BA550" i="3"/>
  <c r="BL549" i="3"/>
  <c r="AZ549" i="3" s="1"/>
  <c r="BL548" i="3"/>
  <c r="BA548" i="3"/>
  <c r="AZ548" i="3" s="1"/>
  <c r="BA547" i="3"/>
  <c r="BL546" i="3"/>
  <c r="BL545" i="3"/>
  <c r="BA544" i="3"/>
  <c r="AZ544" i="3" s="1"/>
  <c r="BA543" i="3"/>
  <c r="AZ543" i="3" s="1"/>
  <c r="BA542" i="3"/>
  <c r="AZ542" i="3" s="1"/>
  <c r="BL541" i="3"/>
  <c r="AZ541" i="3" s="1"/>
  <c r="BL540" i="3"/>
  <c r="BA540" i="3"/>
  <c r="BA539" i="3"/>
  <c r="AZ539" i="3" s="1"/>
  <c r="BL538" i="3"/>
  <c r="BA535" i="3"/>
  <c r="BL533" i="3"/>
  <c r="AZ533" i="3" s="1"/>
  <c r="BA531" i="3"/>
  <c r="BL530" i="3"/>
  <c r="BA528" i="3"/>
  <c r="AZ528" i="3" s="1"/>
  <c r="BA527" i="3"/>
  <c r="AZ527" i="3" s="1"/>
  <c r="BA524" i="3"/>
  <c r="AZ524" i="3" s="1"/>
  <c r="BA523" i="3"/>
  <c r="BL522" i="3"/>
  <c r="AZ522" i="3" s="1"/>
  <c r="BL520" i="3"/>
  <c r="BA520" i="3"/>
  <c r="BL518" i="3"/>
  <c r="BA517" i="3"/>
  <c r="BA516" i="3"/>
  <c r="AZ516" i="3" s="1"/>
  <c r="BL513" i="3"/>
  <c r="BA513" i="3"/>
  <c r="BL512" i="3"/>
  <c r="BA512" i="3"/>
  <c r="AZ512" i="3" s="1"/>
  <c r="BL510" i="3"/>
  <c r="BA510" i="3"/>
  <c r="BA509" i="3"/>
  <c r="AZ509" i="3" s="1"/>
  <c r="BL508" i="3"/>
  <c r="BA508" i="3"/>
  <c r="BA507" i="3"/>
  <c r="BA504" i="3"/>
  <c r="AZ504" i="3" s="1"/>
  <c r="BA503" i="3"/>
  <c r="BL502" i="3"/>
  <c r="AZ502" i="3" s="1"/>
  <c r="BA502" i="3"/>
  <c r="BL500" i="3"/>
  <c r="AZ500" i="3" s="1"/>
  <c r="BT5" i="3"/>
  <c r="BA499" i="3"/>
  <c r="AZ499" i="3" s="1"/>
  <c r="BA498" i="3"/>
  <c r="AZ498" i="3" s="1"/>
  <c r="BS5" i="3"/>
  <c r="BN5" i="3"/>
  <c r="G29" i="6" s="1"/>
  <c r="BI5" i="3"/>
  <c r="BA496" i="3"/>
  <c r="AZ496" i="3" s="1"/>
  <c r="BE5" i="3"/>
  <c r="BR5" i="3"/>
  <c r="BA495" i="3"/>
  <c r="BL494" i="3"/>
  <c r="AZ494" i="3" s="1"/>
  <c r="BM5" i="3"/>
  <c r="F29" i="6" s="1"/>
  <c r="BH5" i="3"/>
  <c r="BD5" i="3"/>
  <c r="E11" i="6" s="1"/>
  <c r="E60" i="39" s="1"/>
  <c r="H5" i="3"/>
  <c r="AC27" i="40"/>
  <c r="W27" i="40"/>
  <c r="AZ501" i="3"/>
  <c r="AZ530" i="3"/>
  <c r="AZ538" i="3"/>
  <c r="W13" i="40"/>
  <c r="AC13" i="40"/>
  <c r="U26" i="33"/>
  <c r="AB26" i="33"/>
  <c r="W11" i="33"/>
  <c r="AC11" i="33"/>
  <c r="F28" i="34"/>
  <c r="J28" i="34"/>
  <c r="H28" i="34"/>
  <c r="S30" i="40"/>
  <c r="AA30" i="40"/>
  <c r="AC43" i="33"/>
  <c r="W43" i="33"/>
  <c r="AZ518" i="3"/>
  <c r="AZ532" i="3"/>
  <c r="S41" i="39"/>
  <c r="AA41" i="39"/>
  <c r="BA563" i="3"/>
  <c r="AZ563" i="3" s="1"/>
  <c r="BL562" i="3"/>
  <c r="BA562" i="3"/>
  <c r="AZ562" i="3" s="1"/>
  <c r="BL561" i="3"/>
  <c r="AZ561" i="3" s="1"/>
  <c r="BL560" i="3"/>
  <c r="AZ560" i="3" s="1"/>
  <c r="BA559" i="3"/>
  <c r="AZ559" i="3" s="1"/>
  <c r="BA558" i="3"/>
  <c r="AZ558" i="3" s="1"/>
  <c r="BA557" i="3"/>
  <c r="BA556" i="3"/>
  <c r="AZ556" i="3" s="1"/>
  <c r="AZ159" i="3"/>
  <c r="U31" i="37"/>
  <c r="AB31" i="37"/>
  <c r="AA42" i="33"/>
  <c r="S42" i="33"/>
  <c r="AB36" i="33"/>
  <c r="W32" i="39"/>
  <c r="AA23" i="21"/>
  <c r="S39" i="40"/>
  <c r="AZ314" i="3"/>
  <c r="AZ378" i="3"/>
  <c r="AZ341" i="3"/>
  <c r="W40" i="37"/>
  <c r="S26" i="36"/>
  <c r="AA26" i="36"/>
  <c r="AZ519" i="3"/>
  <c r="W13" i="39"/>
  <c r="AC13" i="39"/>
  <c r="AB29" i="34"/>
  <c r="U29" i="34"/>
  <c r="S33" i="35"/>
  <c r="AA33" i="35"/>
  <c r="W28" i="21"/>
  <c r="AC28" i="21"/>
  <c r="AA17" i="33"/>
  <c r="S37" i="21"/>
  <c r="AC14" i="21"/>
  <c r="AA13" i="36"/>
  <c r="U41" i="39"/>
  <c r="W19" i="40"/>
  <c r="W36" i="21"/>
  <c r="AA12" i="39"/>
  <c r="AC44" i="34"/>
  <c r="BB5" i="3"/>
  <c r="E5" i="6" s="1"/>
  <c r="AZ384" i="3"/>
  <c r="AZ379" i="3"/>
  <c r="S11" i="39"/>
  <c r="AA11" i="39"/>
  <c r="AB21" i="40"/>
  <c r="U21" i="40"/>
  <c r="AZ531" i="3"/>
  <c r="AZ529" i="3"/>
  <c r="S11" i="36"/>
  <c r="AC27" i="37"/>
  <c r="W27" i="37"/>
  <c r="AA28" i="40"/>
  <c r="S28" i="40"/>
  <c r="AA23" i="34"/>
  <c r="S23" i="34"/>
  <c r="AA26" i="33"/>
  <c r="S26" i="33"/>
  <c r="AB22" i="35"/>
  <c r="U22" i="35"/>
  <c r="AA35" i="39"/>
  <c r="S35" i="39"/>
  <c r="AC44" i="39"/>
  <c r="W44" i="39"/>
  <c r="S38" i="21"/>
  <c r="AA38" i="21"/>
  <c r="BA587" i="3"/>
  <c r="AZ587" i="3" s="1"/>
  <c r="BA585" i="3"/>
  <c r="AB30" i="21"/>
  <c r="U30" i="21"/>
  <c r="H23" i="36"/>
  <c r="J23" i="36"/>
  <c r="AZ391" i="3"/>
  <c r="AZ318" i="3"/>
  <c r="AZ364" i="3"/>
  <c r="AZ329" i="3"/>
  <c r="AZ203" i="3"/>
  <c r="AZ306" i="3"/>
  <c r="BL535" i="3"/>
  <c r="AZ535" i="3" s="1"/>
  <c r="AZ577" i="3"/>
  <c r="AZ575" i="3"/>
  <c r="AZ566" i="3"/>
  <c r="AZ574" i="3"/>
  <c r="AA27" i="35"/>
  <c r="S27" i="35"/>
  <c r="AZ14" i="3"/>
  <c r="AZ345" i="3"/>
  <c r="AZ334" i="3"/>
  <c r="AZ372" i="3"/>
  <c r="AZ347" i="3"/>
  <c r="AZ337" i="3"/>
  <c r="AZ183" i="3"/>
  <c r="AZ376" i="3"/>
  <c r="AZ309" i="3"/>
  <c r="W47" i="34"/>
  <c r="BL503" i="3"/>
  <c r="BL515" i="3"/>
  <c r="AZ515" i="3" s="1"/>
  <c r="BL523" i="3"/>
  <c r="AZ523" i="3" s="1"/>
  <c r="BL527" i="3"/>
  <c r="BL547" i="3"/>
  <c r="AZ547" i="3" s="1"/>
  <c r="AZ569" i="3"/>
  <c r="BL557" i="3"/>
  <c r="AZ571" i="3"/>
  <c r="AZ579" i="3"/>
  <c r="S45" i="33"/>
  <c r="H31" i="21"/>
  <c r="J31" i="21"/>
  <c r="AC33" i="33"/>
  <c r="W33" i="33"/>
  <c r="AB9" i="39"/>
  <c r="U9" i="39"/>
  <c r="AA40" i="39"/>
  <c r="S40" i="39"/>
  <c r="AB38" i="40"/>
  <c r="U38" i="40"/>
  <c r="BL399" i="3"/>
  <c r="F30" i="21"/>
  <c r="S38" i="33"/>
  <c r="F12" i="36"/>
  <c r="J34" i="36"/>
  <c r="W34" i="36" s="1"/>
  <c r="H39" i="37"/>
  <c r="U35" i="33"/>
  <c r="W28" i="36"/>
  <c r="BL585" i="3"/>
  <c r="B75" i="43"/>
  <c r="H36" i="35"/>
  <c r="H24" i="36"/>
  <c r="G558" i="3"/>
  <c r="G402" i="3"/>
  <c r="BL403" i="3"/>
  <c r="G406" i="3"/>
  <c r="G408" i="3"/>
  <c r="BA411" i="3"/>
  <c r="AZ411" i="3" s="1"/>
  <c r="BL419" i="3"/>
  <c r="AZ217" i="3"/>
  <c r="BL550" i="3"/>
  <c r="S44" i="39"/>
  <c r="U9" i="40"/>
  <c r="BL587" i="3"/>
  <c r="BL586" i="3"/>
  <c r="AZ586" i="3" s="1"/>
  <c r="G574" i="3"/>
  <c r="BL16" i="3"/>
  <c r="AZ16" i="3" s="1"/>
  <c r="BL398" i="3"/>
  <c r="BA407" i="3"/>
  <c r="AZ407" i="3" s="1"/>
  <c r="BA408" i="3"/>
  <c r="AZ408" i="3" s="1"/>
  <c r="BA409" i="3"/>
  <c r="AZ409" i="3" s="1"/>
  <c r="BL414" i="3"/>
  <c r="AZ419" i="3"/>
  <c r="BA398" i="3"/>
  <c r="BA399" i="3"/>
  <c r="BL401" i="3"/>
  <c r="BL404" i="3"/>
  <c r="BL405" i="3"/>
  <c r="BL407" i="3"/>
  <c r="BA412" i="3"/>
  <c r="AZ412" i="3" s="1"/>
  <c r="BA414" i="3"/>
  <c r="BA415" i="3"/>
  <c r="BA416" i="3"/>
  <c r="AZ416" i="3" s="1"/>
  <c r="BA418" i="3"/>
  <c r="AZ418" i="3" s="1"/>
  <c r="BA421" i="3"/>
  <c r="BA423" i="3"/>
  <c r="AZ423" i="3" s="1"/>
  <c r="BA425" i="3"/>
  <c r="AZ425" i="3" s="1"/>
  <c r="BA426" i="3"/>
  <c r="AZ426" i="3" s="1"/>
  <c r="BA427" i="3"/>
  <c r="AZ427" i="3" s="1"/>
  <c r="BA433" i="3"/>
  <c r="AZ433" i="3" s="1"/>
  <c r="BA435" i="3"/>
  <c r="AZ435" i="3" s="1"/>
  <c r="BL437" i="3"/>
  <c r="AZ437" i="3" s="1"/>
  <c r="G440" i="3"/>
  <c r="BL441" i="3"/>
  <c r="BL442" i="3"/>
  <c r="BL444" i="3"/>
  <c r="AZ444" i="3" s="1"/>
  <c r="G447" i="3"/>
  <c r="BL448" i="3"/>
  <c r="AZ448" i="3" s="1"/>
  <c r="G451" i="3"/>
  <c r="BA454" i="3"/>
  <c r="AZ454" i="3" s="1"/>
  <c r="BA457" i="3"/>
  <c r="BA459" i="3"/>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BA395" i="3"/>
  <c r="AZ395" i="3" s="1"/>
  <c r="BA208" i="3"/>
  <c r="AZ208" i="3" s="1"/>
  <c r="BA211" i="3"/>
  <c r="AZ211" i="3" s="1"/>
  <c r="BL213" i="3"/>
  <c r="BL215" i="3"/>
  <c r="BA222" i="3"/>
  <c r="AZ222" i="3" s="1"/>
  <c r="AZ228" i="3"/>
  <c r="BA401" i="3"/>
  <c r="BA403" i="3"/>
  <c r="AZ403" i="3" s="1"/>
  <c r="BA404" i="3"/>
  <c r="AZ404" i="3" s="1"/>
  <c r="BA405" i="3"/>
  <c r="AZ405" i="3" s="1"/>
  <c r="BL410" i="3"/>
  <c r="G412" i="3"/>
  <c r="G418" i="3"/>
  <c r="BA422" i="3"/>
  <c r="G429" i="3"/>
  <c r="BL431" i="3"/>
  <c r="G433" i="3"/>
  <c r="BL434" i="3"/>
  <c r="G436" i="3"/>
  <c r="G437" i="3"/>
  <c r="BL438" i="3"/>
  <c r="AZ438" i="3" s="1"/>
  <c r="BL439" i="3"/>
  <c r="BA441" i="3"/>
  <c r="AZ441" i="3" s="1"/>
  <c r="BL445" i="3"/>
  <c r="BL446" i="3"/>
  <c r="AZ446" i="3" s="1"/>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55" i="3"/>
  <c r="BA256" i="3"/>
  <c r="BL256" i="3"/>
  <c r="BA259" i="3"/>
  <c r="AZ259" i="3" s="1"/>
  <c r="G263" i="3"/>
  <c r="BA267" i="3"/>
  <c r="AZ267" i="3" s="1"/>
  <c r="BA269" i="3"/>
  <c r="AZ269" i="3" s="1"/>
  <c r="BA273" i="3"/>
  <c r="AZ273" i="3" s="1"/>
  <c r="G276" i="3"/>
  <c r="BA280" i="3"/>
  <c r="AZ280" i="3" s="1"/>
  <c r="BA283" i="3"/>
  <c r="AZ283" i="3" s="1"/>
  <c r="BL289" i="3"/>
  <c r="G290" i="3"/>
  <c r="BL459" i="3"/>
  <c r="G461" i="3"/>
  <c r="BA465" i="3"/>
  <c r="AZ465" i="3" s="1"/>
  <c r="BA467" i="3"/>
  <c r="BA468" i="3"/>
  <c r="BL471" i="3"/>
  <c r="BL475" i="3"/>
  <c r="BA477" i="3"/>
  <c r="BA478" i="3"/>
  <c r="BA481" i="3"/>
  <c r="G484" i="3"/>
  <c r="BA488" i="3"/>
  <c r="AZ488" i="3" s="1"/>
  <c r="BA491" i="3"/>
  <c r="BL225" i="3"/>
  <c r="BL226" i="3"/>
  <c r="BA239" i="3"/>
  <c r="BL239" i="3"/>
  <c r="BA241" i="3"/>
  <c r="AZ241" i="3" s="1"/>
  <c r="BL241" i="3"/>
  <c r="BA244" i="3"/>
  <c r="BL244" i="3"/>
  <c r="BA246" i="3"/>
  <c r="BA252" i="3"/>
  <c r="AZ252" i="3" s="1"/>
  <c r="BA254" i="3"/>
  <c r="AZ254" i="3" s="1"/>
  <c r="BL257" i="3"/>
  <c r="AZ257" i="3" s="1"/>
  <c r="BL415" i="3"/>
  <c r="BA417" i="3"/>
  <c r="AZ417" i="3" s="1"/>
  <c r="BL421" i="3"/>
  <c r="BL422" i="3"/>
  <c r="BL425" i="3"/>
  <c r="BL426" i="3"/>
  <c r="BA428" i="3"/>
  <c r="AZ428" i="3" s="1"/>
  <c r="BA429" i="3"/>
  <c r="AZ429" i="3" s="1"/>
  <c r="BA430" i="3"/>
  <c r="AZ430" i="3" s="1"/>
  <c r="BA432" i="3"/>
  <c r="AZ432" i="3" s="1"/>
  <c r="BA434" i="3"/>
  <c r="BA436" i="3"/>
  <c r="BA438" i="3"/>
  <c r="G443" i="3"/>
  <c r="BA446" i="3"/>
  <c r="BA450" i="3"/>
  <c r="AZ450" i="3" s="1"/>
  <c r="BA453" i="3"/>
  <c r="AZ453" i="3" s="1"/>
  <c r="BA455" i="3"/>
  <c r="AZ455" i="3" s="1"/>
  <c r="BL457" i="3"/>
  <c r="AZ471" i="3"/>
  <c r="AZ487" i="3"/>
  <c r="BL317" i="3"/>
  <c r="BA349" i="3"/>
  <c r="AZ349" i="3" s="1"/>
  <c r="BA353" i="3"/>
  <c r="AZ353" i="3" s="1"/>
  <c r="BL353" i="3"/>
  <c r="BA358" i="3"/>
  <c r="AZ358" i="3" s="1"/>
  <c r="BL365" i="3"/>
  <c r="AZ365" i="3" s="1"/>
  <c r="BA368" i="3"/>
  <c r="AZ368" i="3" s="1"/>
  <c r="BL368" i="3"/>
  <c r="BA374" i="3"/>
  <c r="BA388" i="3"/>
  <c r="AZ388" i="3" s="1"/>
  <c r="BA396" i="3"/>
  <c r="BA209" i="3"/>
  <c r="BL217" i="3"/>
  <c r="BA219" i="3"/>
  <c r="AZ219" i="3" s="1"/>
  <c r="BA221" i="3"/>
  <c r="AZ221" i="3" s="1"/>
  <c r="BA223" i="3"/>
  <c r="BL228" i="3"/>
  <c r="BA230" i="3"/>
  <c r="AZ230" i="3" s="1"/>
  <c r="BL232" i="3"/>
  <c r="BL234" i="3"/>
  <c r="BA236" i="3"/>
  <c r="BA238" i="3"/>
  <c r="AZ238" i="3" s="1"/>
  <c r="BA243" i="3"/>
  <c r="AZ243" i="3" s="1"/>
  <c r="BL248" i="3"/>
  <c r="AZ248" i="3" s="1"/>
  <c r="G250" i="3"/>
  <c r="BL250" i="3"/>
  <c r="AZ250" i="3" s="1"/>
  <c r="G252" i="3"/>
  <c r="G254" i="3"/>
  <c r="BL255" i="3"/>
  <c r="BL261" i="3"/>
  <c r="BA271" i="3"/>
  <c r="AZ271" i="3" s="1"/>
  <c r="BL271" i="3"/>
  <c r="BA275" i="3"/>
  <c r="G279" i="3"/>
  <c r="BA281" i="3"/>
  <c r="BL283" i="3"/>
  <c r="BL284" i="3"/>
  <c r="G288" i="3"/>
  <c r="G292" i="3"/>
  <c r="BA258" i="3"/>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BL191" i="3"/>
  <c r="AZ191" i="3" s="1"/>
  <c r="BA193" i="3"/>
  <c r="BA196" i="3"/>
  <c r="AZ196" i="3" s="1"/>
  <c r="G203" i="3"/>
  <c r="BA205" i="3"/>
  <c r="AZ205" i="3" s="1"/>
  <c r="G18" i="3"/>
  <c r="BA19" i="3"/>
  <c r="G22" i="3"/>
  <c r="BA25" i="3"/>
  <c r="BL34" i="3"/>
  <c r="G35" i="3"/>
  <c r="BA37" i="3"/>
  <c r="BL44" i="3"/>
  <c r="AZ100" i="3"/>
  <c r="BA105" i="3"/>
  <c r="AZ105" i="3" s="1"/>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G160" i="3"/>
  <c r="BL177" i="3"/>
  <c r="G179" i="3"/>
  <c r="BL183" i="3"/>
  <c r="BA186" i="3"/>
  <c r="AZ65" i="3"/>
  <c r="AZ177" i="3"/>
  <c r="BL20" i="3"/>
  <c r="BA21" i="3"/>
  <c r="AZ21" i="3" s="1"/>
  <c r="BL29" i="3"/>
  <c r="G33" i="3"/>
  <c r="G34" i="3"/>
  <c r="G56" i="3"/>
  <c r="BA249" i="3"/>
  <c r="AZ249" i="3" s="1"/>
  <c r="BL249" i="3"/>
  <c r="BA251" i="3"/>
  <c r="BL251" i="3"/>
  <c r="BA253" i="3"/>
  <c r="BL260" i="3"/>
  <c r="G262" i="3"/>
  <c r="BL263" i="3"/>
  <c r="AZ263" i="3" s="1"/>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L186" i="3"/>
  <c r="BA190" i="3"/>
  <c r="BA197" i="3"/>
  <c r="BL201" i="3"/>
  <c r="AZ201" i="3" s="1"/>
  <c r="BL203" i="3"/>
  <c r="BA204" i="3"/>
  <c r="AZ204" i="3" s="1"/>
  <c r="BL23" i="3"/>
  <c r="BA26" i="3"/>
  <c r="G89" i="3"/>
  <c r="BL99" i="3"/>
  <c r="F40" i="69"/>
  <c r="C40" i="69"/>
  <c r="AB21" i="37"/>
  <c r="U21" i="37"/>
  <c r="P65" i="71"/>
  <c r="P66" i="71"/>
  <c r="C47" i="71"/>
  <c r="D47" i="71" s="1"/>
  <c r="D46" i="71"/>
  <c r="C67" i="71"/>
  <c r="T68" i="71"/>
  <c r="O68" i="71"/>
  <c r="T76" i="71"/>
  <c r="D76" i="71"/>
  <c r="C75" i="71"/>
  <c r="Y27" i="71"/>
  <c r="Z27" i="71" s="1"/>
  <c r="Y26" i="71"/>
  <c r="Z26" i="71" s="1"/>
  <c r="AA3" i="71"/>
  <c r="BL28" i="3"/>
  <c r="BA29" i="3"/>
  <c r="AZ29" i="3" s="1"/>
  <c r="BA36" i="3"/>
  <c r="BL38" i="3"/>
  <c r="BA39" i="3"/>
  <c r="AZ39" i="3" s="1"/>
  <c r="BL47" i="3"/>
  <c r="AZ47" i="3" s="1"/>
  <c r="G50" i="3"/>
  <c r="G52" i="3"/>
  <c r="BA52" i="3"/>
  <c r="AZ52" i="3" s="1"/>
  <c r="BA53" i="3"/>
  <c r="AZ53" i="3" s="1"/>
  <c r="BA54" i="3"/>
  <c r="AZ54" i="3" s="1"/>
  <c r="BL57" i="3"/>
  <c r="AZ57" i="3" s="1"/>
  <c r="G59" i="3"/>
  <c r="BL62" i="3"/>
  <c r="AZ62" i="3" s="1"/>
  <c r="BL63" i="3"/>
  <c r="AZ63" i="3" s="1"/>
  <c r="BL65" i="3"/>
  <c r="BL66" i="3"/>
  <c r="AZ66" i="3" s="1"/>
  <c r="BL67" i="3"/>
  <c r="AZ67" i="3" s="1"/>
  <c r="BL70" i="3"/>
  <c r="AZ70" i="3" s="1"/>
  <c r="BL71" i="3"/>
  <c r="AZ71" i="3" s="1"/>
  <c r="BL72" i="3"/>
  <c r="AZ72" i="3" s="1"/>
  <c r="BL75" i="3"/>
  <c r="G81" i="3"/>
  <c r="BL92" i="3"/>
  <c r="BL97" i="3"/>
  <c r="BL101" i="3"/>
  <c r="BL102" i="3"/>
  <c r="AZ102" i="3" s="1"/>
  <c r="G105" i="3"/>
  <c r="BL106" i="3"/>
  <c r="BA108" i="3"/>
  <c r="AC25" i="40"/>
  <c r="U21" i="33"/>
  <c r="AB21" i="33"/>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G174" i="3"/>
  <c r="BA176" i="3"/>
  <c r="AZ176" i="3" s="1"/>
  <c r="BA178" i="3"/>
  <c r="AZ178" i="3" s="1"/>
  <c r="G182" i="3"/>
  <c r="BA184" i="3"/>
  <c r="AZ184" i="3" s="1"/>
  <c r="BL187" i="3"/>
  <c r="AZ187" i="3" s="1"/>
  <c r="G188" i="3"/>
  <c r="BL189" i="3"/>
  <c r="AZ189" i="3"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BA41" i="3"/>
  <c r="BA42" i="3"/>
  <c r="G46" i="3"/>
  <c r="G47" i="3"/>
  <c r="BL48" i="3"/>
  <c r="BL54" i="3"/>
  <c r="BL55" i="3"/>
  <c r="AZ55" i="3" s="1"/>
  <c r="G57" i="3"/>
  <c r="G58" i="3"/>
  <c r="BA59" i="3"/>
  <c r="BL61" i="3"/>
  <c r="G64" i="3"/>
  <c r="BA64" i="3"/>
  <c r="AZ64" i="3" s="1"/>
  <c r="G67" i="3"/>
  <c r="BL68" i="3"/>
  <c r="BA69" i="3"/>
  <c r="AZ69" i="3" s="1"/>
  <c r="G72" i="3"/>
  <c r="BL73" i="3"/>
  <c r="BA74" i="3"/>
  <c r="AZ74" i="3" s="1"/>
  <c r="BA75" i="3"/>
  <c r="BL82" i="3"/>
  <c r="AZ82" i="3" s="1"/>
  <c r="G83" i="3"/>
  <c r="BA84" i="3"/>
  <c r="AZ84" i="3" s="1"/>
  <c r="BL88" i="3"/>
  <c r="AZ88" i="3" s="1"/>
  <c r="G90" i="3"/>
  <c r="BL90" i="3"/>
  <c r="BL94" i="3"/>
  <c r="AZ94" i="3" s="1"/>
  <c r="C32" i="71"/>
  <c r="C86" i="71"/>
  <c r="D86" i="71" s="1"/>
  <c r="D87" i="71"/>
  <c r="B66" i="71"/>
  <c r="Y25" i="71"/>
  <c r="Z25" i="71" s="1"/>
  <c r="C36" i="71"/>
  <c r="D35" i="71"/>
  <c r="AB32" i="71"/>
  <c r="Y35" i="71"/>
  <c r="Z35" i="71" s="1"/>
  <c r="S80" i="71"/>
  <c r="B79" i="71"/>
  <c r="B78" i="71" s="1"/>
  <c r="G40" i="3"/>
  <c r="BL40" i="3"/>
  <c r="BL41" i="3"/>
  <c r="G45" i="3"/>
  <c r="BL45" i="3"/>
  <c r="AZ45" i="3" s="1"/>
  <c r="BA48" i="3"/>
  <c r="BA49" i="3"/>
  <c r="AZ49" i="3" s="1"/>
  <c r="BA51" i="3"/>
  <c r="AZ51" i="3" s="1"/>
  <c r="G54" i="3"/>
  <c r="BL56" i="3"/>
  <c r="BL76" i="3"/>
  <c r="BL77" i="3"/>
  <c r="AZ77" i="3" s="1"/>
  <c r="BA79" i="3"/>
  <c r="AZ79" i="3" s="1"/>
  <c r="G82" i="3"/>
  <c r="BL83" i="3"/>
  <c r="G86" i="3"/>
  <c r="G87" i="3"/>
  <c r="BA90" i="3"/>
  <c r="BA97" i="3"/>
  <c r="AZ97" i="3" s="1"/>
  <c r="BA101" i="3"/>
  <c r="AZ101" i="3" s="1"/>
  <c r="W21" i="21"/>
  <c r="D43" i="71"/>
  <c r="AA28" i="71"/>
  <c r="C51" i="71"/>
  <c r="E39" i="71"/>
  <c r="E40" i="71" s="1"/>
  <c r="U40" i="71" s="1"/>
  <c r="Y37" i="71"/>
  <c r="Z37" i="71" s="1"/>
  <c r="F66" i="71"/>
  <c r="Q67" i="71"/>
  <c r="X25" i="71"/>
  <c r="V24" i="71"/>
  <c r="E23" i="71"/>
  <c r="E22" i="71" s="1"/>
  <c r="E21" i="71" s="1"/>
  <c r="E20" i="71" s="1"/>
  <c r="BA58" i="3"/>
  <c r="AZ58" i="3" s="1"/>
  <c r="BL59" i="3"/>
  <c r="BL60" i="3"/>
  <c r="BA61" i="3"/>
  <c r="BA68" i="3"/>
  <c r="BA73" i="3"/>
  <c r="AZ73" i="3" s="1"/>
  <c r="BA80" i="3"/>
  <c r="G84" i="3"/>
  <c r="BL84" i="3"/>
  <c r="BA89" i="3"/>
  <c r="G99" i="3"/>
  <c r="G103" i="3"/>
  <c r="BA103" i="3"/>
  <c r="AZ103" i="3" s="1"/>
  <c r="BA104" i="3"/>
  <c r="AZ104" i="3" s="1"/>
  <c r="BA106" i="3"/>
  <c r="BL108" i="3"/>
  <c r="G110" i="3"/>
  <c r="BL111" i="3"/>
  <c r="C21" i="68"/>
  <c r="U29" i="39"/>
  <c r="AA27" i="71"/>
  <c r="S28" i="71"/>
  <c r="C83" i="71"/>
  <c r="C79" i="71"/>
  <c r="C71" i="71"/>
  <c r="C39" i="71"/>
  <c r="Y28" i="71"/>
  <c r="Z28" i="71" s="1"/>
  <c r="Y30" i="71"/>
  <c r="Z30" i="71" s="1"/>
  <c r="X28" i="71"/>
  <c r="X32" i="71"/>
  <c r="AB38" i="71"/>
  <c r="F75" i="71"/>
  <c r="F74" i="71" s="1"/>
  <c r="BL112" i="3"/>
  <c r="B88" i="43"/>
  <c r="F35" i="71"/>
  <c r="F36" i="71" s="1"/>
  <c r="V36" i="71" s="1"/>
  <c r="AA34" i="71"/>
  <c r="BA111" i="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G28" i="6"/>
  <c r="G30" i="6" s="1"/>
  <c r="G31" i="6" s="1"/>
  <c r="U26" i="21"/>
  <c r="W36" i="39"/>
  <c r="U23" i="40"/>
  <c r="AA39" i="37"/>
  <c r="AC16" i="36"/>
  <c r="C27" i="39"/>
  <c r="U40" i="40"/>
  <c r="AC9" i="40"/>
  <c r="W36" i="35"/>
  <c r="J12" i="21"/>
  <c r="B73" i="43"/>
  <c r="B76" i="43"/>
  <c r="F9" i="36"/>
  <c r="J40" i="40"/>
  <c r="G562"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F50" i="15"/>
  <c r="F51" i="15"/>
  <c r="F71" i="15"/>
  <c r="L59" i="15"/>
  <c r="N59" i="15"/>
  <c r="M59" i="15"/>
  <c r="B13" i="70"/>
  <c r="D9" i="69"/>
  <c r="C36" i="69"/>
  <c r="M26" i="67"/>
  <c r="F43" i="67"/>
  <c r="M22" i="15"/>
  <c r="D7" i="73"/>
  <c r="M24" i="67"/>
  <c r="M29" i="67"/>
  <c r="F9" i="67"/>
  <c r="M9" i="15"/>
  <c r="F40" i="67"/>
  <c r="M24" i="15"/>
  <c r="F9" i="15"/>
  <c r="F26" i="67"/>
  <c r="D3" i="73"/>
  <c r="M8" i="67"/>
  <c r="F36" i="67"/>
  <c r="F26" i="15"/>
  <c r="F38" i="67"/>
  <c r="M6" i="15"/>
  <c r="F13" i="15"/>
  <c r="L48" i="15"/>
  <c r="D9" i="68"/>
  <c r="L47" i="67"/>
  <c r="F37" i="67"/>
  <c r="J15" i="67"/>
  <c r="D5" i="73"/>
  <c r="M8" i="15"/>
  <c r="F8" i="67"/>
  <c r="M23" i="67"/>
  <c r="F37" i="15"/>
  <c r="F40" i="15"/>
  <c r="M28" i="15"/>
  <c r="M26" i="15"/>
  <c r="F13" i="67"/>
  <c r="C76" i="67"/>
  <c r="M9" i="67"/>
  <c r="F42" i="67"/>
  <c r="J15" i="15"/>
  <c r="F16" i="67"/>
  <c r="F6" i="67"/>
  <c r="D4" i="73"/>
  <c r="L48" i="67"/>
  <c r="M22" i="67"/>
  <c r="F6" i="15"/>
  <c r="M29" i="15"/>
  <c r="F16" i="15"/>
  <c r="M23" i="15"/>
  <c r="F36" i="15"/>
  <c r="M28" i="67"/>
  <c r="M6" i="67"/>
  <c r="F7" i="67"/>
  <c r="F38" i="15"/>
  <c r="Q71" i="67" l="1"/>
  <c r="C6" i="67"/>
  <c r="F64" i="67"/>
  <c r="C27" i="67"/>
  <c r="L59" i="67"/>
  <c r="L58" i="67"/>
  <c r="Q60" i="67" s="1"/>
  <c r="M59" i="67"/>
  <c r="N59" i="67"/>
  <c r="F71" i="67"/>
  <c r="M7" i="67"/>
  <c r="J6" i="67" s="1"/>
  <c r="J18" i="67" s="1"/>
  <c r="F50" i="67"/>
  <c r="F51" i="67"/>
  <c r="F68" i="67"/>
  <c r="F66" i="67"/>
  <c r="I54" i="67"/>
  <c r="J53" i="67"/>
  <c r="F1" i="67" s="1"/>
  <c r="J57" i="67"/>
  <c r="J55" i="67" s="1"/>
  <c r="J58" i="67" s="1"/>
  <c r="Q50" i="67" s="1"/>
  <c r="L56" i="67"/>
  <c r="F65" i="67"/>
  <c r="E13" i="6"/>
  <c r="E12" i="6"/>
  <c r="E57" i="40" s="1"/>
  <c r="N94" i="46"/>
  <c r="E10" i="6"/>
  <c r="E14" i="6"/>
  <c r="N370" i="46"/>
  <c r="G26" i="43"/>
  <c r="P6" i="1"/>
  <c r="C13" i="12" s="1"/>
  <c r="F26" i="43"/>
  <c r="E26" i="43"/>
  <c r="H26" i="43"/>
  <c r="G16" i="1"/>
  <c r="F10" i="39" s="1"/>
  <c r="S10" i="39" s="1"/>
  <c r="J7" i="36"/>
  <c r="W7" i="36" s="1"/>
  <c r="F31" i="15"/>
  <c r="C6" i="15"/>
  <c r="C32" i="15" s="1"/>
  <c r="F64" i="15"/>
  <c r="C27" i="15"/>
  <c r="J57" i="15"/>
  <c r="J55" i="15" s="1"/>
  <c r="J58" i="15" s="1"/>
  <c r="Q50" i="15" s="1"/>
  <c r="I54" i="15"/>
  <c r="J53" i="15"/>
  <c r="L56" i="15" s="1"/>
  <c r="L58" i="15"/>
  <c r="Q60" i="15" s="1"/>
  <c r="F68" i="15"/>
  <c r="F65" i="15"/>
  <c r="F66" i="15"/>
  <c r="C40" i="71"/>
  <c r="D39" i="71"/>
  <c r="N65" i="71"/>
  <c r="N66" i="71"/>
  <c r="D23" i="71"/>
  <c r="C22" i="71"/>
  <c r="AB24" i="36"/>
  <c r="U24" i="36"/>
  <c r="AA12" i="36"/>
  <c r="S12" i="36"/>
  <c r="AB23" i="36"/>
  <c r="U23" i="36"/>
  <c r="AB28" i="34"/>
  <c r="U28" i="34"/>
  <c r="AZ503" i="3"/>
  <c r="AZ550" i="3"/>
  <c r="S13" i="40"/>
  <c r="AA13" i="40"/>
  <c r="S45" i="34"/>
  <c r="AA45" i="34"/>
  <c r="J6" i="15"/>
  <c r="J18" i="15" s="1"/>
  <c r="E28" i="6"/>
  <c r="K14" i="1" s="1"/>
  <c r="K16" i="1" s="1"/>
  <c r="AZ296" i="3"/>
  <c r="AZ287" i="3"/>
  <c r="AZ111" i="3"/>
  <c r="C70" i="71"/>
  <c r="D70" i="71" s="1"/>
  <c r="D71" i="71"/>
  <c r="C52" i="71"/>
  <c r="D51" i="71"/>
  <c r="AZ59" i="3"/>
  <c r="C56" i="71"/>
  <c r="D55" i="71"/>
  <c r="AZ108" i="3"/>
  <c r="AZ197" i="3"/>
  <c r="AZ118" i="3"/>
  <c r="AZ19" i="3"/>
  <c r="AZ130" i="3"/>
  <c r="AZ491" i="3"/>
  <c r="AZ247" i="3"/>
  <c r="AZ399" i="3"/>
  <c r="AB36" i="35"/>
  <c r="U36" i="35"/>
  <c r="AC31" i="21"/>
  <c r="W31" i="21"/>
  <c r="AC28" i="34"/>
  <c r="W28" i="34"/>
  <c r="AZ540" i="3"/>
  <c r="U13" i="40"/>
  <c r="AB13" i="40"/>
  <c r="AC45" i="34"/>
  <c r="W45" i="34"/>
  <c r="AC12" i="33"/>
  <c r="W12" i="33"/>
  <c r="AZ99" i="3"/>
  <c r="AZ396" i="3"/>
  <c r="AZ232" i="3"/>
  <c r="AB12" i="33"/>
  <c r="D79" i="71"/>
  <c r="C78" i="71"/>
  <c r="D78" i="71" s="1"/>
  <c r="AZ61" i="3"/>
  <c r="AZ41" i="3"/>
  <c r="C26" i="71"/>
  <c r="D26" i="71" s="1"/>
  <c r="D27" i="71"/>
  <c r="D75" i="71"/>
  <c r="C74" i="71"/>
  <c r="D74" i="71" s="1"/>
  <c r="AZ190" i="3"/>
  <c r="AZ251" i="3"/>
  <c r="AZ186" i="3"/>
  <c r="AZ121" i="3"/>
  <c r="AZ282" i="3"/>
  <c r="AZ275" i="3"/>
  <c r="AZ244" i="3"/>
  <c r="AZ239" i="3"/>
  <c r="AZ256" i="3"/>
  <c r="AZ229" i="3"/>
  <c r="AZ218" i="3"/>
  <c r="AZ401" i="3"/>
  <c r="AZ459" i="3"/>
  <c r="AZ415" i="3"/>
  <c r="AZ398" i="3"/>
  <c r="U39" i="37"/>
  <c r="AB39" i="37"/>
  <c r="S30" i="21"/>
  <c r="AA30" i="21"/>
  <c r="U31" i="21"/>
  <c r="AB31" i="21"/>
  <c r="AA28" i="34"/>
  <c r="S28" i="34"/>
  <c r="AZ510" i="3"/>
  <c r="AZ513" i="3"/>
  <c r="U39" i="40"/>
  <c r="AB39" i="40"/>
  <c r="AC13" i="35"/>
  <c r="W13" i="35"/>
  <c r="U45" i="34"/>
  <c r="AB45" i="34"/>
  <c r="G5" i="3"/>
  <c r="B3" i="3" s="1"/>
  <c r="E539" i="3" s="1"/>
  <c r="AZ36" i="3"/>
  <c r="AZ142" i="3"/>
  <c r="AZ281" i="3"/>
  <c r="AZ253" i="3"/>
  <c r="AZ482" i="3"/>
  <c r="D83" i="71"/>
  <c r="C82" i="71"/>
  <c r="D82" i="71" s="1"/>
  <c r="T32" i="71"/>
  <c r="D32" i="71"/>
  <c r="AZ75" i="3"/>
  <c r="B19" i="71"/>
  <c r="B18" i="71" s="1"/>
  <c r="B17" i="71" s="1"/>
  <c r="B16" i="71" s="1"/>
  <c r="S20" i="71"/>
  <c r="AZ38" i="3"/>
  <c r="D67" i="71"/>
  <c r="C66" i="71"/>
  <c r="O67" i="71"/>
  <c r="AZ126" i="3"/>
  <c r="AZ25" i="3"/>
  <c r="AZ297" i="3"/>
  <c r="AZ223" i="3"/>
  <c r="AZ422" i="3"/>
  <c r="AZ483" i="3"/>
  <c r="AZ457" i="3"/>
  <c r="AZ421" i="3"/>
  <c r="AZ414" i="3"/>
  <c r="AC23" i="36"/>
  <c r="W23" i="36"/>
  <c r="AZ585" i="3"/>
  <c r="AZ557" i="3"/>
  <c r="AZ508" i="3"/>
  <c r="AZ520" i="3"/>
  <c r="AC39" i="40"/>
  <c r="W39" i="40"/>
  <c r="U13" i="35"/>
  <c r="AB13" i="35"/>
  <c r="AA12" i="33"/>
  <c r="S12" i="33"/>
  <c r="J7" i="37"/>
  <c r="K1" i="73"/>
  <c r="E510" i="3"/>
  <c r="E199" i="3"/>
  <c r="I3" i="6"/>
  <c r="E435" i="3"/>
  <c r="E363" i="3"/>
  <c r="E76" i="3"/>
  <c r="E300" i="3"/>
  <c r="E23" i="3"/>
  <c r="E264" i="3"/>
  <c r="E21" i="3"/>
  <c r="E129" i="3"/>
  <c r="E522" i="3"/>
  <c r="E140" i="3"/>
  <c r="E534" i="3"/>
  <c r="E452" i="3"/>
  <c r="E104" i="3"/>
  <c r="E342" i="3"/>
  <c r="E370" i="3"/>
  <c r="E393" i="3"/>
  <c r="E493" i="3"/>
  <c r="E427" i="3"/>
  <c r="E486" i="3"/>
  <c r="E440" i="3"/>
  <c r="E490" i="3"/>
  <c r="J6" i="3"/>
  <c r="E498" i="3"/>
  <c r="E463" i="3"/>
  <c r="E40" i="3"/>
  <c r="E178" i="3"/>
  <c r="E202" i="3"/>
  <c r="E346" i="3"/>
  <c r="E333" i="3"/>
  <c r="E60" i="3"/>
  <c r="E43" i="3"/>
  <c r="E15" i="3"/>
  <c r="E455" i="3"/>
  <c r="E170" i="3"/>
  <c r="E137" i="3"/>
  <c r="E299" i="3"/>
  <c r="E339" i="3"/>
  <c r="AQ6" i="3"/>
  <c r="E52" i="3"/>
  <c r="E123" i="3"/>
  <c r="E147" i="3"/>
  <c r="E364" i="3"/>
  <c r="E50" i="3"/>
  <c r="E176" i="3"/>
  <c r="E218" i="3"/>
  <c r="E524" i="3"/>
  <c r="E101" i="3"/>
  <c r="E552"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128" i="3"/>
  <c r="E262" i="3"/>
  <c r="E330" i="3"/>
  <c r="Q6"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F7" i="37"/>
  <c r="M17" i="67"/>
  <c r="M17" i="15"/>
  <c r="F59" i="15"/>
  <c r="P28" i="43"/>
  <c r="B66" i="40" s="1"/>
  <c r="P25" i="43"/>
  <c r="P29" i="43"/>
  <c r="P27" i="43"/>
  <c r="B70" i="39" s="1"/>
  <c r="C49" i="15"/>
  <c r="C32" i="67"/>
  <c r="M11" i="67"/>
  <c r="J10" i="67" s="1"/>
  <c r="F11" i="15"/>
  <c r="M11" i="15"/>
  <c r="J10" i="15" s="1"/>
  <c r="F11" i="67"/>
  <c r="Q61" i="67"/>
  <c r="Q74" i="67"/>
  <c r="Q74" i="15"/>
  <c r="Q61" i="15"/>
  <c r="AE11" i="1"/>
  <c r="AE9" i="1"/>
  <c r="AE7" i="1"/>
  <c r="AE8" i="1"/>
  <c r="AE12" i="1"/>
  <c r="AE10" i="1"/>
  <c r="C36" i="68"/>
  <c r="F27" i="68"/>
  <c r="C16" i="67"/>
  <c r="G1" i="73"/>
  <c r="C16" i="15"/>
  <c r="J5" i="67" l="1"/>
  <c r="C49" i="67"/>
  <c r="Q73" i="67"/>
  <c r="Q52" i="67"/>
  <c r="E63" i="39"/>
  <c r="E59" i="40"/>
  <c r="K26" i="6"/>
  <c r="M26" i="6" s="1"/>
  <c r="I26" i="6" s="1"/>
  <c r="S26" i="6" s="1"/>
  <c r="E3" i="6"/>
  <c r="E6" i="6" s="1"/>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223" i="3"/>
  <c r="E78" i="3"/>
  <c r="E360" i="3"/>
  <c r="E287" i="3"/>
  <c r="E75" i="3"/>
  <c r="E381" i="3"/>
  <c r="E103" i="3"/>
  <c r="E192" i="3"/>
  <c r="E541"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83" i="3"/>
  <c r="E243" i="3"/>
  <c r="E469" i="3"/>
  <c r="E251" i="3"/>
  <c r="E332" i="3"/>
  <c r="E144" i="3"/>
  <c r="E425" i="3"/>
  <c r="E56" i="3"/>
  <c r="R6" i="3"/>
  <c r="D26" i="43"/>
  <c r="C25" i="43" s="1"/>
  <c r="M14" i="1"/>
  <c r="M16" i="1" s="1"/>
  <c r="F1" i="15"/>
  <c r="AA10" i="39"/>
  <c r="H10" i="39"/>
  <c r="U10" i="39" s="1"/>
  <c r="J10" i="39"/>
  <c r="W10" i="39" s="1"/>
  <c r="H10" i="40"/>
  <c r="AB10" i="40" s="1"/>
  <c r="J10" i="40"/>
  <c r="AC10" i="40" s="1"/>
  <c r="F10" i="40"/>
  <c r="S10" i="40" s="1"/>
  <c r="Q52" i="15"/>
  <c r="AC7" i="36"/>
  <c r="V36" i="36" s="1"/>
  <c r="I36" i="36" s="1"/>
  <c r="Q73" i="15"/>
  <c r="J5" i="15"/>
  <c r="J24" i="15" s="1"/>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T52" i="71"/>
  <c r="D52" i="71"/>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22" i="71"/>
  <c r="C21"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8" s="1"/>
  <c r="C7" i="68" s="1"/>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AE6" i="1"/>
  <c r="F41" i="15"/>
  <c r="M27" i="15"/>
  <c r="M27" i="67"/>
  <c r="C48" i="67" l="1"/>
  <c r="U10" i="40"/>
  <c r="H6" i="3"/>
  <c r="L18" i="9"/>
  <c r="D14" i="12"/>
  <c r="D17" i="12" s="1"/>
  <c r="C17" i="12" s="1"/>
  <c r="D3" i="33"/>
  <c r="D3" i="34"/>
  <c r="AC6" i="3"/>
  <c r="E6" i="3" s="1"/>
  <c r="W10" i="40"/>
  <c r="AC10" i="39"/>
  <c r="AA10" i="40"/>
  <c r="D116" i="43"/>
  <c r="F25" i="12"/>
  <c r="C26" i="12" s="1"/>
  <c r="D25" i="12" s="1"/>
  <c r="D21" i="71"/>
  <c r="C20" i="7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67"/>
  <c r="C14" i="67"/>
  <c r="D10" i="68"/>
  <c r="C17" i="15"/>
  <c r="C17" i="67"/>
  <c r="F69" i="67" l="1"/>
  <c r="H24" i="6"/>
  <c r="H21" i="6"/>
  <c r="H22" i="6"/>
  <c r="R22" i="6" s="1"/>
  <c r="R9" i="1" s="1"/>
  <c r="H25" i="6"/>
  <c r="R25" i="6" s="1"/>
  <c r="R12" i="1" s="1"/>
  <c r="C44" i="11"/>
  <c r="D41" i="11" s="1"/>
  <c r="C26" i="11"/>
  <c r="D22" i="11" s="1"/>
  <c r="C44" i="68"/>
  <c r="D41" i="68" s="1"/>
  <c r="C26" i="68"/>
  <c r="D22" i="68"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37" i="68" l="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T16" i="71" l="1"/>
  <c r="C15" i="71"/>
  <c r="D16" i="71"/>
  <c r="U16" i="7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102" i="9" l="1"/>
  <c r="C21" i="9"/>
  <c r="G43" i="35"/>
  <c r="H43"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9" i="1"/>
  <c r="AO7" i="1"/>
  <c r="AO8"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D6" i="71" l="1"/>
  <c r="C5" i="71"/>
  <c r="D5" i="71" s="1"/>
  <c r="M24" i="43" s="1"/>
  <c r="B6" i="74"/>
  <c r="D6" i="74" s="1"/>
  <c r="C6" i="74"/>
  <c r="M48" i="9"/>
  <c r="D8" i="52"/>
  <c r="B30" i="72"/>
  <c r="N60" i="9"/>
  <c r="N61" i="9"/>
  <c r="B47" i="72"/>
  <c r="M54" i="9"/>
  <c r="H4" i="52"/>
  <c r="C104" i="9"/>
  <c r="C81" i="9"/>
  <c r="D4" i="52"/>
  <c r="D52" i="9"/>
  <c r="D53" i="9"/>
  <c r="E81" i="9"/>
  <c r="B49" i="72"/>
  <c r="F4" i="52"/>
  <c r="B51" i="72"/>
  <c r="C5" i="74"/>
  <c r="C105" i="9"/>
  <c r="I4" i="52"/>
  <c r="D123" i="9"/>
  <c r="D9" i="52"/>
  <c r="N58" i="9"/>
  <c r="P57" i="9"/>
  <c r="N59" i="9"/>
  <c r="D122" i="9"/>
  <c r="G4" i="52"/>
  <c r="B52" i="72"/>
  <c r="B20" i="72"/>
  <c r="H119" i="9"/>
  <c r="H5" i="52"/>
  <c r="C80" i="9"/>
  <c r="E80" i="9"/>
  <c r="D118" i="9"/>
  <c r="D119" i="9"/>
  <c r="D5" i="52"/>
  <c r="C96" i="9"/>
  <c r="E96" i="9"/>
  <c r="E97" i="9"/>
  <c r="E118" i="9"/>
  <c r="E4" i="52"/>
  <c r="B48" i="72"/>
  <c r="C68" i="9"/>
  <c r="D54" i="9"/>
  <c r="D59" i="9"/>
  <c r="M55" i="9"/>
  <c r="H102" i="9"/>
  <c r="D7" i="53"/>
  <c r="B21" i="72"/>
  <c r="D5" i="53"/>
  <c r="D6" i="53"/>
  <c r="B22" i="72"/>
  <c r="C78" i="9"/>
  <c r="C73" i="9"/>
  <c r="C72" i="9"/>
  <c r="C79" i="9"/>
  <c r="G118" i="9"/>
  <c r="F118" i="9"/>
  <c r="F119" i="9"/>
  <c r="F5" i="52"/>
  <c r="B53" i="72"/>
  <c r="H108" i="9"/>
  <c r="D15" i="53"/>
  <c r="B31" i="72"/>
  <c r="C93" i="9"/>
  <c r="C86" i="9"/>
  <c r="C64" i="9"/>
  <c r="C63" i="9"/>
  <c r="C67" i="9"/>
  <c r="C85" i="9"/>
  <c r="C95" i="9"/>
  <c r="C97" i="9"/>
  <c r="D58" i="9"/>
  <c r="D56" i="9"/>
  <c r="D45" i="9"/>
  <c r="D55" i="9"/>
  <c r="M53" i="9"/>
  <c r="N57" i="9"/>
  <c r="I118" i="9"/>
  <c r="H118" i="9"/>
  <c r="H101" i="9"/>
  <c r="H107" i="9"/>
  <c r="D13" i="53"/>
  <c r="D14" i="53"/>
  <c r="B3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<sst xmlns="http://schemas.openxmlformats.org/spreadsheetml/2006/main" count="7906" uniqueCount="3453">
  <si>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</si>
  <si>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</si>
  <si>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</si>
  <si>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</si>
  <si>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</si>
  <si>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</si>
  <si>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</si>
  <si>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</si>
  <si>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</si>
  <si>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</si>
  <si>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</si>
  <si>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</si>
  <si>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</si>
  <si>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</si>
  <si>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</si>
  <si>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</si>
  <si>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</si>
  <si>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</si>
  <si>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</si>
  <si>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</si>
  <si>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</si>
  <si>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</si>
  <si>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</si>
  <si>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</si>
  <si>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</si>
  <si>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</si>
  <si>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</si>
  <si>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</si>
  <si>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</si>
  <si>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</si>
  <si>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</si>
  <si>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</si>
  <si>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</si>
  <si>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</si>
  <si>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</si>
  <si>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</si>
  <si>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</si>
  <si>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</si>
  <si>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</si>
  <si>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</si>
  <si>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</si>
  <si>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</si>
  <si>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</si>
  <si>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</si>
  <si>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</si>
  <si>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</si>
  <si>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</si>
  <si>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</si>
  <si>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</si>
  <si>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</si>
  <si>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</si>
  <si>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</si>
  <si>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</si>
  <si>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</si>
  <si>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</si>
  <si>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</si>
  <si>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</si>
  <si>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</si>
  <si>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</si>
  <si>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</si>
  <si>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</si>
  <si>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</si>
  <si>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</si>
  <si>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</si>
  <si>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</si>
  <si>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</si>
  <si>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</si>
  <si>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</si>
  <si>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</si>
  <si>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</si>
  <si>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</si>
  <si>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</si>
  <si>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</si>
  <si>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</si>
  <si>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</si>
  <si>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</si>
  <si>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</si>
  <si>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</si>
  <si>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</si>
  <si>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</si>
  <si>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</si>
  <si>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</si>
  <si>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</si>
  <si>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</si>
  <si>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</si>
  <si>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</si>
  <si>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</si>
  <si>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</si>
  <si>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</si>
  <si>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</si>
  <si>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</si>
  <si>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</si>
  <si>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</si>
  <si>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</si>
  <si>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</si>
  <si>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</si>
  <si>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</si>
  <si>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</si>
  <si>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</si>
  <si>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</si>
  <si>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</si>
  <si>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</si>
  <si>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</si>
  <si>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</si>
  <si>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</si>
  <si>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</si>
  <si>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</si>
  <si>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</si>
  <si>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</si>
  <si>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</si>
  <si>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</si>
  <si>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</si>
  <si>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</si>
  <si>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</si>
  <si>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</si>
  <si>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</si>
  <si>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</si>
  <si>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</si>
  <si>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</si>
  <si>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</si>
  <si>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</si>
  <si>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</si>
  <si>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</si>
  <si>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</si>
  <si>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</si>
  <si>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</si>
  <si>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</si>
  <si>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</si>
  <si>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</si>
  <si>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</si>
  <si>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</si>
  <si>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</si>
  <si>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</si>
  <si>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</si>
  <si>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</si>
  <si>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</si>
  <si>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</si>
  <si>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</si>
  <si>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</si>
  <si>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</si>
  <si>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</si>
  <si>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</si>
  <si>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</si>
  <si>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</si>
  <si>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</si>
  <si>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</si>
  <si>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</si>
  <si>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</si>
  <si>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</si>
  <si>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</si>
  <si>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</si>
  <si>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</si>
  <si>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</si>
  <si>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</si>
  <si>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</si>
  <si>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</si>
  <si>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</si>
  <si>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</si>
  <si>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</si>
  <si>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</si>
  <si>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</si>
  <si>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</si>
  <si>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</si>
  <si>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</si>
  <si>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</si>
  <si>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</si>
  <si>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</si>
  <si>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</si>
  <si>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</si>
  <si>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</si>
  <si>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</si>
  <si>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</si>
  <si>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</si>
  <si>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</si>
  <si>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</si>
  <si>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</si>
  <si>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</si>
  <si>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</si>
  <si>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</si>
  <si>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</si>
  <si>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</si>
  <si>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</si>
  <si>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</si>
  <si>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</si>
  <si>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</si>
  <si>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</si>
  <si>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</si>
  <si>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</si>
  <si>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</si>
  <si>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</si>
  <si>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</si>
  <si>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</si>
  <si>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</si>
  <si>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</si>
  <si>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</si>
  <si>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</si>
  <si>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</si>
  <si>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</si>
  <si>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</si>
  <si>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</si>
  <si>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</si>
  <si>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</si>
  <si>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</si>
  <si>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</si>
  <si>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</si>
  <si>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</si>
  <si>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</si>
  <si>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</si>
  <si>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</si>
  <si>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</si>
  <si>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</si>
  <si>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</si>
  <si>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</si>
  <si>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</si>
  <si>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</si>
  <si>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</si>
  <si>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</si>
  <si>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</si>
  <si>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</si>
  <si>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</si>
  <si>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</si>
  <si>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</si>
  <si>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</si>
  <si>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</si>
  <si>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</si>
  <si>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</si>
  <si>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</si>
  <si>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</si>
  <si>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</si>
  <si>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</si>
  <si>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</si>
  <si>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</si>
  <si>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</si>
  <si>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</si>
  <si>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</si>
  <si>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</si>
  <si>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</si>
  <si>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</si>
  <si>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</si>
  <si>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</si>
  <si>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</si>
  <si>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</si>
  <si>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</si>
  <si>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</si>
  <si>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</si>
  <si>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</si>
  <si>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</si>
  <si>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</si>
  <si>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</si>
  <si>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</si>
  <si>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</si>
  <si>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</si>
  <si>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</si>
  <si>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</si>
  <si>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</si>
  <si>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</si>
  <si>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</si>
  <si>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</si>
  <si>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</si>
  <si>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</si>
  <si>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</si>
  <si>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</si>
  <si>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</si>
  <si>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</si>
  <si>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</si>
  <si>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</si>
  <si>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</si>
  <si>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</si>
  <si>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</si>
  <si>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</si>
  <si>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</si>
  <si>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</si>
  <si>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</si>
  <si>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</si>
  <si>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</si>
  <si>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</si>
  <si>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</si>
  <si>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</si>
  <si>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</si>
  <si>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</si>
  <si>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</si>
  <si>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</si>
  <si>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</si>
  <si>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</si>
  <si>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</si>
  <si>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</si>
  <si>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</si>
  <si>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</si>
  <si>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</si>
  <si>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</si>
  <si>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</si>
  <si>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</si>
  <si>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</si>
  <si>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</si>
  <si>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</si>
  <si>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</si>
  <si>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</si>
  <si>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</si>
  <si>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</si>
  <si>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</si>
  <si>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</si>
  <si>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</si>
  <si>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</si>
  <si>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</si>
  <si>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</si>
  <si>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</si>
  <si>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</si>
  <si>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</si>
  <si>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</si>
  <si>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</si>
  <si>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</si>
  <si>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</si>
  <si>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</si>
  <si>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</si>
  <si>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</si>
  <si>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</si>
  <si>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</si>
  <si>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</si>
  <si>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</si>
  <si>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</si>
  <si>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</si>
  <si>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</si>
  <si>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</si>
  <si>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</si>
  <si>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</si>
  <si>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</si>
  <si>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</si>
  <si>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</si>
  <si>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</si>
  <si>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</si>
  <si>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</si>
  <si>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</si>
  <si>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</si>
  <si>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</si>
  <si>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</si>
  <si>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</si>
  <si>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</si>
  <si>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</si>
  <si>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</si>
  <si>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</si>
  <si>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</si>
  <si>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</si>
  <si>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</si>
  <si>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</si>
  <si>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</si>
  <si>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</si>
  <si>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</si>
  <si>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</si>
  <si>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</si>
  <si>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</si>
  <si>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</si>
  <si>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</si>
  <si>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</si>
  <si>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</si>
  <si>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</si>
  <si>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</si>
  <si>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</si>
  <si>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</si>
  <si>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</si>
  <si>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</si>
  <si>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</si>
  <si>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</si>
  <si>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</si>
  <si>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</si>
  <si>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</si>
  <si>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</si>
  <si>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</si>
  <si>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</si>
  <si>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</si>
  <si>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</si>
  <si>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</si>
  <si>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</si>
  <si>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</si>
  <si>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</si>
  <si>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</si>
  <si>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</si>
  <si>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</si>
  <si>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</si>
  <si>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</si>
  <si>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</si>
  <si>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</si>
  <si>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</si>
  <si>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</si>
  <si>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</si>
  <si>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</si>
  <si>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</si>
  <si>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</si>
  <si>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</si>
  <si>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</si>
  <si>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</si>
  <si>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</si>
  <si>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</si>
  <si>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</si>
  <si>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</si>
  <si>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</si>
  <si>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</si>
  <si>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</si>
  <si>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</si>
  <si>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</si>
  <si>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</si>
  <si>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</si>
  <si>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</si>
  <si>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</si>
  <si>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</si>
  <si>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</si>
  <si>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</si>
  <si>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</si>
  <si>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</si>
  <si>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</si>
  <si>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</si>
  <si>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</si>
  <si>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</si>
  <si>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</si>
  <si>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</si>
  <si>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</si>
  <si>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</si>
  <si>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</si>
  <si>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</si>
  <si>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</si>
  <si>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</si>
  <si>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</si>
  <si>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</si>
  <si>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</si>
  <si>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</si>
  <si>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</si>
  <si>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</si>
  <si>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</si>
  <si>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</si>
  <si>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</si>
  <si>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</si>
  <si>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</si>
  <si>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</si>
  <si>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</si>
  <si>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</si>
  <si>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</si>
  <si>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</si>
  <si>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</si>
  <si>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</si>
  <si>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</si>
  <si>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</si>
  <si>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</si>
  <si>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</si>
  <si>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</si>
  <si>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</si>
  <si>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</si>
  <si>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</si>
  <si>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</si>
  <si>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</si>
  <si>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</si>
  <si>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</si>
  <si>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</si>
  <si>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</si>
  <si>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</si>
  <si>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</si>
  <si>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</si>
  <si>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</si>
  <si>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</si>
  <si>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</si>
  <si>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</si>
  <si>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</si>
  <si>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</si>
  <si>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</si>
  <si>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</si>
  <si>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</si>
  <si>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</si>
  <si>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</si>
  <si>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</si>
  <si>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</si>
  <si>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</si>
  <si>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</si>
  <si>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</si>
  <si>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</si>
  <si>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</si>
  <si>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</si>
  <si>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</si>
  <si>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</si>
  <si>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</si>
  <si>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</si>
  <si>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</si>
  <si>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</si>
  <si>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</si>
  <si>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</si>
  <si>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</si>
  <si>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</si>
  <si>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</si>
  <si>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</si>
  <si>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</si>
  <si>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</si>
  <si>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</si>
  <si>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</si>
  <si>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</si>
  <si>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</si>
  <si>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</si>
  <si>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</si>
  <si>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</si>
  <si>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</si>
  <si>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</si>
  <si>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</si>
  <si>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</si>
  <si>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</si>
  <si>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</si>
  <si>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</si>
  <si>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</si>
  <si>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</si>
  <si>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</si>
  <si>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</si>
  <si>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</si>
  <si>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</si>
  <si>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</si>
  <si>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</si>
  <si>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</si>
  <si>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</si>
  <si>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</si>
  <si>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</si>
  <si>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</si>
  <si>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</si>
  <si>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</si>
  <si>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</si>
  <si>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</si>
  <si>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</si>
  <si>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</si>
  <si>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</si>
  <si>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</si>
  <si>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</si>
  <si>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</si>
  <si>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</si>
  <si>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</si>
  <si>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</si>
  <si>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</si>
  <si>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</si>
  <si>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</si>
  <si>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</si>
  <si>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</si>
  <si>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</si>
  <si>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</si>
  <si>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</si>
  <si>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</si>
  <si>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</si>
  <si>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</si>
  <si>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</si>
  <si>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</si>
  <si>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</si>
  <si>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</si>
  <si>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</si>
  <si>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</si>
  <si>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</si>
  <si>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</si>
  <si>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</si>
  <si>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</si>
  <si>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</si>
  <si>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</si>
  <si>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</si>
  <si>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</si>
  <si>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</si>
  <si>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</si>
  <si>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</si>
  <si>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</si>
  <si>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</si>
  <si>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</si>
  <si>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</si>
  <si>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</si>
  <si>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</si>
  <si>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</si>
  <si>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</si>
  <si>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</si>
  <si>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</si>
  <si>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</si>
  <si>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</si>
  <si>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</si>
  <si>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</si>
  <si>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</si>
  <si>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</si>
  <si>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</si>
  <si>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</si>
  <si>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</si>
  <si>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</si>
  <si>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</si>
  <si>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</si>
  <si>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</si>
  <si>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</si>
  <si>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</si>
  <si>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</si>
  <si>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</si>
  <si>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</si>
  <si>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</si>
  <si>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</si>
  <si>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</si>
  <si>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</si>
  <si>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</si>
  <si>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</si>
  <si>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</si>
  <si>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</si>
  <si>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</si>
  <si>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</si>
  <si>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</si>
  <si>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</si>
  <si>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</si>
  <si>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</si>
  <si>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</si>
  <si>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</si>
  <si>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</si>
  <si>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</si>
  <si>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</si>
  <si>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</si>
  <si>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</si>
  <si>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</si>
  <si>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</si>
  <si>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</si>
  <si>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</si>
  <si>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</si>
  <si>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</si>
  <si>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</si>
  <si>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</si>
  <si>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</si>
  <si>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</si>
  <si>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</si>
  <si>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</si>
  <si>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</si>
  <si>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</si>
  <si>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</si>
  <si>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</si>
  <si>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</si>
  <si>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</si>
  <si>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</si>
  <si>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</si>
  <si>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</si>
  <si>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</si>
  <si>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</si>
  <si>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</si>
  <si>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</si>
  <si>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</si>
  <si>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</si>
  <si>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</si>
  <si>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</si>
  <si>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</si>
  <si>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</si>
  <si>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</si>
  <si>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</si>
  <si>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</si>
  <si>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</si>
  <si>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</si>
  <si>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</si>
  <si>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</si>
  <si>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</si>
  <si>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</si>
  <si>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</si>
  <si>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</si>
  <si>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</si>
  <si>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</si>
  <si>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</si>
  <si>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</si>
  <si>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</si>
  <si>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</si>
  <si>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</si>
  <si>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</si>
  <si>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</si>
  <si>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</si>
  <si>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</si>
  <si>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</si>
  <si>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</si>
  <si>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</si>
  <si>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</si>
  <si>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</si>
  <si>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</si>
  <si>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</si>
  <si>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</si>
  <si>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</si>
  <si>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</si>
  <si>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</si>
  <si>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</si>
  <si>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</si>
  <si>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</si>
  <si>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</si>
  <si>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</si>
  <si>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</si>
  <si>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</si>
  <si>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</si>
  <si>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</si>
  <si>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</si>
  <si>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</si>
  <si>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</si>
  <si>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</si>
  <si>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</si>
  <si>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</si>
  <si>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</si>
  <si>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</si>
  <si>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</si>
  <si>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</si>
  <si>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</si>
  <si>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</si>
  <si>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</si>
  <si>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</si>
  <si>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</si>
  <si>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</si>
  <si>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</si>
  <si>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</si>
  <si>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</si>
  <si>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</si>
  <si>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</si>
  <si>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</si>
  <si>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</si>
  <si>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</si>
  <si>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</si>
  <si>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</si>
  <si>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</si>
  <si>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</si>
  <si>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</si>
  <si>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</si>
  <si>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</si>
  <si>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</si>
  <si>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</si>
  <si>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</si>
  <si>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</si>
  <si>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</si>
  <si>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</si>
  <si>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</si>
  <si>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</si>
  <si>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</si>
  <si>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</si>
  <si>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</si>
  <si>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</si>
  <si>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</si>
  <si>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</si>
  <si>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</si>
  <si>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</si>
  <si>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</si>
  <si>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</si>
  <si>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</si>
  <si>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</si>
  <si>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</si>
  <si>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</si>
  <si>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</si>
  <si>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</si>
  <si>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</si>
  <si>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</si>
  <si>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</si>
  <si>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</si>
  <si>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</si>
  <si>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</si>
  <si>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</si>
  <si>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</si>
  <si>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</si>
  <si>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</si>
  <si>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</si>
  <si>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</si>
  <si>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</si>
  <si>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</si>
  <si>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</si>
  <si>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</si>
  <si>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</si>
  <si>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</si>
  <si>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</si>
  <si>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</si>
  <si>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</si>
  <si>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</si>
  <si>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</si>
  <si>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</si>
  <si>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</si>
  <si>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</si>
  <si>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</si>
  <si>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</si>
  <si>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</si>
  <si>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</si>
  <si>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</si>
  <si>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</si>
  <si>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</si>
  <si>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</si>
  <si>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</si>
  <si>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</si>
  <si>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</si>
  <si>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</si>
  <si>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</si>
  <si>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</si>
  <si>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</si>
  <si>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</si>
  <si>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</si>
  <si>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</si>
  <si>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</si>
  <si>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</si>
  <si>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</si>
  <si>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</si>
  <si>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</si>
  <si>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</si>
  <si>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</si>
  <si>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</si>
  <si>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</si>
  <si>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</si>
  <si>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</si>
  <si>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</si>
  <si>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</si>
  <si>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</si>
  <si>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</si>
  <si>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</si>
  <si>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</si>
  <si>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</si>
  <si>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</si>
  <si>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</si>
  <si>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</si>
  <si>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</si>
  <si>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</si>
  <si>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</si>
  <si>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</si>
  <si>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</si>
  <si>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</si>
  <si>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</si>
  <si>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</si>
  <si>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</si>
  <si>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</si>
  <si>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</si>
  <si>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</si>
  <si>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</si>
  <si>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</si>
  <si>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</si>
  <si>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</si>
  <si>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</si>
  <si>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</si>
  <si>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</si>
  <si>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</si>
  <si>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</si>
  <si>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</si>
  <si>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</si>
  <si>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</si>
  <si>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</si>
  <si>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</si>
  <si>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</si>
  <si>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</si>
  <si>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</si>
  <si>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</si>
  <si>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</si>
  <si>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</si>
  <si>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</si>
  <si>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</si>
  <si>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</si>
  <si>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</si>
  <si>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</si>
  <si>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</si>
  <si>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</si>
  <si>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</si>
  <si>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</si>
  <si>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</si>
  <si>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</si>
  <si>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</si>
  <si>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</si>
  <si>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</si>
  <si>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</si>
  <si>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</si>
  <si>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</si>
  <si>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</si>
  <si>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</si>
  <si>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</si>
  <si>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</si>
  <si>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</si>
  <si>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</si>
  <si>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</si>
  <si>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</si>
  <si>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</si>
  <si>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</si>
  <si>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</si>
  <si>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</si>
  <si>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</si>
  <si>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</si>
  <si>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</si>
  <si>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</si>
  <si>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</si>
  <si>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</si>
  <si>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</si>
  <si>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</si>
  <si>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</si>
  <si>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</si>
  <si>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</si>
  <si>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</si>
  <si>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</si>
  <si>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</si>
  <si>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</si>
  <si>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</si>
  <si>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</si>
  <si>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</si>
  <si>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</si>
  <si>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</si>
  <si>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</si>
  <si>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</si>
  <si>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</si>
  <si>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</si>
  <si>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</si>
  <si>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</si>
  <si>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</si>
  <si>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</si>
  <si>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</si>
  <si>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</si>
  <si>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</si>
  <si>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</si>
  <si>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</si>
  <si>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</si>
  <si>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</si>
  <si>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</si>
  <si>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</si>
  <si>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</si>
  <si>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</si>
  <si>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</si>
  <si>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</si>
  <si>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</si>
  <si>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</si>
  <si>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</si>
  <si>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</si>
  <si>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</si>
  <si>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</si>
  <si>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</si>
  <si>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</si>
  <si>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</si>
  <si>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</si>
  <si>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</si>
  <si>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</si>
  <si>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</si>
  <si>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</si>
  <si>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</si>
  <si>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</si>
  <si>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</si>
  <si>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</si>
  <si>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</si>
  <si>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</si>
  <si>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</si>
  <si>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</si>
  <si>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</si>
  <si>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</si>
  <si>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</si>
  <si>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</si>
  <si>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</si>
  <si>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</si>
  <si>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</si>
  <si>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</si>
  <si>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</si>
  <si>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</si>
  <si>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</si>
  <si>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</si>
  <si>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</si>
  <si>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</si>
  <si>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</si>
  <si>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</si>
  <si>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</si>
  <si>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</si>
  <si>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</si>
  <si>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</si>
  <si>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</si>
  <si>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</si>
  <si>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</si>
  <si>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</si>
  <si>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</si>
  <si>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</si>
  <si>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</si>
  <si>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</si>
  <si>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</si>
  <si>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</si>
  <si>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</si>
  <si>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</si>
  <si>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</si>
  <si>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</si>
  <si>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</si>
  <si>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</si>
  <si>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</si>
  <si>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</si>
  <si>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</si>
  <si>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</si>
  <si>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</si>
  <si>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</si>
  <si>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</si>
  <si>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</si>
  <si>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</si>
  <si>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</si>
  <si>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</si>
  <si>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</si>
  <si>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</si>
  <si>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</si>
  <si>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</si>
  <si>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</si>
  <si>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</si>
  <si>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</si>
  <si>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</si>
  <si>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</si>
  <si>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</si>
  <si>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</si>
  <si>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</si>
  <si>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</si>
  <si>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</si>
  <si>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</si>
  <si>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</si>
  <si>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</si>
  <si>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</si>
  <si>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</si>
  <si>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</si>
  <si>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</si>
  <si>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</si>
  <si>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</si>
  <si>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</si>
  <si>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</si>
  <si>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</si>
  <si>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</si>
  <si>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</si>
  <si>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</si>
  <si>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</si>
  <si>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</si>
  <si>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</si>
  <si>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</si>
  <si>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</si>
  <si>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</si>
  <si>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</si>
  <si>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</si>
  <si>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</si>
  <si>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</si>
  <si>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</si>
  <si>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</si>
  <si>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</si>
  <si>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</si>
  <si>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</si>
  <si>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</si>
  <si>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</si>
  <si>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</si>
  <si>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</si>
  <si>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</si>
  <si>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</si>
  <si>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</si>
  <si>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</si>
  <si>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</si>
  <si>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</si>
  <si>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</si>
  <si>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</si>
  <si>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</si>
  <si>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</si>
  <si>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</si>
  <si>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</si>
  <si>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</si>
  <si>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</si>
  <si>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</si>
  <si>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</si>
  <si>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</si>
  <si>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</si>
  <si>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</si>
  <si>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</si>
  <si>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</si>
  <si>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</si>
  <si>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</si>
  <si>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</si>
  <si>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</si>
  <si>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</si>
  <si>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</si>
  <si>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</si>
  <si>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</si>
  <si>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</si>
  <si>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</si>
  <si>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</si>
  <si>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</si>
  <si>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</si>
  <si>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</si>
  <si>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</si>
  <si>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</si>
  <si>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</si>
  <si>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</si>
  <si>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</si>
  <si>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</si>
  <si>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</si>
  <si>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</si>
  <si>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</si>
  <si>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</si>
  <si>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</si>
  <si>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</si>
  <si>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</si>
  <si>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</si>
  <si>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</si>
  <si>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</si>
  <si>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</si>
  <si>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</si>
  <si>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</si>
  <si>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</si>
  <si>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</si>
  <si>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</si>
  <si>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</si>
  <si>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</si>
  <si>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</si>
  <si>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</si>
  <si>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</si>
  <si>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</si>
  <si>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</si>
  <si>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</si>
  <si>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</si>
  <si>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</si>
  <si>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</si>
  <si>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</si>
  <si>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</si>
  <si>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</si>
  <si>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</si>
  <si>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</si>
  <si>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</si>
  <si>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</si>
  <si>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</si>
  <si>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</si>
  <si>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</si>
  <si>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</si>
  <si>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</si>
  <si>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</si>
  <si>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</si>
  <si>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</si>
  <si>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</si>
  <si>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</si>
  <si>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</si>
  <si>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</si>
  <si>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</si>
  <si>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</si>
  <si>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</si>
  <si>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</si>
  <si>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</si>
  <si>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</si>
  <si>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</si>
  <si>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</si>
  <si>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</si>
  <si>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</si>
  <si>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</si>
  <si>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</si>
  <si>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</si>
  <si>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</si>
  <si>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</si>
  <si>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</si>
  <si>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</si>
  <si>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</si>
  <si>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</si>
  <si>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</si>
  <si>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</si>
  <si>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</si>
  <si>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</si>
  <si>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</si>
  <si>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</si>
  <si>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</si>
  <si>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</si>
  <si>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</si>
  <si>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</si>
  <si>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</si>
  <si>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</si>
  <si>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</si>
  <si>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</si>
  <si>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</si>
  <si>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</si>
  <si>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</si>
  <si>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</si>
  <si>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</si>
  <si>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</si>
  <si>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</si>
  <si>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</si>
  <si>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</si>
  <si>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</si>
  <si>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</si>
  <si>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</si>
  <si>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</si>
  <si>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</si>
  <si>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</si>
  <si>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</si>
  <si>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</si>
  <si>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</si>
  <si>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</si>
  <si>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</si>
  <si>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</si>
  <si>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</si>
  <si>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</si>
  <si>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</si>
  <si>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</si>
  <si>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</si>
  <si>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</si>
  <si>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</si>
  <si>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</si>
  <si>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</si>
  <si>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</si>
  <si>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</si>
  <si>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</si>
  <si>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</si>
  <si>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</si>
  <si>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</si>
  <si>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</si>
  <si>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</si>
  <si>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</si>
  <si>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</si>
  <si>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</si>
  <si>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</si>
  <si>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</si>
  <si>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</si>
  <si>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</si>
  <si>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</si>
  <si>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</si>
  <si>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</si>
  <si>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</si>
  <si>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</si>
  <si>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</si>
  <si>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</si>
  <si>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</si>
  <si>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</si>
  <si>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</si>
  <si>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</si>
  <si>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</si>
  <si>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</si>
  <si>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</si>
  <si>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</si>
  <si>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</si>
  <si>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</si>
  <si>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</si>
  <si>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</si>
  <si>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</si>
  <si>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</si>
  <si>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</si>
  <si>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</si>
  <si>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</si>
  <si>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</si>
  <si>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</si>
  <si>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</si>
  <si>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</si>
  <si>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</si>
  <si>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</si>
  <si>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</si>
  <si>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</si>
  <si>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</si>
  <si>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</si>
  <si>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</si>
  <si>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</si>
  <si>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</si>
  <si>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</si>
  <si>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</si>
  <si>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</si>
  <si>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</si>
  <si>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</si>
  <si>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</si>
  <si>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</si>
  <si>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</si>
  <si>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</si>
  <si>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</si>
  <si>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</si>
  <si>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</si>
  <si>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</si>
  <si>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</si>
  <si>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</si>
  <si>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</si>
  <si>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</si>
  <si>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</si>
  <si>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</si>
  <si>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</si>
  <si>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</si>
  <si>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</si>
  <si>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</si>
  <si>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</si>
  <si>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</si>
  <si>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</si>
  <si>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</si>
  <si>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</si>
  <si>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</si>
  <si>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</si>
  <si>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</si>
  <si>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</si>
  <si>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</si>
  <si>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</si>
  <si>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</si>
  <si>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</si>
  <si>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</si>
  <si>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</si>
  <si>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</si>
  <si>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</si>
  <si>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</si>
  <si>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</si>
  <si>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</si>
  <si>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</si>
  <si>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</si>
  <si>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</si>
  <si>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</si>
  <si>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</si>
  <si>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</si>
  <si>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</si>
  <si>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</si>
  <si>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</si>
  <si>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</si>
  <si>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</si>
  <si>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</si>
  <si>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</si>
  <si>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</si>
  <si>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</si>
  <si>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</si>
  <si>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</si>
  <si>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</si>
  <si>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</si>
  <si>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</si>
  <si>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</si>
  <si>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</si>
  <si>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</si>
  <si>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</si>
  <si>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</si>
  <si>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</si>
  <si>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</si>
  <si>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</si>
  <si>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</si>
  <si>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</si>
  <si>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</si>
  <si>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</si>
  <si>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</si>
  <si>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</si>
  <si>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</si>
  <si>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</si>
  <si>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</si>
  <si>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</si>
  <si>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</si>
  <si>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</si>
  <si>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</si>
  <si>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</si>
  <si>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</si>
  <si>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</si>
  <si>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</si>
  <si>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</si>
  <si>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</si>
  <si>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</si>
  <si>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</si>
  <si>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</si>
  <si>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</si>
  <si>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</si>
  <si>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</si>
  <si>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</si>
  <si>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</si>
  <si>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</si>
  <si>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</si>
  <si>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</si>
  <si>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</si>
  <si>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</si>
  <si>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</si>
  <si>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</si>
  <si>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</si>
  <si>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</si>
  <si>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</si>
  <si>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</si>
  <si>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</si>
  <si>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</si>
  <si>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</si>
  <si>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</si>
  <si>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</si>
  <si>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</si>
  <si>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</si>
  <si>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</si>
  <si>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</si>
  <si>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</si>
  <si>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</si>
  <si>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</si>
  <si>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</si>
  <si>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</si>
  <si>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</si>
  <si>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</si>
  <si>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</si>
  <si>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</si>
  <si>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</si>
  <si>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</si>
  <si>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</si>
  <si>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</si>
  <si>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</si>
  <si>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</si>
  <si>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</si>
  <si>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</si>
  <si>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</si>
  <si>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</si>
  <si>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</si>
  <si>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</si>
  <si>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</si>
  <si>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</si>
  <si>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</si>
  <si>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</si>
  <si>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</si>
  <si>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</si>
  <si>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</si>
  <si>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</si>
  <si>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</si>
  <si>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</si>
  <si>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</si>
  <si>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</si>
  <si>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</si>
  <si>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</si>
  <si>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</si>
  <si>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</si>
  <si>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</si>
  <si>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</si>
  <si>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</si>
  <si>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</si>
  <si>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</si>
  <si>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</si>
  <si>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</si>
  <si>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</si>
  <si>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</si>
  <si>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</si>
  <si>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</si>
  <si>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</si>
  <si>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</si>
  <si>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</si>
  <si>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</si>
  <si>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</si>
  <si>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</si>
  <si>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</si>
  <si>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</si>
  <si>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</si>
  <si>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</si>
  <si>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</si>
  <si>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</si>
  <si>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</si>
  <si>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</si>
  <si>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</si>
  <si>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</si>
  <si>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</si>
  <si>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</si>
  <si>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</si>
  <si>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</si>
  <si>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</si>
  <si>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</si>
  <si>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</si>
  <si>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</si>
  <si>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</si>
  <si>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</si>
  <si>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</si>
  <si>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</si>
  <si>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</si>
  <si>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</si>
  <si>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</si>
  <si>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</si>
  <si>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</si>
  <si>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</si>
  <si>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</si>
  <si>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</si>
  <si>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</si>
  <si>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</si>
  <si>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</si>
  <si>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</si>
  <si>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</si>
  <si>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</si>
  <si>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</si>
  <si>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</si>
  <si>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</si>
  <si>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</si>
  <si>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</si>
  <si>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</si>
  <si>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</si>
  <si>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</si>
  <si>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</si>
  <si>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</si>
  <si>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</si>
  <si>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</si>
  <si>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</si>
  <si>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</si>
  <si>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</si>
  <si>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</si>
  <si>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</si>
  <si>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</si>
  <si>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</si>
  <si>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</si>
  <si>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</si>
  <si>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</si>
  <si>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</si>
  <si>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</si>
  <si>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</si>
  <si>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</si>
  <si>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</si>
  <si>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</si>
  <si>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</si>
  <si>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</si>
  <si>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</si>
  <si>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</si>
  <si>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</si>
  <si>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</si>
  <si>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</si>
  <si>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</si>
  <si>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</si>
  <si>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</si>
  <si>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</si>
  <si>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</si>
  <si>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</si>
  <si>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</si>
  <si>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</si>
  <si>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</si>
  <si>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</si>
  <si>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</si>
  <si>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</si>
  <si>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</si>
  <si>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</si>
  <si>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</si>
  <si>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</si>
  <si>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</si>
  <si>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</si>
  <si>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</si>
  <si>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</si>
  <si>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</si>
  <si>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</si>
  <si>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</si>
  <si>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</si>
  <si>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</si>
  <si>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</si>
  <si>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</si>
  <si>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</si>
  <si>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</si>
  <si>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</si>
  <si>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</si>
  <si>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</si>
  <si>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</si>
  <si>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</si>
  <si>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</si>
  <si>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</si>
  <si>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</si>
  <si>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</si>
  <si>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</si>
  <si>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</si>
  <si>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</si>
  <si>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</si>
  <si>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</si>
  <si>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</si>
  <si>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</si>
  <si>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</si>
  <si>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</si>
  <si>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</si>
  <si>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</si>
  <si>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</si>
  <si>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</si>
  <si>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</si>
  <si>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</si>
  <si>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</si>
  <si>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</si>
  <si>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</si>
  <si>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</si>
  <si>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</si>
  <si>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</si>
  <si>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</si>
  <si>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</si>
  <si>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</si>
  <si>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</si>
  <si>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</si>
  <si>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</si>
  <si>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</si>
  <si>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</si>
  <si>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</si>
  <si>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</si>
  <si>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</si>
  <si>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</si>
  <si>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</si>
  <si>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</si>
  <si>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</si>
  <si>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</si>
  <si>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</si>
  <si>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</si>
  <si>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</si>
  <si>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</si>
  <si>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</si>
  <si>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</si>
  <si>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</si>
  <si>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</si>
  <si>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</si>
  <si>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</si>
  <si>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</si>
  <si>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</si>
  <si>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</si>
  <si>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</si>
  <si>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</si>
  <si>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</si>
  <si>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</si>
  <si>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</si>
  <si>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</si>
  <si>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</si>
  <si>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</si>
  <si>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</si>
  <si>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</si>
  <si>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</si>
  <si>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</si>
  <si>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</si>
  <si>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</si>
  <si>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</si>
  <si>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</si>
  <si>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</si>
  <si>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</si>
  <si>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</si>
  <si>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</si>
  <si>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</si>
  <si>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</si>
  <si>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</si>
  <si>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</si>
  <si>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</si>
  <si>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</si>
  <si>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</si>
  <si>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</si>
  <si>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</si>
  <si>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</si>
  <si>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</si>
  <si>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</si>
  <si>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</si>
  <si>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</si>
  <si>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</si>
  <si>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</si>
  <si>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</si>
  <si>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</si>
  <si>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</si>
  <si>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</si>
  <si>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</si>
  <si>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</si>
  <si>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</si>
  <si>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</si>
  <si>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</si>
  <si>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</si>
  <si>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</si>
  <si>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</si>
  <si>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</si>
  <si>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</si>
  <si>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</si>
  <si>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</si>
  <si>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</si>
  <si>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</si>
  <si>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</si>
  <si>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</si>
  <si>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</si>
  <si>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</si>
  <si>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</si>
  <si>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</si>
  <si>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</si>
  <si>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</si>
  <si>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</si>
  <si>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</si>
  <si>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</si>
  <si>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</si>
  <si>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</si>
  <si>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</si>
  <si>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</si>
  <si>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</si>
  <si>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</si>
  <si>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</si>
  <si>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</si>
  <si>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</si>
  <si>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</si>
  <si>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</si>
  <si>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</si>
  <si>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</si>
  <si>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</si>
  <si>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</si>
  <si>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</si>
  <si>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</si>
  <si>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</si>
  <si>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</si>
  <si>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</si>
  <si>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</si>
  <si>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</si>
  <si>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</si>
  <si>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</si>
  <si>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</si>
  <si>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</si>
  <si>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</si>
  <si>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</si>
  <si>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</si>
  <si>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</si>
  <si>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</si>
  <si>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</si>
  <si>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</si>
  <si>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</si>
  <si>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</si>
  <si>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</si>
  <si>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</si>
  <si>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</si>
  <si>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</si>
  <si>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</si>
  <si>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</si>
  <si>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</si>
  <si>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</si>
  <si>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</si>
  <si>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</si>
  <si>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</si>
  <si>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</si>
  <si>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</si>
  <si>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</si>
  <si>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</si>
  <si>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</si>
  <si>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</si>
  <si>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</si>
  <si>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</si>
  <si>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</si>
  <si>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</si>
  <si>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</si>
  <si>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</si>
  <si>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</si>
  <si>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</si>
  <si>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</si>
  <si>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</si>
  <si>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</si>
  <si>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</si>
  <si>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</si>
  <si>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</si>
  <si>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</si>
  <si>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</si>
  <si>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</si>
  <si>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</si>
  <si>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</si>
  <si>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</si>
  <si>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</si>
  <si>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</si>
  <si>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</si>
  <si>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</si>
  <si>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</si>
  <si>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</si>
  <si>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</si>
  <si>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</si>
  <si>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</si>
  <si>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</si>
  <si>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</si>
  <si>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</si>
  <si>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</si>
  <si>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</si>
  <si>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</si>
  <si>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</si>
  <si>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</si>
  <si>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</si>
  <si>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</si>
  <si>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</si>
  <si>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</si>
  <si>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</si>
  <si>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</si>
  <si>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</si>
  <si>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</si>
  <si>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</si>
  <si>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</si>
  <si>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</si>
  <si>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</si>
  <si>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</si>
  <si>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</si>
  <si>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</si>
  <si>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</si>
  <si>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</si>
  <si>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</si>
  <si>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</si>
  <si>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</si>
  <si>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</si>
  <si>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</si>
  <si>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</si>
  <si>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</si>
  <si>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</si>
  <si>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</si>
  <si>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</si>
  <si>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</si>
  <si>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</si>
  <si>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</si>
  <si>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</si>
  <si>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</si>
  <si>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</si>
  <si>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</si>
  <si>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</si>
  <si>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</si>
  <si>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</si>
  <si>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</si>
  <si>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</si>
  <si>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</si>
  <si>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</si>
  <si>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</si>
  <si>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</si>
  <si>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</si>
  <si>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</si>
  <si>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</si>
  <si>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</si>
  <si>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</si>
  <si>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</si>
  <si>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</si>
  <si>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</si>
  <si>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</si>
  <si>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</si>
  <si>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</si>
  <si>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</si>
  <si>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</si>
  <si>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</si>
  <si>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</si>
  <si>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</si>
  <si>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</si>
  <si>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</si>
  <si>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</si>
  <si>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</si>
  <si>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</si>
  <si>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</si>
  <si>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</si>
  <si>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</si>
  <si>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</si>
  <si>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</si>
  <si>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</si>
  <si>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</si>
  <si>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</si>
  <si>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</si>
  <si>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</si>
  <si>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</si>
  <si>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</si>
  <si>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</si>
  <si>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</si>
  <si>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</si>
  <si>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</si>
  <si>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</si>
  <si>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</si>
  <si>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</si>
  <si>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</si>
  <si>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</si>
  <si>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</si>
  <si>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</si>
  <si>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</si>
  <si>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</si>
  <si>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</si>
  <si>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</si>
  <si>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</si>
  <si>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</si>
  <si>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</si>
  <si>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</si>
  <si>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</si>
  <si>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</si>
  <si>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</si>
  <si>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</si>
  <si>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</si>
  <si>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</si>
  <si>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</si>
  <si>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</si>
  <si>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</si>
  <si>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</si>
  <si>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</si>
  <si>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</si>
  <si>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</si>
  <si>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</si>
  <si>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</si>
  <si>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</si>
  <si>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</si>
  <si>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</si>
  <si>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</si>
  <si>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</si>
  <si>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</si>
  <si>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</si>
  <si>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</si>
  <si>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</si>
  <si>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</si>
  <si>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</si>
  <si>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</si>
  <si>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</si>
  <si>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</si>
  <si>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</si>
  <si>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</si>
  <si>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</si>
  <si>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</si>
  <si>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</si>
  <si>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</si>
  <si>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</si>
  <si>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</si>
  <si>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</si>
  <si>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</si>
  <si>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</si>
  <si>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</si>
  <si>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</si>
  <si>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</si>
  <si>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</si>
  <si>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</si>
  <si>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</si>
  <si>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</si>
  <si>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</si>
  <si>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</si>
  <si>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</si>
  <si>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</si>
  <si>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</si>
  <si>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</si>
  <si>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</si>
  <si>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</si>
  <si>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</si>
  <si>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</si>
  <si>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</si>
  <si>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</si>
  <si>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</si>
  <si>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</si>
  <si>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</si>
  <si>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</si>
  <si>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</si>
  <si>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</si>
  <si>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</si>
  <si>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</si>
  <si>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</si>
  <si>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</si>
  <si>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</si>
  <si>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</si>
  <si>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</si>
  <si>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</si>
  <si>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</si>
  <si>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</si>
  <si>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</si>
  <si>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</si>
  <si>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</si>
  <si>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</si>
  <si>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</si>
  <si>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</si>
  <si>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</si>
  <si>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</si>
  <si>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</si>
  <si>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</si>
  <si>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</si>
  <si>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</si>
  <si>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</si>
  <si>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</si>
  <si>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</si>
  <si>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</si>
  <si>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</si>
  <si>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</si>
  <si>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</si>
  <si>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</si>
  <si>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</si>
  <si>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</si>
  <si>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</si>
  <si>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</si>
  <si>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</si>
  <si>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</si>
  <si>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</si>
  <si>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</si>
  <si>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</si>
  <si>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</si>
  <si>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</si>
  <si>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</si>
  <si>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</si>
  <si>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</si>
  <si>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</si>
  <si>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</si>
  <si>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</si>
  <si>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</si>
  <si>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</si>
  <si>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</si>
  <si>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</si>
  <si>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</si>
  <si>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</si>
  <si>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</si>
  <si>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</si>
  <si>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</si>
  <si>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</si>
  <si>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</si>
  <si>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</si>
  <si>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</si>
  <si>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</si>
  <si>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</si>
  <si>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</si>
  <si>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</si>
  <si>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</si>
  <si>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</si>
  <si>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</si>
  <si>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</si>
  <si>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</si>
  <si>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</si>
  <si>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</si>
  <si>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</si>
  <si>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</si>
  <si>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</si>
  <si>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</si>
  <si>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</si>
  <si>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</si>
  <si>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</si>
  <si>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</si>
  <si>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</si>
  <si>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</si>
  <si>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</si>
  <si>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</si>
  <si>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</si>
  <si>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</si>
  <si>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</si>
  <si>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</si>
  <si>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</si>
  <si>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</si>
  <si>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</si>
  <si>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</si>
  <si>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</si>
  <si>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</si>
  <si>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</si>
  <si>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</si>
  <si>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</si>
  <si>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</si>
  <si>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</si>
  <si>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</si>
  <si>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</si>
  <si>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</si>
  <si>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</si>
  <si>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</si>
  <si>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</si>
  <si>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</si>
  <si>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</si>
  <si>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</si>
  <si>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</si>
  <si>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</si>
  <si>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</si>
  <si>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</si>
  <si>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</si>
  <si>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</si>
  <si>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</si>
  <si>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</si>
  <si>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</si>
  <si>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</si>
  <si>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</si>
  <si>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</si>
  <si>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</si>
  <si>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</si>
  <si>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</si>
  <si>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</si>
  <si>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</si>
  <si>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</si>
  <si>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</si>
  <si>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</si>
  <si>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</si>
  <si>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</si>
  <si>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</si>
  <si>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</si>
  <si>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</si>
  <si>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</si>
  <si>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</si>
  <si>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</si>
  <si>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</si>
  <si>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</si>
  <si>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</si>
  <si>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</si>
  <si>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</si>
  <si>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</si>
  <si>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</si>
  <si>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</si>
  <si>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</si>
  <si>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</si>
  <si>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</si>
  <si>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</si>
  <si>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</si>
  <si>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</si>
  <si>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</si>
  <si>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</si>
  <si>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</si>
  <si>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</si>
  <si>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</si>
  <si>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</si>
  <si>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</si>
  <si>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</si>
  <si>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</si>
  <si>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</si>
  <si>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</si>
  <si>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</si>
  <si>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</si>
  <si>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</si>
  <si>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</si>
  <si>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</si>
  <si>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</si>
  <si>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</si>
  <si>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</si>
  <si>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</si>
  <si>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</si>
  <si>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</si>
  <si>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</si>
  <si>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</si>
  <si>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</si>
  <si>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</si>
  <si>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</si>
  <si>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</si>
  <si>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</si>
  <si>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</si>
  <si>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</si>
  <si>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</si>
  <si>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</si>
  <si>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</si>
  <si>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</si>
  <si>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</si>
  <si>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</si>
  <si>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</si>
  <si>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</si>
  <si>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</si>
  <si>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</si>
  <si>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</si>
  <si>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</si>
  <si>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</si>
  <si>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</si>
  <si>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</si>
  <si>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</si>
  <si>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</si>
  <si>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</si>
  <si>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</si>
  <si>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</si>
  <si>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</si>
  <si>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</si>
  <si>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</si>
  <si>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</si>
  <si>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</si>
  <si>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</si>
  <si>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</si>
  <si>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</si>
  <si>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</si>
  <si>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</si>
  <si>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</si>
  <si>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</si>
  <si>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</si>
  <si>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</si>
  <si>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</si>
  <si>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</si>
  <si>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</si>
  <si>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</si>
  <si>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</si>
  <si>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</si>
  <si>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</si>
  <si>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</si>
  <si>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</si>
  <si>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</si>
  <si>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</si>
  <si>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</si>
  <si>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</si>
  <si>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</si>
  <si>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</si>
  <si>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</si>
  <si>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</si>
  <si>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</si>
  <si>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</si>
  <si>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</si>
  <si>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</si>
  <si>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</si>
  <si>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</si>
  <si>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</si>
  <si>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</si>
  <si>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</si>
  <si>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</si>
  <si>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</si>
  <si>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</si>
  <si>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</si>
  <si>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</si>
  <si>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</si>
  <si>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</si>
  <si>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</si>
  <si>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</si>
  <si>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</si>
  <si>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</si>
  <si>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</si>
  <si>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</si>
  <si>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</si>
  <si>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</si>
  <si>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</si>
  <si>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</si>
  <si>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</si>
  <si>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</si>
  <si>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</si>
  <si>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</si>
  <si>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</si>
  <si>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</si>
  <si>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</si>
  <si>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</si>
  <si>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</si>
  <si>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</si>
  <si>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</si>
  <si>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</si>
  <si>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</si>
  <si>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</si>
  <si>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</si>
  <si>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</si>
  <si>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</si>
  <si>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</si>
  <si>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</si>
  <si>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</si>
  <si>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</si>
  <si>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</si>
  <si>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</si>
  <si>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</si>
  <si>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</si>
  <si>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</si>
  <si>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</si>
  <si>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</si>
  <si>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</si>
  <si>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</si>
  <si>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</si>
  <si>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</si>
  <si>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</si>
  <si>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</si>
  <si>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</si>
  <si>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</si>
  <si>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</si>
  <si>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</si>
  <si>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</si>
  <si>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</si>
  <si>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</si>
  <si>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</si>
  <si>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</si>
  <si>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</si>
  <si>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</si>
  <si>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</si>
  <si>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</si>
  <si>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</si>
  <si>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</si>
  <si>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</si>
  <si>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</si>
  <si>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</si>
  <si>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</si>
  <si>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</si>
  <si>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</si>
  <si>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</si>
  <si>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</si>
  <si>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</si>
  <si>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</si>
  <si>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</si>
  <si>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</si>
  <si>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</si>
  <si>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</si>
  <si>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</si>
  <si>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</si>
  <si>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</si>
  <si>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</si>
  <si>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</si>
  <si>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</si>
  <si>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</si>
  <si>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</si>
  <si>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</si>
  <si>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</si>
  <si>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</si>
  <si>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</si>
  <si>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</si>
  <si>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</si>
  <si>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</si>
  <si>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</si>
  <si>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</si>
  <si>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</si>
  <si>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</si>
  <si>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</si>
  <si>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</si>
  <si>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</si>
  <si>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</si>
  <si>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</si>
  <si>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</si>
  <si>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</si>
  <si>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</si>
  <si>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</si>
  <si>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</si>
  <si>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</si>
  <si>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</si>
  <si>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</si>
  <si>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</si>
  <si>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</si>
  <si>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</si>
  <si>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</si>
  <si>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</si>
  <si>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</si>
  <si>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</si>
  <si>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</si>
  <si>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</si>
  <si>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</si>
  <si>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</si>
  <si>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</si>
  <si>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</si>
  <si>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</si>
  <si>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</si>
  <si>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</si>
  <si>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</si>
  <si>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</si>
  <si>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</si>
  <si>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</si>
  <si>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</si>
  <si>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</si>
  <si>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</si>
  <si>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</si>
  <si>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</si>
  <si>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</si>
  <si>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</si>
  <si>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</si>
  <si>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</si>
  <si>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</si>
  <si>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</si>
  <si>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</si>
  <si>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</si>
  <si>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</si>
  <si>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</si>
  <si>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</si>
  <si>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</si>
  <si>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</si>
  <si>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</si>
  <si>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</si>
  <si>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</si>
  <si>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</si>
  <si>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</si>
  <si>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</si>
  <si>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</si>
  <si>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</si>
  <si>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</si>
  <si>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</si>
  <si>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</si>
  <si>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</si>
  <si>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</si>
  <si>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</si>
  <si>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</si>
  <si>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</si>
  <si>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</si>
  <si>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</si>
  <si>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</si>
  <si>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</si>
  <si>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</si>
  <si>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</si>
  <si>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</si>
  <si>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</si>
  <si>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</si>
  <si>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</si>
  <si>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</si>
  <si>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</si>
  <si>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</si>
  <si>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</si>
  <si>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</si>
  <si>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</si>
  <si>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</si>
  <si>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</si>
  <si>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</si>
  <si>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</si>
  <si>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</si>
  <si>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</si>
  <si>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</si>
  <si>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</si>
  <si>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</si>
  <si>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</si>
  <si>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</si>
  <si>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</si>
  <si>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</si>
  <si>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</si>
  <si>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</si>
  <si>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</si>
  <si>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</si>
  <si>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</si>
  <si>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</si>
  <si>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</si>
  <si>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</si>
  <si>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</si>
  <si>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</si>
  <si>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</si>
  <si>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</si>
  <si>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</si>
  <si>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</si>
  <si>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</si>
  <si>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</si>
  <si>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</si>
  <si>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</si>
  <si>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</si>
  <si>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</si>
  <si>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</si>
  <si>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</si>
  <si>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</si>
  <si>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</si>
  <si>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</si>
  <si>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</si>
  <si>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</si>
  <si>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</si>
  <si>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</si>
  <si>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</si>
  <si>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</si>
  <si>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</si>
  <si>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</si>
  <si>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</si>
  <si>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</si>
  <si>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</si>
  <si>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</si>
  <si>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</si>
  <si>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</si>
  <si>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</si>
  <si>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</si>
  <si>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</si>
  <si>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</si>
  <si>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</si>
  <si>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</si>
  <si>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</si>
  <si>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</si>
  <si>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</si>
  <si>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</si>
  <si>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</si>
  <si>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</si>
  <si>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</si>
  <si>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</si>
  <si>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</si>
  <si>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</si>
  <si>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</si>
  <si>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</si>
  <si>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</si>
  <si>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</si>
  <si>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</si>
  <si>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</si>
  <si>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</si>
  <si>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</si>
  <si>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</si>
  <si>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</si>
  <si>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</si>
  <si>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</si>
  <si>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</si>
  <si>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</si>
  <si>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</si>
  <si>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</si>
  <si>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</si>
  <si>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</si>
  <si>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</si>
  <si>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</si>
  <si>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</si>
  <si>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</si>
  <si>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</si>
  <si>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</si>
  <si>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</si>
  <si>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</si>
  <si>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</si>
  <si>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</si>
  <si>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</si>
  <si>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</si>
  <si>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</si>
  <si>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</si>
  <si>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</si>
  <si>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</si>
  <si>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</si>
  <si>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</si>
  <si>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</si>
  <si>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</si>
  <si>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</si>
  <si>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</si>
  <si>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</si>
  <si>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</si>
  <si>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</si>
  <si>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</si>
  <si>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</si>
  <si>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</si>
  <si>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</si>
  <si>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</si>
  <si>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</si>
  <si>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</si>
  <si>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</si>
  <si>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</si>
  <si>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</si>
  <si>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</si>
  <si>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</si>
  <si>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</si>
  <si>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</si>
  <si>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</si>
  <si>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</si>
  <si>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</si>
  <si>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</si>
  <si>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</si>
  <si>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</si>
  <si>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</si>
  <si>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</si>
  <si>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</si>
  <si>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</si>
  <si>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</si>
  <si>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</si>
  <si>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</si>
  <si>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</si>
  <si>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</si>
  <si>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</si>
  <si>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</si>
  <si>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</si>
  <si>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</si>
  <si>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</si>
  <si>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</si>
  <si>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</si>
  <si>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</si>
  <si>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</si>
  <si>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</si>
  <si>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</si>
  <si>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</si>
  <si>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</si>
  <si>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</si>
  <si>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</si>
  <si>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</si>
  <si>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</si>
  <si>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</si>
  <si>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</si>
  <si>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</si>
  <si>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</si>
  <si>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</si>
  <si>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</si>
  <si>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</si>
  <si>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</si>
  <si>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</si>
  <si>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</si>
  <si>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</si>
  <si>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</si>
  <si>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</si>
  <si>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</si>
  <si>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</si>
  <si>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</si>
  <si>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</si>
  <si>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</si>
  <si>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</si>
  <si>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</si>
  <si>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</si>
  <si>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</si>
  <si>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</si>
  <si>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</si>
  <si>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</si>
  <si>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</si>
  <si>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</si>
  <si>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</si>
  <si>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</si>
  <si>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</si>
  <si>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</si>
  <si>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</si>
  <si>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</si>
  <si>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</si>
  <si>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</si>
  <si>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</si>
  <si>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</si>
  <si>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</si>
  <si>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</si>
  <si>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</si>
  <si>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</si>
  <si>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</si>
  <si>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</si>
  <si>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</si>
  <si>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</si>
  <si>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</si>
  <si>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</si>
  <si>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</si>
  <si>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</si>
  <si>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</si>
  <si>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</si>
  <si>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</si>
  <si>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</si>
  <si>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</si>
  <si>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</si>
  <si>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</si>
  <si>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</si>
  <si>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</si>
  <si>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</si>
  <si>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</si>
  <si>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</si>
  <si>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</si>
  <si>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</si>
  <si>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</si>
  <si>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</si>
  <si>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</si>
  <si>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</si>
  <si>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</si>
  <si>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</si>
  <si>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</si>
  <si>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</si>
  <si>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</si>
  <si>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</si>
  <si>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</si>
  <si>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</si>
  <si>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</si>
  <si>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</si>
  <si>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</si>
  <si>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</si>
  <si>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</si>
  <si>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</si>
  <si>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</si>
  <si>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</si>
  <si>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</si>
  <si>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</si>
  <si>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</si>
  <si>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</si>
  <si>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</si>
  <si>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</si>
  <si>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</si>
  <si>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</si>
  <si>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</si>
  <si>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</si>
  <si>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</si>
  <si>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</si>
  <si>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</si>
  <si>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</si>
  <si>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</si>
  <si>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</si>
  <si>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</si>
  <si>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</si>
  <si>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</si>
  <si>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</si>
  <si>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</si>
  <si>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</si>
  <si>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</si>
  <si>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</si>
  <si>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</si>
  <si>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</si>
  <si>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</si>
  <si>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</si>
  <si>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</si>
  <si>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</si>
  <si>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</si>
  <si>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</si>
  <si>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</si>
  <si>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</si>
  <si>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</si>
  <si>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</si>
  <si>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</si>
  <si>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</si>
  <si>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</si>
  <si>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</si>
  <si>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</si>
  <si>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</si>
  <si>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</si>
  <si>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</si>
  <si>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</si>
  <si>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</si>
  <si>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</si>
  <si>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</si>
  <si>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</si>
  <si>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</si>
  <si>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</si>
  <si>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</si>
  <si>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</si>
  <si>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</si>
  <si>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</si>
  <si>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</si>
  <si>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</si>
  <si>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</si>
  <si>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</si>
  <si>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</si>
  <si>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</si>
  <si>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</si>
  <si>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</si>
  <si>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</si>
  <si>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</si>
  <si>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</si>
  <si>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</si>
  <si>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</si>
  <si>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</si>
  <si>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</si>
  <si>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</si>
  <si>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</si>
  <si>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</si>
  <si>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</si>
  <si>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</si>
  <si>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</si>
  <si>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</si>
  <si>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</si>
  <si>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</si>
  <si>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</si>
  <si>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</si>
  <si>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</si>
  <si>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</si>
  <si>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</si>
  <si>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</si>
  <si>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</si>
  <si>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</si>
  <si>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</si>
  <si>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</si>
  <si>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</si>
  <si>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</si>
  <si>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</si>
  <si>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</si>
  <si>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</si>
  <si>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</si>
  <si>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</si>
  <si>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</si>
  <si>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</si>
  <si>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</si>
  <si>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</si>
  <si>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</si>
  <si>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</si>
  <si>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</si>
  <si>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</si>
  <si>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</si>
  <si>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</si>
  <si>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</si>
  <si>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</si>
  <si>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</si>
  <si>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</si>
  <si>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</si>
  <si>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</si>
  <si>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</si>
  <si>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</si>
  <si>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</si>
  <si>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</si>
  <si>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</si>
  <si>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</si>
  <si>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</si>
  <si>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</si>
  <si>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</si>
  <si>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</si>
  <si>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</si>
  <si>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</si>
  <si>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</si>
  <si>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</si>
  <si>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</si>
  <si>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</si>
  <si>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</si>
  <si>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</si>
  <si>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</si>
  <si>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</si>
  <si>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</si>
  <si>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</si>
  <si>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</si>
  <si>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</si>
  <si>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</si>
  <si>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</si>
  <si>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</si>
  <si>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</si>
  <si>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</si>
  <si>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</si>
  <si>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</si>
  <si>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</si>
  <si>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</si>
  <si>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</si>
  <si>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</si>
  <si>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</si>
  <si>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</si>
  <si>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</si>
  <si>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</si>
  <si>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</si>
  <si>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</si>
  <si>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</si>
  <si>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</si>
  <si>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</si>
  <si>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</si>
  <si>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</si>
  <si>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</si>
  <si>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</si>
  <si>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</si>
  <si>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</si>
  <si>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</si>
  <si>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</si>
  <si>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</si>
  <si>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</si>
  <si>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</si>
  <si>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</si>
  <si>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</si>
  <si>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</si>
  <si>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</si>
  <si>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</si>
  <si>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</si>
  <si>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</si>
  <si>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</si>
  <si>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</si>
  <si>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</si>
  <si>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</si>
  <si>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</si>
  <si>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</si>
  <si>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</si>
  <si>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</si>
  <si>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</si>
  <si>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</si>
  <si>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</si>
  <si>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</si>
  <si>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</si>
  <si>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</si>
  <si>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</si>
  <si>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</si>
  <si>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</si>
  <si>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</si>
  <si>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</si>
  <si>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</si>
  <si>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</si>
  <si>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</si>
  <si>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</si>
  <si>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</si>
  <si>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</si>
  <si>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</si>
  <si>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</si>
  <si>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</si>
  <si>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</si>
  <si>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</si>
  <si>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</si>
  <si>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</si>
  <si>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</si>
  <si>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</si>
  <si>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</si>
  <si>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</si>
  <si>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</si>
  <si>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</si>
  <si>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</si>
  <si>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</si>
  <si>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</si>
  <si>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</si>
  <si>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</si>
  <si>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</si>
  <si>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</si>
  <si>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</si>
  <si>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</si>
  <si>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</si>
  <si>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</si>
  <si>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</si>
  <si>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</si>
  <si>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</si>
  <si>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</si>
  <si>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</si>
  <si>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</si>
  <si>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</si>
  <si>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</si>
  <si>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</si>
  <si>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</si>
  <si>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</si>
  <si>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</si>
  <si>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</si>
  <si>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</si>
  <si>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</si>
  <si>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</si>
  <si>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</si>
  <si>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</si>
  <si>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</si>
  <si>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</si>
  <si>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</si>
  <si>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</si>
  <si>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</si>
  <si>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</si>
  <si>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</si>
  <si>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</si>
  <si>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</si>
  <si>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</si>
  <si>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</si>
  <si>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</si>
  <si>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</si>
  <si>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</si>
  <si>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</si>
  <si>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</si>
  <si>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</si>
  <si>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</si>
  <si>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</si>
  <si>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</si>
  <si>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</si>
  <si>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</si>
  <si>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</si>
  <si>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</si>
  <si>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</si>
  <si>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</si>
  <si>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</si>
  <si>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</si>
  <si>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</si>
  <si>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</si>
  <si>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</si>
  <si>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</si>
  <si>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</si>
  <si>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</si>
  <si>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</si>
  <si>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</si>
  <si>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</si>
  <si>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</si>
  <si>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</si>
  <si>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</si>
  <si>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</si>
  <si>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</si>
  <si>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</si>
  <si>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</si>
  <si>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</si>
  <si>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</si>
  <si>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</si>
  <si>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</si>
  <si>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</si>
  <si>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</si>
  <si>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</si>
  <si>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</si>
  <si>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</si>
  <si>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</si>
  <si>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</si>
  <si>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</si>
  <si>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</si>
  <si>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</si>
  <si>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</si>
  <si>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</si>
  <si>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</si>
  <si>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</si>
  <si>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</si>
  <si>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</si>
  <si>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</si>
  <si>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</si>
  <si>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</si>
  <si>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</si>
  <si>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</si>
  <si>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</si>
  <si>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</si>
  <si>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</si>
  <si>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</si>
  <si>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</si>
  <si>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</si>
  <si>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</si>
  <si>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</si>
  <si>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</si>
  <si>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</si>
  <si>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</si>
  <si>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</si>
  <si>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</si>
  <si>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</si>
  <si>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</si>
  <si>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</si>
  <si>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</si>
  <si>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</si>
  <si>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</si>
  <si>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</si>
  <si>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</si>
  <si>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</si>
  <si>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</si>
  <si>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</si>
  <si>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</si>
  <si>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</si>
  <si>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</si>
  <si>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</si>
  <si>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</si>
  <si>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</si>
  <si>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</si>
  <si>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</si>
  <si>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</si>
  <si>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</si>
  <si>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</si>
  <si>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</si>
  <si>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</si>
  <si>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</si>
  <si>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</si>
  <si>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</si>
  <si>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</si>
  <si>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</si>
  <si>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</si>
  <si>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</si>
  <si>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</si>
  <si>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</si>
  <si>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</si>
  <si>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</si>
  <si>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</si>
  <si>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</si>
  <si>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</si>
  <si>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</si>
  <si>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</si>
  <si>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</si>
  <si>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</si>
  <si>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</si>
  <si>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</si>
  <si>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</si>
  <si>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</si>
  <si>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</si>
  <si>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</si>
  <si>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</si>
  <si>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</si>
  <si>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</si>
  <si>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</si>
  <si>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</si>
  <si>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</si>
  <si>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</si>
  <si>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</si>
  <si>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</si>
  <si>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</si>
  <si>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</si>
  <si>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</si>
  <si>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</si>
  <si>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</si>
  <si>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</si>
  <si>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</si>
  <si>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</si>
  <si>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</si>
  <si>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</si>
  <si>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</si>
  <si>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</si>
  <si>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</si>
  <si>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</si>
  <si>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</si>
  <si>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</si>
  <si>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</si>
  <si>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</si>
  <si>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</si>
  <si>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</si>
  <si>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</si>
  <si>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</si>
  <si>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</si>
  <si>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</si>
  <si>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</si>
  <si>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</si>
  <si>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</si>
  <si>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</si>
  <si>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</si>
  <si>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</si>
  <si>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</si>
  <si>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</si>
  <si>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</si>
  <si>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</si>
  <si>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</si>
  <si>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</si>
  <si>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</si>
  <si>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</si>
  <si>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</si>
  <si>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</si>
  <si>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</si>
  <si>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</si>
  <si>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</si>
  <si>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</si>
  <si>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</si>
  <si>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</si>
  <si>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</si>
  <si>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</si>
  <si>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</si>
  <si>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</si>
  <si>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</si>
  <si>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</si>
  <si>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</si>
  <si>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</si>
  <si>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</si>
  <si>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</si>
  <si>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</si>
  <si>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</si>
  <si>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</si>
  <si>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</si>
  <si>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</si>
  <si>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</si>
  <si>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</si>
  <si>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</si>
  <si>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</si>
  <si>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</si>
  <si>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</si>
  <si>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</si>
  <si>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</si>
  <si>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</si>
  <si>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</si>
  <si>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</si>
  <si>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</si>
  <si>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</si>
  <si>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</si>
  <si>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</si>
  <si>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</si>
  <si>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</si>
  <si>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</si>
  <si>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</si>
  <si>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</si>
  <si>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</si>
  <si>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</si>
  <si>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</si>
  <si>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</si>
  <si>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</si>
  <si>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</si>
  <si>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</si>
  <si>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</si>
  <si>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</si>
  <si>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</si>
  <si>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</si>
  <si>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</si>
  <si>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</si>
  <si>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</si>
  <si>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</si>
  <si>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</si>
  <si>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</si>
  <si>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</si>
  <si>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</si>
  <si>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</si>
  <si>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</si>
  <si>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</si>
  <si>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</si>
  <si>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</si>
  <si>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</si>
  <si>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</si>
  <si>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</si>
  <si>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</si>
  <si>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</si>
  <si>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</si>
  <si>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</si>
  <si>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</si>
  <si>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</si>
  <si>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</si>
  <si>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</si>
  <si>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</si>
  <si>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</si>
  <si>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</si>
  <si>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</si>
  <si>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</si>
  <si>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</si>
  <si>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</si>
  <si>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</si>
  <si>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</si>
  <si>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</si>
  <si>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</si>
  <si>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</si>
  <si>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</si>
  <si>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</si>
  <si>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</si>
  <si>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</si>
  <si>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</si>
  <si>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</si>
  <si>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</si>
  <si>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</si>
  <si>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</si>
  <si>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</si>
  <si>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</si>
  <si>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</si>
  <si>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</si>
  <si>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</si>
  <si>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</si>
  <si>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</si>
  <si>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</si>
  <si>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</si>
  <si>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</si>
  <si>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</si>
  <si>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</si>
  <si>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</si>
  <si>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</si>
  <si>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</si>
  <si>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</si>
  <si>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</si>
  <si>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</si>
  <si>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</si>
  <si>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</si>
  <si>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</si>
  <si>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</si>
  <si>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</si>
  <si>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</si>
  <si>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</si>
  <si>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</si>
  <si>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</si>
  <si>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</si>
  <si>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</si>
  <si>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</si>
  <si>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</si>
  <si>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</si>
  <si>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</si>
  <si>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</si>
  <si>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</si>
  <si>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</si>
  <si>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</si>
  <si>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</si>
  <si>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</si>
  <si>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</si>
  <si>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</si>
  <si>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</si>
  <si>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</si>
  <si>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</si>
  <si>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</si>
  <si>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</si>
  <si>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</si>
  <si>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</si>
  <si>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</si>
  <si>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</si>
  <si>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</si>
  <si>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</si>
  <si>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</si>
  <si>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</si>
  <si>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</si>
  <si>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</si>
  <si>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</si>
  <si>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</si>
  <si>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</si>
  <si>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</si>
  <si>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</si>
  <si>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</si>
  <si>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</si>
  <si>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</si>
  <si>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</si>
  <si>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</si>
  <si>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</si>
  <si>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</si>
  <si>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</si>
  <si>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</si>
  <si>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</si>
  <si>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</si>
  <si>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</si>
  <si>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</si>
  <si>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</si>
  <si>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</si>
  <si>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</si>
  <si>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</si>
  <si>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</si>
  <si>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</si>
  <si>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</si>
  <si>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</si>
  <si>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</si>
  <si>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</si>
  <si>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</si>
  <si>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</si>
  <si>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</si>
  <si>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</si>
  <si>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</si>
  <si>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</si>
  <si>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</si>
  <si>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</si>
  <si>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</si>
  <si>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</si>
  <si>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</si>
  <si>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</si>
  <si>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</si>
  <si>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</si>
  <si>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</si>
  <si>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</si>
  <si>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</si>
  <si>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</si>
  <si>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</si>
  <si>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</si>
  <si>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</si>
  <si>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</si>
  <si>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</si>
  <si>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</si>
  <si>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</si>
  <si>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</si>
  <si>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</si>
  <si>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</si>
  <si>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</si>
  <si>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</si>
  <si>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</si>
  <si>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</si>
  <si>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</si>
  <si>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</si>
  <si>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</si>
  <si>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</si>
  <si>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</si>
  <si>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</si>
  <si>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</si>
  <si>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</si>
  <si>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</si>
  <si>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</si>
  <si>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</si>
  <si>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</si>
  <si>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</si>
  <si>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</si>
  <si>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</si>
  <si>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</si>
  <si>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</si>
  <si>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</si>
  <si>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</si>
  <si>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</si>
  <si>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</si>
  <si>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</si>
  <si>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</si>
  <si>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</si>
  <si>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</si>
  <si>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</si>
  <si>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</si>
  <si>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</si>
  <si>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</si>
  <si>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</si>
  <si>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</si>
  <si>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</si>
  <si>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</si>
  <si>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</si>
  <si>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</si>
  <si>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</si>
  <si>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</si>
  <si>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</si>
  <si>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</si>
  <si>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</si>
  <si>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</si>
  <si>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</si>
  <si>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</si>
  <si>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</si>
  <si>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</si>
  <si>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</si>
  <si>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</si>
  <si>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</si>
  <si>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</si>
  <si>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</si>
  <si>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</si>
  <si>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</si>
  <si>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</si>
  <si>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</si>
  <si>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</si>
  <si>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</si>
  <si>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</si>
  <si>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</si>
  <si>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</si>
  <si>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</si>
  <si>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</si>
  <si>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</si>
  <si>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</si>
  <si>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</si>
  <si>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</si>
  <si>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</si>
  <si>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</si>
  <si>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</si>
  <si>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</si>
  <si>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</si>
  <si>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</si>
  <si>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</si>
  <si>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</si>
  <si>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</si>
  <si>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</si>
  <si>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</si>
  <si>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</si>
  <si>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</si>
  <si>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</si>
  <si>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</si>
  <si>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</si>
  <si>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</si>
  <si>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</si>
  <si>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</si>
  <si>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</si>
  <si>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</si>
  <si>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</si>
  <si>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</si>
  <si>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</si>
  <si>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</si>
  <si>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</si>
  <si>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</si>
  <si>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</si>
  <si>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</si>
  <si>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</si>
  <si>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</si>
  <si>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</si>
  <si>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</si>
  <si>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</si>
  <si>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</si>
  <si>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</si>
  <si>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</si>
  <si>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</si>
  <si>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</si>
  <si>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</si>
  <si>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</si>
  <si>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</si>
  <si>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</si>
  <si>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</si>
  <si>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</si>
  <si>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</si>
  <si>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</si>
  <si>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</si>
  <si>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</si>
  <si>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</si>
  <si>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</si>
  <si>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</si>
  <si>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</si>
  <si>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</si>
  <si>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</si>
  <si>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</si>
  <si>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</si>
  <si>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</si>
  <si>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</si>
  <si>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</si>
  <si>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</si>
  <si>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</si>
  <si>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</si>
  <si>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</si>
  <si>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</si>
  <si>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</si>
  <si>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</si>
  <si>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</si>
  <si>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</si>
  <si>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</si>
  <si>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</si>
  <si>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</si>
  <si>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</si>
  <si>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</si>
  <si>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</si>
  <si>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</si>
  <si>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</si>
  <si>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</si>
  <si>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</si>
  <si>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</si>
  <si>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</si>
  <si>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</si>
  <si>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</si>
  <si>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</si>
  <si>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</si>
  <si>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</si>
  <si>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</si>
  <si>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</si>
  <si>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</si>
  <si>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</si>
  <si>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</si>
  <si>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</si>
  <si>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</si>
  <si>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</si>
  <si>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</si>
  <si>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</si>
  <si>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</si>
  <si>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</si>
  <si>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</si>
  <si>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</si>
  <si>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</si>
  <si>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</si>
  <si>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</si>
  <si>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</si>
  <si>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</si>
  <si>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</si>
  <si>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</si>
  <si>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</si>
  <si>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</si>
  <si>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</si>
  <si>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</si>
  <si>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</si>
  <si>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</si>
  <si>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</si>
  <si>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</si>
  <si>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</si>
  <si>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</si>
  <si>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</si>
  <si>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</si>
  <si>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</si>
  <si>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</si>
  <si>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</si>
  <si>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</si>
  <si>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</si>
  <si>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</si>
  <si>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</si>
  <si>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</si>
  <si>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</si>
  <si>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</si>
  <si>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</si>
  <si>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</si>
  <si>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</si>
  <si>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</si>
  <si>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</si>
  <si>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</si>
  <si>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</si>
  <si>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</si>
  <si>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</si>
  <si>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</si>
  <si>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</si>
  <si>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</si>
  <si>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</si>
  <si>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</si>
  <si>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</si>
  <si>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</si>
  <si>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</si>
  <si>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</si>
  <si>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</si>
  <si>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</si>
  <si>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</si>
  <si>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</si>
  <si>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</si>
  <si>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</si>
  <si>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</si>
  <si>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</si>
  <si>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</si>
  <si>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</si>
  <si>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</si>
  <si>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</si>
  <si>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</si>
  <si>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</si>
  <si>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</si>
  <si>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</si>
  <si>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</si>
  <si>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</si>
  <si>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</si>
  <si>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</si>
  <si>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</si>
  <si>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</si>
  <si>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</si>
  <si>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</si>
  <si>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</si>
  <si>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</si>
  <si>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</si>
  <si>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</si>
  <si>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</si>
  <si>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</si>
  <si>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</si>
  <si>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</si>
  <si>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</si>
  <si>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</si>
  <si>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</si>
  <si>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</si>
  <si>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</si>
  <si>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</si>
  <si>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</si>
  <si>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</si>
  <si>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</si>
  <si>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</si>
  <si>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</si>
  <si>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</si>
  <si>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</si>
  <si>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</si>
  <si>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</si>
  <si>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</si>
  <si>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房地产市场价值</t>
  </si>
  <si>
    <t>北京市</t>
  </si>
  <si>
    <t>企业</t>
  </si>
  <si>
    <t>自定义容积率</t>
  </si>
  <si>
    <t>500-1000米</t>
  </si>
  <si>
    <t>无</t>
  </si>
  <si>
    <t>与级别开发程度一致</t>
  </si>
  <si>
    <t>成新度</t>
  </si>
  <si>
    <t>收益法</t>
  </si>
  <si>
    <t>地上</t>
  </si>
  <si>
    <t>是</t>
  </si>
  <si>
    <t>住宅</t>
    <phoneticPr fontId="7" type="noConversion"/>
  </si>
  <si>
    <t>较好</t>
  </si>
  <si>
    <t>好</t>
  </si>
  <si>
    <t>未包含在土地购买价格中</t>
  </si>
  <si>
    <t>全部缴纳</t>
  </si>
  <si>
    <t>已包含在土地取得成本中</t>
  </si>
  <si>
    <t>押一</t>
  </si>
  <si>
    <t>钢混</t>
  </si>
  <si>
    <t>非生产用房</t>
  </si>
  <si>
    <t>否</t>
  </si>
  <si>
    <t>https://bj.lianjia.com/zufang/c1120067506212909/?sug=%E4%BA%9A%E6%9E%97%E8%A5%BF%E5%B1%85%E4%BD%8F%E5%8C%BA8%E5%8F%B7%E9%99%A2</t>
    <phoneticPr fontId="134" type="noConversion"/>
  </si>
  <si>
    <t>小区</t>
    <phoneticPr fontId="134" type="noConversion"/>
  </si>
  <si>
    <t>亚林西居住区8号院</t>
    <phoneticPr fontId="134" type="noConversion"/>
  </si>
  <si>
    <t>建筑面积</t>
    <phoneticPr fontId="134" type="noConversion"/>
  </si>
  <si>
    <t>租金</t>
    <phoneticPr fontId="134" type="noConversion"/>
  </si>
  <si>
    <t>亚林西居住区9号院</t>
    <phoneticPr fontId="134" type="noConversion"/>
  </si>
  <si>
    <t>昆仑域</t>
    <phoneticPr fontId="134" type="noConversion"/>
  </si>
  <si>
    <t>租金单价</t>
    <phoneticPr fontId="134" type="noConversion"/>
  </si>
  <si>
    <t>中国玺</t>
    <phoneticPr fontId="134" type="noConversion"/>
  </si>
  <si>
    <t>佑安府</t>
    <phoneticPr fontId="134" type="noConversion"/>
  </si>
  <si>
    <t>现房</t>
  </si>
  <si>
    <t>项目局部</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</si>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</sst>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272" fillId="0" borderId="0" xfId="19">
      <alignment vertical="center"/>
    </xf>
    <xf numFmtId="0" fontId="95" fillId="0" borderId="0" xfId="0" applyFont="1" applyAlignment="1">
      <alignment horizontal="center" vertical="center"/>
    </xf>
    <xf numFmtId="0" fontId="0" fillId="0" borderId="0" xfId="0" applyAlignment="1">
      <alignment horizontal="center" vertical="center"/>
    </xf>
    <xf numFmtId="177" fontId="53" fillId="22" borderId="1" xfId="1" applyNumberFormat="1" applyFont="1" applyFill="1" applyBorder="1" applyAlignment="1" applyProtection="1">
      <alignment horizontal="center" vertical="center"/>
    </xf>
    <xf numFmtId="9" fontId="47" fillId="23" borderId="5" xfId="0" applyNumberFormat="1" applyFont="1" applyFill="1" applyBorder="1" applyAlignment="1" applyProtection="1">
      <alignment horizontal="center" vertical="center"/>
      <protection locked="0"/>
    </xf>
    <xf numFmtId="181" fontId="44" fillId="23" borderId="1" xfId="0" applyNumberFormat="1" applyFont="1" applyFill="1" applyBorder="1" applyAlignment="1" applyProtection="1">
      <alignment vertical="center"/>
      <protection locked="0"/>
    </xf>
    <xf numFmtId="181" fontId="99" fillId="23"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hyperlink" Target="https://bj.lianjia.com/zufang/c1120067506212909/?sug=%E4%BA%9A%E6%9E%97%E8%A5%BF%E5%B1%85%E4%BD%8F%E5%8C%BA8%E5%8F%B7%E9%99%A2" TargetMode="Externa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估价对象为北京市房地产，为所有。根据《国有土地使用证》[]，估价对象（分摊）出让国有建设用地使用权面积为19949.16平方米，建筑面积为46810平方米。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估价对象为北京市房地产,属开发建设的，该项目尚在开发建设中。根据《国有土地使用证》[]，估价对象（分摊）出让国有建设用地使用权面积为19949.16平方米，规划建筑面积为46810平方米。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2025年7月21日（评估专业人员实地查勘之日）</v>
      </c>
    </row>
    <row r="13" spans="1:2" s="1203" customFormat="1">
      <c r="A13" s="1201" t="s">
        <v>529</v>
      </c>
      <c r="B13" s="1202"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46810</v>
      </c>
    </row>
    <row r="44" spans="1:2" s="1203" customFormat="1" ht="31.2">
      <c r="A44" s="1201" t="s">
        <v>575</v>
      </c>
      <c r="B44" s="1202" t="str">
        <f>'预评函-3'!C2</f>
        <v>(分摊)土地面积</v>
      </c>
    </row>
    <row r="45" spans="1:2" s="1203" customFormat="1">
      <c r="A45" s="1201" t="s">
        <v>547</v>
      </c>
      <c r="B45" s="1202">
        <f>'预评函-3'!C4</f>
        <v>19949.16</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2" sqref="F52"/>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6" t="s">
        <v>2580</v>
      </c>
      <c r="J2" s="3526"/>
      <c r="K2" s="3526"/>
      <c r="L2" s="3526"/>
      <c r="M2" s="3526"/>
      <c r="N2" s="3526"/>
      <c r="O2" s="3526"/>
      <c r="P2" s="3526"/>
      <c r="Q2" s="3526"/>
      <c r="R2" s="3526"/>
    </row>
    <row r="3" spans="1:18">
      <c r="A3" s="3020" t="s">
        <v>2501</v>
      </c>
      <c r="B3" s="3021">
        <f>项目基本情况!D3</f>
        <v>45859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1.41</v>
      </c>
      <c r="D5" s="3025">
        <f>IF(ISERROR(ROUND(POWER(1+E5,A5-C5)*(POWER(1+E5,C5)-1)/(POWER(1+E5,A5)-1),3)),0,ROUND(POWER(1+E5,A5-C5)*(POWER(1+E5,C5)-1)/(POWER(1+E5,A5)-1),4))</f>
        <v>6.8000000000000005E-2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11.42</v>
      </c>
      <c r="D6" s="3025">
        <f>IF(ISERROR(ROUND(POWER(1+E6,A6-C6)*(POWER(1+E6,C6)-1)/(POWER(1+E6,A6)-1),3)),0,ROUND(POWER(1+E6,A6-C6)*(POWER(1+E6,C6)-1)/(POWER(1+E6,A6)-1),4))</f>
        <v>0.42020000000000002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31.43</v>
      </c>
      <c r="D7" s="3025">
        <f>IF(ISERROR(ROUND(POWER(1+E7,A7-C7)*(POWER(1+E7,C7)-1)/(POWER(1+E7,A7)-1),3)),0,ROUND(POWER(1+E7,A7-C7)*(POWER(1+E7,C7)-1)/(POWER(1+E7,A7)-1),4))</f>
        <v>0.7571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21" sqref="D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5" t="str">
        <f>IF(B10="北京市","北京市",C10)&amp;F10&amp;IF(结果表!G1="在建","出让国有建设用地使用权及在建建筑物",IF(结果表!G1="土地","出让国有建设用地使用权",))&amp;B9&amp;"预评估"</f>
        <v>北京市房地产市场价值预评估</v>
      </c>
      <c r="C1" s="3536"/>
      <c r="D1" s="3536"/>
      <c r="E1" s="3536"/>
      <c r="F1" s="3536"/>
      <c r="G1" s="3536"/>
      <c r="H1" s="3536"/>
      <c r="I1" s="353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45859</v>
      </c>
      <c r="C3" s="2374" t="s">
        <v>2171</v>
      </c>
      <c r="D3" s="2373">
        <f>B3</f>
        <v>45859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8" t="s">
        <v>2177</v>
      </c>
      <c r="E8" s="2391"/>
      <c r="F8" s="2392"/>
      <c r="G8" s="2663"/>
      <c r="H8" s="2663"/>
      <c r="I8" s="2663"/>
      <c r="J8" s="2439"/>
      <c r="K8" s="2614"/>
      <c r="L8" s="2613"/>
      <c r="M8" s="2613"/>
      <c r="N8" s="2439"/>
      <c r="O8" s="2450"/>
      <c r="P8" s="2439"/>
      <c r="Q8" s="2439"/>
      <c r="R8" s="2439"/>
    </row>
    <row r="9" spans="1:30" ht="13.8" thickBot="1">
      <c r="A9" s="2393" t="s">
        <v>2178</v>
      </c>
      <c r="B9" s="2394" t="s">
        <v>3419</v>
      </c>
      <c r="C9" s="2395"/>
      <c r="D9" s="3539"/>
      <c r="E9" s="2394"/>
      <c r="F9" s="2396"/>
      <c r="G9" s="2665"/>
      <c r="H9" s="2665"/>
      <c r="I9" s="2665"/>
      <c r="J9" s="2439"/>
      <c r="K9" s="2616"/>
      <c r="L9" s="2613"/>
      <c r="M9" s="2613"/>
      <c r="N9" s="2439"/>
      <c r="O9" s="2450"/>
      <c r="P9" s="2439"/>
      <c r="Q9" s="2439"/>
      <c r="R9" s="2439"/>
    </row>
    <row r="10" spans="1:30" ht="13.8" thickTop="1">
      <c r="A10" s="2397" t="s">
        <v>2179</v>
      </c>
      <c r="B10" s="2398" t="s">
        <v>3420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71425</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5"/>
      <c r="C16" s="3546"/>
      <c r="D16" s="3547"/>
      <c r="E16" s="2413" t="s">
        <v>2194</v>
      </c>
      <c r="F16" s="3548"/>
      <c r="G16" s="3549"/>
      <c r="H16" s="3549"/>
      <c r="I16" s="3550"/>
      <c r="J16" s="2439"/>
      <c r="K16" s="2617"/>
      <c r="L16" s="2451"/>
      <c r="M16" s="2451"/>
      <c r="N16" s="2509"/>
      <c r="O16" s="2451"/>
      <c r="P16" s="2509"/>
      <c r="Q16" s="2439"/>
      <c r="R16" s="2439"/>
    </row>
    <row r="17" spans="1:28">
      <c r="A17" s="313" t="s">
        <v>2195</v>
      </c>
      <c r="B17" s="302" t="s">
        <v>2196</v>
      </c>
      <c r="C17" s="8">
        <f>'数据-汇总表'!E3</f>
        <v>46810</v>
      </c>
      <c r="D17" s="2322" t="s">
        <v>2197</v>
      </c>
      <c r="E17" s="3551" t="s">
        <v>2198</v>
      </c>
      <c r="F17" s="3552"/>
      <c r="G17" s="3552"/>
      <c r="H17" s="3552"/>
      <c r="I17" s="355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19949.16</v>
      </c>
      <c r="D18" s="1092" t="s">
        <v>2201</v>
      </c>
      <c r="E18" s="3554" t="s">
        <v>2202</v>
      </c>
      <c r="F18" s="3555"/>
      <c r="G18" s="3555"/>
      <c r="H18" s="3555"/>
      <c r="I18" s="355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1" t="s">
        <v>2206</v>
      </c>
      <c r="C20" s="3542"/>
      <c r="D20" s="3543" t="s">
        <v>2207</v>
      </c>
      <c r="E20" s="3544"/>
      <c r="F20" s="2647" t="s">
        <v>1056</v>
      </c>
      <c r="G20" s="2664"/>
      <c r="H20" s="2664"/>
      <c r="I20" s="2664"/>
      <c r="J20" s="2439"/>
      <c r="K20" s="354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2218</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7" t="s">
        <v>2228</v>
      </c>
      <c r="T34" s="2428" t="str">
        <f>NUMBERSTRING(7-K34,1)&amp;"通"</f>
        <v>七通</v>
      </c>
      <c r="U34" s="2439"/>
      <c r="V34" s="2439"/>
    </row>
    <row r="35" spans="1:30">
      <c r="A35" s="2429"/>
      <c r="B35" s="3534" t="s">
        <v>2229</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202</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29" sqref="E2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19949.16</v>
      </c>
      <c r="B3" s="11">
        <f>IF(C3="否",G5-AT5,G5)</f>
        <v>46810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46810</v>
      </c>
      <c r="H5" s="13">
        <f t="shared" ref="H5:AT5" si="0">SUM(H13:H656)</f>
        <v>46810</v>
      </c>
      <c r="I5" s="13">
        <f t="shared" si="0"/>
        <v>46810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46810</v>
      </c>
      <c r="BA5" s="15">
        <f t="shared" si="1"/>
        <v>46810</v>
      </c>
      <c r="BB5" s="15">
        <f t="shared" si="1"/>
        <v>46810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19949.16</v>
      </c>
      <c r="F6" s="13" t="s">
        <v>0</v>
      </c>
      <c r="G6" s="13" t="s">
        <v>1</v>
      </c>
      <c r="H6" s="17">
        <f>SUMIF(I$12:AB$12,"总值",I6:AB6)</f>
        <v>19949.16</v>
      </c>
      <c r="I6" s="13">
        <f t="shared" ref="I6:AB6" si="2">ROUND($A$3*I5/$B$3,2)</f>
        <v>19949.16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19949.16</v>
      </c>
      <c r="AZ6" s="13" t="s">
        <v>2</v>
      </c>
      <c r="BA6" s="13">
        <f>ROUND($AY$6*BA5/$AZ$5,2)</f>
        <v>19949.16</v>
      </c>
      <c r="BB6" s="13">
        <f>ROUND($AY$6*BB5/$AZ$5,2)</f>
        <v>19949.16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3429</v>
      </c>
      <c r="E13" s="13">
        <f>IF($C$3="是",ROUND($A$3*G13/$B$3,2),ROUND($A$3*(G13-AT13)/$B$3,2))</f>
        <v>19949.16</v>
      </c>
      <c r="F13" s="29"/>
      <c r="G13" s="30">
        <f>H13+AC13+AT13</f>
        <v>46810</v>
      </c>
      <c r="H13" s="17">
        <f>SUMIF(I$12:AB$12,"总值",I13:AB13)</f>
        <v>46810</v>
      </c>
      <c r="I13" s="1626">
        <v>46810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19949.16</v>
      </c>
      <c r="AZ13" s="13">
        <f>BA13+BL13</f>
        <v>46810</v>
      </c>
      <c r="BA13" s="13">
        <f>SUM(BB13:BK13)</f>
        <v>46810</v>
      </c>
      <c r="BB13" s="13">
        <f>IF($D13="是",I13-J13,0)</f>
        <v>46810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6" t="s">
        <v>1131</v>
      </c>
      <c r="B2" s="3566"/>
      <c r="C2" s="3566"/>
      <c r="D2" s="796" t="s">
        <v>1107</v>
      </c>
      <c r="E2" s="1639" t="s">
        <v>1108</v>
      </c>
      <c r="F2" s="2659"/>
      <c r="G2" s="2650"/>
      <c r="H2" s="2651"/>
      <c r="I2" s="2325" t="s">
        <v>1132</v>
      </c>
      <c r="J2" s="2659"/>
      <c r="K2" s="2659"/>
      <c r="L2" s="2659"/>
      <c r="M2" s="2659"/>
      <c r="N2" s="2661"/>
      <c r="O2" s="2659"/>
      <c r="P2" s="2659"/>
    </row>
    <row r="3" spans="1:16" ht="15" thickBot="1">
      <c r="A3" s="3567" t="s">
        <v>1105</v>
      </c>
      <c r="B3" s="3567"/>
      <c r="C3" s="3567"/>
      <c r="D3" s="43">
        <f>'数据-基础表'!AY6</f>
        <v>19949.16</v>
      </c>
      <c r="E3" s="43">
        <f>'数据-基础表'!AZ5</f>
        <v>46810</v>
      </c>
      <c r="F3" s="2659"/>
      <c r="G3" s="1145"/>
      <c r="H3" s="1026" t="s">
        <v>1106</v>
      </c>
      <c r="I3" s="855">
        <f>ROUND('数据-基础表'!B3/'数据-基础表'!A3,2)</f>
        <v>2.35</v>
      </c>
      <c r="J3" s="2659"/>
      <c r="K3" s="2659"/>
      <c r="L3" s="2659"/>
      <c r="M3" s="2659"/>
      <c r="N3" s="2661"/>
      <c r="O3" s="2659"/>
      <c r="P3" s="2659"/>
    </row>
    <row r="4" spans="1:16" ht="14.4">
      <c r="A4" s="3568"/>
      <c r="B4" s="3569"/>
      <c r="C4" s="3570"/>
      <c r="D4" s="1641" t="s">
        <v>1107</v>
      </c>
      <c r="E4" s="1642" t="s">
        <v>1108</v>
      </c>
      <c r="F4" s="2659"/>
      <c r="G4" s="2652" t="s">
        <v>1133</v>
      </c>
      <c r="H4" s="1026" t="s">
        <v>1113</v>
      </c>
      <c r="I4" s="855">
        <f>ROUND(SUMIF('数据-基础表'!I9:AS9,"地上",'数据-基础表'!I5:AS5)/'数据-基础表'!A3,2)</f>
        <v>2.35</v>
      </c>
      <c r="J4" s="2659"/>
      <c r="K4" s="2659"/>
      <c r="L4" s="2659"/>
      <c r="M4" s="2659"/>
      <c r="N4" s="2661"/>
      <c r="O4" s="2659"/>
      <c r="P4" s="2659"/>
    </row>
    <row r="5" spans="1:16" ht="14.4">
      <c r="A5" s="44" t="s">
        <v>1109</v>
      </c>
      <c r="B5" s="3571" t="s">
        <v>1110</v>
      </c>
      <c r="C5" s="3571"/>
      <c r="D5" s="45">
        <f>ROUND($D$3*E5/$E$3,2)</f>
        <v>19949.16</v>
      </c>
      <c r="E5" s="46">
        <f>SUMIF('数据-基础表'!$11:$11,"住宅",'数据-基础表'!$5:$5)</f>
        <v>46810</v>
      </c>
      <c r="F5" s="2659"/>
      <c r="G5" s="1145"/>
      <c r="H5" s="1026" t="s">
        <v>1106</v>
      </c>
      <c r="I5" s="855">
        <f>ROUND(E31/D31,2)</f>
        <v>2.35</v>
      </c>
      <c r="J5" s="2659"/>
      <c r="K5" s="2659"/>
      <c r="L5" s="2659"/>
      <c r="M5" s="2659"/>
      <c r="N5" s="2659"/>
      <c r="O5" s="2659"/>
      <c r="P5" s="2659"/>
    </row>
    <row r="6" spans="1:16" ht="15" thickBot="1">
      <c r="A6" s="1644"/>
      <c r="B6" s="3571" t="s">
        <v>1111</v>
      </c>
      <c r="C6" s="3571"/>
      <c r="D6" s="45">
        <f>ROUND($D$3*E6/$E$3,2)</f>
        <v>0</v>
      </c>
      <c r="E6" s="46">
        <f>E3-E5</f>
        <v>0</v>
      </c>
      <c r="F6" s="2659"/>
      <c r="G6" s="2653" t="s">
        <v>1112</v>
      </c>
      <c r="H6" s="1146" t="s">
        <v>1113</v>
      </c>
      <c r="I6" s="2654">
        <f>ROUND(F31/D31,2)</f>
        <v>2.35</v>
      </c>
      <c r="J6" s="2659"/>
      <c r="K6" s="2659"/>
      <c r="L6" s="2659"/>
      <c r="M6" s="2659"/>
      <c r="N6" s="2659"/>
      <c r="O6" s="2659"/>
      <c r="P6" s="2659"/>
    </row>
    <row r="7" spans="1:16" ht="15" thickBot="1">
      <c r="A7" s="3563"/>
      <c r="B7" s="3564"/>
      <c r="C7" s="3565"/>
      <c r="D7" s="1641" t="s">
        <v>1107</v>
      </c>
      <c r="E7" s="1645" t="s">
        <v>1114</v>
      </c>
      <c r="F7" s="2659"/>
      <c r="G7" s="2655" t="s">
        <v>1115</v>
      </c>
      <c r="H7" s="2656"/>
      <c r="I7" s="2657">
        <v>2.9</v>
      </c>
      <c r="J7" s="2659"/>
      <c r="K7" s="2659"/>
      <c r="L7" s="2659"/>
      <c r="M7" s="2659"/>
      <c r="N7" s="2659"/>
      <c r="O7" s="2659"/>
      <c r="P7" s="2659"/>
    </row>
    <row r="8" spans="1:16" ht="14.4">
      <c r="A8" s="44" t="s">
        <v>1116</v>
      </c>
      <c r="B8" s="47" t="s">
        <v>1117</v>
      </c>
      <c r="C8" s="45" t="s">
        <v>1118</v>
      </c>
      <c r="D8" s="45">
        <f t="shared" ref="D8:D15" si="0">ROUND($D$3*E8/$E$3,2)</f>
        <v>19949.16</v>
      </c>
      <c r="E8" s="48">
        <f>SUMIF('数据-基础表'!BB10:BK10,"地上",'数据-基础表'!BB5:BK5)</f>
        <v>46810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19949.16</v>
      </c>
      <c r="E16" s="50">
        <f>SUM(E8:E15)</f>
        <v>46810</v>
      </c>
      <c r="F16" s="2659"/>
      <c r="G16" s="2660"/>
      <c r="H16" s="1648" t="s">
        <v>1135</v>
      </c>
      <c r="I16" s="1649"/>
      <c r="J16" s="1139"/>
      <c r="K16" s="3560" t="s">
        <v>1135</v>
      </c>
      <c r="L16" s="3561"/>
      <c r="M16" s="3561"/>
      <c r="N16" s="3561"/>
      <c r="O16" s="3561"/>
      <c r="P16" s="3562"/>
    </row>
    <row r="17" spans="1:19" ht="14.4">
      <c r="A17" s="1650" t="s">
        <v>1136</v>
      </c>
      <c r="B17" s="1651" t="s">
        <v>1137</v>
      </c>
      <c r="C17" s="1652" t="s">
        <v>1138</v>
      </c>
      <c r="D17" s="1653" t="s">
        <v>1126</v>
      </c>
      <c r="E17" s="1654" t="s">
        <v>1127</v>
      </c>
      <c r="F17" s="1655"/>
      <c r="G17" s="1656"/>
      <c r="H17" s="1657" t="s">
        <v>1139</v>
      </c>
      <c r="I17" s="1658" t="s">
        <v>1124</v>
      </c>
      <c r="J17" s="1139"/>
      <c r="K17" s="3557" t="s">
        <v>1140</v>
      </c>
      <c r="L17" s="3558"/>
      <c r="M17" s="3559"/>
      <c r="N17" s="3557" t="s">
        <v>1141</v>
      </c>
      <c r="O17" s="3558"/>
      <c r="P17" s="355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3430</v>
      </c>
      <c r="D19" s="45">
        <f>ROUND($D$3*E19/$E$3,2)</f>
        <v>19949.16</v>
      </c>
      <c r="E19" s="53">
        <f t="shared" ref="E19:E26" si="1">SUM(F19:G19)</f>
        <v>46810</v>
      </c>
      <c r="F19" s="2795">
        <f>'数据-基础表'!I13</f>
        <v>46810</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19949.16</v>
      </c>
      <c r="S19" s="1027">
        <f t="shared" si="5"/>
        <v>46810</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19949.16</v>
      </c>
      <c r="E27" s="1141">
        <f>IF(SUM(E19:E26)='数据-基础表'!BA5,SUM(E19:E26),IF(F27="地上面积有误","面积有误","地下面积有误"))</f>
        <v>46810</v>
      </c>
      <c r="F27" s="1140">
        <f>IF(SUM(F19:F26)=E8,SUM(F19:F26),"地上面积有误")</f>
        <v>46810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19949.16</v>
      </c>
      <c r="S27" s="1026">
        <f>IF(SUM(S19:S26)=$E$3,SUM(S19:S26),SUM(S19:S26)&amp;"误差"&amp;ROUND(SUM(S19:S26)-E3,2))</f>
        <v>46810</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19949.16</v>
      </c>
      <c r="E31" s="676">
        <f>E27+E30</f>
        <v>46810</v>
      </c>
      <c r="F31" s="677">
        <f>F27+F30</f>
        <v>46810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46810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J32" sqref="J32"/>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24" width="6.77734375" style="1682" customWidth="1"/>
    <col min="25" max="25" width="10.109375" style="1682" customWidth="1"/>
    <col min="26"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70</v>
      </c>
      <c r="E6" s="857">
        <f>IF(B6="","",SUMIF(项目基本情况!C$12:I$12,C6,项目基本情况!C$13:I$13))</f>
        <v>71425</v>
      </c>
      <c r="F6" s="64">
        <f>SUMIF(项目基本情况!C$12:I$12,C6,项目基本情况!C$15:I$15)</f>
        <v>70</v>
      </c>
      <c r="G6" s="65">
        <f>IF(ISERROR(ROUND(POWER(1+H6,D6-F6)*(POWER(1+H6,F6)-1)/(POWER(1+H6,D6)-1),3)),0,ROUND(POWER(1+H6,D6-F6)*(POWER(1+H6,F6)-1)/(POWER(1+H6,D6)-1),3))</f>
        <v>1</v>
      </c>
      <c r="H6" s="732">
        <v>0.04</v>
      </c>
      <c r="I6" s="3484">
        <v>0.04</v>
      </c>
      <c r="J6" s="66">
        <v>0.06</v>
      </c>
      <c r="K6" s="1030">
        <f>SUMIF('数据-汇总表'!C$19:C$33,A6,'数据-汇总表'!E$19:E$33)</f>
        <v>46810</v>
      </c>
      <c r="L6" s="733">
        <v>4500</v>
      </c>
      <c r="M6" s="67">
        <f t="shared" ref="M6:M14" si="0">ROUND(K6*L6/10000,0)</f>
        <v>21065</v>
      </c>
      <c r="N6" s="731">
        <v>1</v>
      </c>
      <c r="O6" s="67" t="str">
        <f>IF($N$5="成新度","——",ROUND(M6*N6,0))</f>
        <v>——</v>
      </c>
      <c r="P6" s="68" t="str">
        <f>IF($N$5="成新度","——",M6-O6)</f>
        <v>——</v>
      </c>
      <c r="Q6" s="3482">
        <v>0.03</v>
      </c>
      <c r="R6" s="69">
        <f ca="1">SUMIF('数据-汇总表'!C$19:C$33,A6,'数据-汇总表'!R$19:R$27)</f>
        <v>19949.16</v>
      </c>
      <c r="S6" s="51">
        <f>IF('数据-汇总表'!$I$17="按面积比例",SUMIF('数据-汇总表'!C$19:C$33,A6,'数据-汇总表'!K$19:K$33),SUMIF('数据-汇总表'!C$19:C$33,A6,'数据-汇总表'!N$19:N$33))</f>
        <v>0</v>
      </c>
      <c r="T6" s="1172">
        <f>ROUND($L$14*S6/10000,0)</f>
        <v>0</v>
      </c>
      <c r="U6" s="3428">
        <v>90</v>
      </c>
      <c r="V6" s="3483">
        <v>0</v>
      </c>
      <c r="W6" s="70">
        <v>0.1</v>
      </c>
      <c r="X6" s="1040"/>
      <c r="Y6" s="71">
        <v>1</v>
      </c>
      <c r="Z6" s="72"/>
      <c r="AA6" s="66"/>
      <c r="AB6" s="66"/>
      <c r="AC6" s="1040"/>
      <c r="AD6" s="73"/>
      <c r="AE6" s="1041">
        <f ca="1">IF(AN6="",0,SUMIF(INDIRECT("'"&amp;AN6&amp;"'"&amp;"!E:E"),$AE$5,INDIRECT("'"&amp;AN6&amp;"'"&amp;"!F:F")))</f>
        <v>70</v>
      </c>
      <c r="AF6" s="1348"/>
      <c r="AG6" s="138">
        <f>IF(AF6="",0,AE6-AF6)</f>
        <v>0</v>
      </c>
      <c r="AH6" s="74"/>
      <c r="AI6" s="76">
        <v>12</v>
      </c>
      <c r="AJ6" s="77"/>
      <c r="AK6" s="78">
        <v>0.02</v>
      </c>
      <c r="AL6" s="79">
        <v>2E-3</v>
      </c>
      <c r="AM6" s="80">
        <v>0.02</v>
      </c>
      <c r="AN6" s="1715" t="s">
        <v>3427</v>
      </c>
      <c r="AO6" s="52">
        <f ca="1">SUMIF(INDIRECT("'"&amp;AN6&amp;"'"&amp;"!A:A"),"总价",INDIRECT("'"&amp;AN6&amp;"'"&amp;"!B:B"))</f>
        <v>76477</v>
      </c>
      <c r="AP6" s="1716">
        <f>IF(C6="住宅",K6*L6,0)</f>
        <v>210645000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0.04</v>
      </c>
      <c r="I16" s="91"/>
      <c r="J16" s="91"/>
      <c r="K16" s="92">
        <f>SUM(K6:K15)</f>
        <v>46810</v>
      </c>
      <c r="L16" s="93">
        <f>ROUND(M16*10000/SUM(K6:K14),0)</f>
        <v>4500</v>
      </c>
      <c r="M16" s="93">
        <f>SUM(M6:M14)</f>
        <v>21065</v>
      </c>
      <c r="N16" s="94">
        <f>ROUND(SUMPRODUCT(M6:M14,N6:N14)/M16,3)</f>
        <v>1</v>
      </c>
      <c r="O16" s="93">
        <f>SUM(O6:O14)</f>
        <v>0</v>
      </c>
      <c r="P16" s="93">
        <f>SUM(P6:P14)</f>
        <v>0</v>
      </c>
      <c r="Q16" s="95">
        <f>ROUND(SUMPRODUCT(Q6:Q13,K6:K13)/SUMPRODUCT((Q6:Q13&gt;0)*(K6:K13)),2)</f>
        <v>0.03</v>
      </c>
      <c r="R16" s="1034">
        <f ca="1">SUM(R6:R13)</f>
        <v>19949.16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v>160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296</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f>C56</f>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2" t="s">
        <v>2286</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1" sqref="F41"/>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45859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45" sqref="H4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t="s">
        <v>3450</v>
      </c>
      <c r="H1" s="1750" t="str">
        <f>IF(G1="现房","——","估价对象范围")</f>
        <v>——</v>
      </c>
      <c r="I1" s="1751" t="s">
        <v>3451</v>
      </c>
    </row>
    <row r="2" spans="1:12" ht="21.75" customHeight="1" thickBot="1">
      <c r="A2" s="3608" t="str">
        <f>项目基本情况!S2</f>
        <v>北京市房地产</v>
      </c>
      <c r="B2" s="3609"/>
      <c r="C2" s="3609"/>
      <c r="D2" s="3609"/>
      <c r="E2" s="3609"/>
      <c r="F2" s="3609"/>
      <c r="G2" s="3609"/>
      <c r="H2" s="3609"/>
      <c r="I2" s="3610"/>
    </row>
    <row r="3" spans="1:12" ht="13.2">
      <c r="A3" s="3612" t="s">
        <v>1264</v>
      </c>
      <c r="B3" s="3613"/>
      <c r="C3" s="3613"/>
      <c r="D3" s="3613"/>
      <c r="E3" s="3613"/>
      <c r="F3" s="3613"/>
      <c r="G3" s="3613"/>
      <c r="H3" s="3613"/>
      <c r="I3" s="3613"/>
    </row>
    <row r="4" spans="1:12" ht="14.4">
      <c r="A4" s="1754" t="s">
        <v>1265</v>
      </c>
      <c r="B4" s="1755" t="s">
        <v>1266</v>
      </c>
      <c r="C4" s="1756" t="s">
        <v>3452</v>
      </c>
      <c r="D4" s="1756" t="s">
        <v>3427</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8" t="s">
        <v>1268</v>
      </c>
      <c r="B5" s="3575">
        <v>25</v>
      </c>
      <c r="C5" s="3591">
        <v>5</v>
      </c>
      <c r="D5" s="3611">
        <f>10-C5</f>
        <v>5</v>
      </c>
      <c r="E5" s="131" t="s">
        <v>1269</v>
      </c>
      <c r="F5" s="1757"/>
      <c r="G5" s="1757"/>
      <c r="H5" s="1757"/>
      <c r="I5" s="1373"/>
    </row>
    <row r="6" spans="1:12" ht="13.2">
      <c r="A6" s="3588"/>
      <c r="B6" s="3575"/>
      <c r="C6" s="3592"/>
      <c r="D6" s="3611"/>
      <c r="E6" s="131" t="s">
        <v>1270</v>
      </c>
      <c r="F6" s="1757"/>
      <c r="G6" s="1757"/>
      <c r="H6" s="1757"/>
      <c r="I6" s="1373"/>
    </row>
    <row r="7" spans="1:12" ht="13.2">
      <c r="A7" s="3588"/>
      <c r="B7" s="3575"/>
      <c r="C7" s="3593"/>
      <c r="D7" s="3611"/>
      <c r="E7" s="131" t="s">
        <v>1271</v>
      </c>
      <c r="F7" s="1757"/>
      <c r="G7" s="1757"/>
      <c r="H7" s="1757"/>
      <c r="I7" s="1373"/>
    </row>
    <row r="8" spans="1:12" ht="13.2">
      <c r="A8" s="3588" t="s">
        <v>1272</v>
      </c>
      <c r="B8" s="3575">
        <v>15</v>
      </c>
      <c r="C8" s="3591"/>
      <c r="D8" s="3611"/>
      <c r="E8" s="131" t="s">
        <v>1273</v>
      </c>
      <c r="F8" s="1757"/>
      <c r="G8" s="1757"/>
      <c r="H8" s="1757"/>
      <c r="I8" s="1373"/>
    </row>
    <row r="9" spans="1:12" ht="13.2">
      <c r="A9" s="3588"/>
      <c r="B9" s="3575"/>
      <c r="C9" s="3593"/>
      <c r="D9" s="3611"/>
      <c r="E9" s="131" t="s">
        <v>1274</v>
      </c>
      <c r="F9" s="1757"/>
      <c r="G9" s="1757"/>
      <c r="H9" s="1757"/>
      <c r="I9" s="1373"/>
    </row>
    <row r="10" spans="1:12" ht="13.2">
      <c r="A10" s="3588" t="s">
        <v>1275</v>
      </c>
      <c r="B10" s="3575">
        <v>15</v>
      </c>
      <c r="C10" s="3591"/>
      <c r="D10" s="3611"/>
      <c r="E10" s="131" t="s">
        <v>1276</v>
      </c>
      <c r="F10" s="1757"/>
      <c r="G10" s="1757"/>
      <c r="H10" s="1757"/>
      <c r="I10" s="1373"/>
    </row>
    <row r="11" spans="1:12" ht="13.2">
      <c r="A11" s="3588"/>
      <c r="B11" s="3575"/>
      <c r="C11" s="3593"/>
      <c r="D11" s="3611"/>
      <c r="E11" s="131" t="s">
        <v>1277</v>
      </c>
      <c r="F11" s="1757"/>
      <c r="G11" s="1757"/>
      <c r="H11" s="1757"/>
      <c r="I11" s="1373"/>
    </row>
    <row r="12" spans="1:12" ht="13.2">
      <c r="A12" s="3588" t="s">
        <v>1278</v>
      </c>
      <c r="B12" s="3575">
        <v>15</v>
      </c>
      <c r="C12" s="3591"/>
      <c r="D12" s="3611"/>
      <c r="E12" s="131" t="s">
        <v>1279</v>
      </c>
      <c r="F12" s="1757"/>
      <c r="G12" s="1757"/>
      <c r="H12" s="1757"/>
      <c r="I12" s="1373"/>
    </row>
    <row r="13" spans="1:12" ht="13.2">
      <c r="A13" s="3588"/>
      <c r="B13" s="3575"/>
      <c r="C13" s="3593"/>
      <c r="D13" s="3611"/>
      <c r="E13" s="131" t="s">
        <v>1280</v>
      </c>
      <c r="F13" s="1757"/>
      <c r="G13" s="1757"/>
      <c r="H13" s="1757"/>
      <c r="I13" s="1373"/>
    </row>
    <row r="14" spans="1:12" ht="13.2">
      <c r="A14" s="3588" t="s">
        <v>1281</v>
      </c>
      <c r="B14" s="3575">
        <v>30</v>
      </c>
      <c r="C14" s="3591"/>
      <c r="D14" s="3611"/>
      <c r="E14" s="131" t="s">
        <v>1282</v>
      </c>
      <c r="F14" s="1757"/>
      <c r="G14" s="1757"/>
      <c r="H14" s="1757"/>
      <c r="I14" s="1373"/>
    </row>
    <row r="15" spans="1:12" ht="13.2">
      <c r="A15" s="3588"/>
      <c r="B15" s="3575"/>
      <c r="C15" s="3592"/>
      <c r="D15" s="3611"/>
      <c r="E15" s="131" t="s">
        <v>1283</v>
      </c>
      <c r="F15" s="1757"/>
      <c r="G15" s="1757"/>
      <c r="H15" s="1757"/>
      <c r="I15" s="1373"/>
    </row>
    <row r="16" spans="1:12" ht="13.2">
      <c r="A16" s="3588"/>
      <c r="B16" s="3575"/>
      <c r="C16" s="3593"/>
      <c r="D16" s="3611"/>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598" t="s">
        <v>2131</v>
      </c>
      <c r="F18" s="3599"/>
      <c r="G18" s="3599"/>
      <c r="H18" s="3599"/>
      <c r="I18" s="3599"/>
      <c r="K18" s="302" t="s">
        <v>1289</v>
      </c>
      <c r="L18" s="302">
        <f>IF(C1="",'数据-汇总表'!E3,SUMIF(项目类型,C1,'数据-汇总表'!E17:E26)+SUMIF(项目类型,C1,'数据-汇总表'!I17:I26))</f>
        <v>46810</v>
      </c>
      <c r="M18" s="302">
        <f>IF(C1="",'数据-汇总表'!E3,SUMIF(项目类型,C1,'数据-汇总表'!E17:E26))</f>
        <v>46810</v>
      </c>
    </row>
    <row r="19" spans="1:36" ht="14.4">
      <c r="A19" s="1761" t="s">
        <v>1290</v>
      </c>
      <c r="B19" s="1762" t="s">
        <v>1291</v>
      </c>
      <c r="C19" s="134">
        <f ca="1">SUMIF(INDIRECT("'"&amp;C4&amp;"'"&amp;"!A:A"),结果表!B19,INDIRECT("'"&amp;C4&amp;"'"&amp;"!B:B"))</f>
        <v>133718</v>
      </c>
      <c r="D19" s="135">
        <f ca="1">SUMIF(INDIRECT("'"&amp;D4&amp;"'"&amp;"!A:A"),结果表!B19,INDIRECT("'"&amp;D4&amp;"'"&amp;"!B:B"))</f>
        <v>76477</v>
      </c>
      <c r="E19" s="1761" t="s">
        <v>1292</v>
      </c>
      <c r="F19" s="1762" t="s">
        <v>1291</v>
      </c>
      <c r="G19" s="136">
        <f ca="1">ROUND(C19*$C$18+D19*$D$18,0)</f>
        <v>105098</v>
      </c>
      <c r="H19" s="1763" t="s">
        <v>1293</v>
      </c>
      <c r="I19" s="129"/>
      <c r="K19" s="302" t="s">
        <v>1294</v>
      </c>
      <c r="L19" s="302">
        <f>IF(C1="",'数据-汇总表'!D3,SUMIF(项目类型,C1,'数据-汇总表'!D17:D26)+SUMIF(项目类型,C1,'数据-汇总表'!H17:H27))</f>
        <v>19949.16</v>
      </c>
      <c r="M19" s="302">
        <f>IF(C1="",'数据-汇总表'!D3,SUMIF(项目类型,C1,'数据-汇总表'!D17:D26))</f>
        <v>19949.16</v>
      </c>
    </row>
    <row r="20" spans="1:36" ht="14.4">
      <c r="A20" s="1764"/>
      <c r="B20" s="1026" t="s">
        <v>1295</v>
      </c>
      <c r="C20" s="137">
        <f ca="1">SUMIF(INDIRECT("'"&amp;C4&amp;"'"&amp;"!A:A"),结果表!B20,INDIRECT("'"&amp;C4&amp;"'"&amp;"!B:B"))</f>
        <v>28566</v>
      </c>
      <c r="D20" s="138">
        <f ca="1">SUMIF(INDIRECT("'"&amp;D4&amp;"'"&amp;"!A:A"),结果表!B20,INDIRECT("'"&amp;D4&amp;"'"&amp;"!B:B"))</f>
        <v>16338</v>
      </c>
      <c r="E20" s="1764"/>
      <c r="F20" s="1026" t="s">
        <v>1295</v>
      </c>
      <c r="G20" s="139">
        <f ca="1">ROUND(C20*$C$18+D20*$D$18,0)</f>
        <v>22452</v>
      </c>
      <c r="H20" s="808" t="s">
        <v>1296</v>
      </c>
      <c r="I20" s="129"/>
    </row>
    <row r="21" spans="1:36" ht="15" customHeight="1" thickBot="1">
      <c r="A21" s="828"/>
      <c r="B21" s="1765" t="s">
        <v>1297</v>
      </c>
      <c r="C21" s="719">
        <f ca="1">ROUND(C19*10000/L19,0)</f>
        <v>67029</v>
      </c>
      <c r="D21" s="720">
        <f ca="1">ROUND(D19*10000/L19,0)</f>
        <v>38336</v>
      </c>
      <c r="E21" s="828"/>
      <c r="F21" s="1765" t="s">
        <v>1297</v>
      </c>
      <c r="G21" s="140">
        <f ca="1">ROUND(G19*10000/L19,0)</f>
        <v>52683</v>
      </c>
      <c r="H21" s="1766" t="s">
        <v>1296</v>
      </c>
      <c r="I21" s="129"/>
    </row>
    <row r="22" spans="1:36" ht="15" thickBot="1">
      <c r="A22" s="1688" t="s">
        <v>1298</v>
      </c>
      <c r="B22" s="1767"/>
      <c r="C22" s="1768"/>
      <c r="D22" s="721">
        <f ca="1">IF(C19&lt;D19,D19/C19-1,C19/D19-1)</f>
        <v>0.74847339723053996</v>
      </c>
      <c r="E22" s="129"/>
      <c r="F22" s="129"/>
      <c r="G22" s="129"/>
      <c r="H22" s="129"/>
      <c r="I22" s="129"/>
    </row>
    <row r="23" spans="1:36" ht="13.8" thickBot="1">
      <c r="A23" s="1747"/>
      <c r="B23" s="1747"/>
      <c r="C23" s="1747"/>
      <c r="D23" s="1747"/>
      <c r="E23" s="129"/>
      <c r="F23" s="129"/>
      <c r="G23" s="129"/>
      <c r="H23" s="129"/>
      <c r="I23" s="129"/>
    </row>
    <row r="24" spans="1:36" ht="14.4">
      <c r="A24" s="3582" t="s">
        <v>1299</v>
      </c>
      <c r="B24" s="1762" t="s">
        <v>1291</v>
      </c>
      <c r="C24" s="136">
        <f>IF(B30=0,0,D30)</f>
        <v>0</v>
      </c>
      <c r="D24" s="1769"/>
      <c r="E24" s="129"/>
      <c r="F24" s="129"/>
      <c r="G24" s="129"/>
      <c r="H24" s="129"/>
      <c r="I24" s="129"/>
    </row>
    <row r="25" spans="1:36" ht="14.4">
      <c r="A25" s="358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22452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2" t="s">
        <v>1312</v>
      </c>
      <c r="B36" s="1787" t="s">
        <v>1313</v>
      </c>
      <c r="C36" s="145"/>
      <c r="D36" s="1788"/>
      <c r="E36" s="1789"/>
      <c r="F36" s="1790"/>
      <c r="G36" s="129"/>
      <c r="H36" s="129"/>
      <c r="I36" s="129"/>
    </row>
    <row r="37" spans="1:15" ht="15" thickBot="1">
      <c r="A37" s="3603"/>
      <c r="B37" s="1674" t="s">
        <v>1314</v>
      </c>
      <c r="C37" s="147"/>
      <c r="D37" s="1139"/>
      <c r="E37" s="1139"/>
      <c r="F37" s="1790"/>
      <c r="G37" s="129"/>
      <c r="H37" s="129"/>
      <c r="I37" s="129"/>
    </row>
    <row r="38" spans="1:15" ht="15" thickBot="1">
      <c r="A38" s="360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9" t="s">
        <v>1326</v>
      </c>
      <c r="B45" s="3580"/>
      <c r="C45" s="3581"/>
      <c r="D45" s="155" t="e">
        <f ca="1">ROUND(H101*F45,0)</f>
        <v>#REF!</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6"/>
      <c r="I46" s="159"/>
      <c r="J46" s="2523">
        <v>1</v>
      </c>
      <c r="K46" s="3638" t="s">
        <v>1331</v>
      </c>
      <c r="L46" s="3638"/>
      <c r="M46" s="3658"/>
      <c r="N46" s="3658"/>
      <c r="O46" s="3658"/>
    </row>
    <row r="47" spans="1:15" ht="12" customHeight="1">
      <c r="A47" s="160" t="s">
        <v>1332</v>
      </c>
      <c r="B47" s="161"/>
      <c r="C47" s="162"/>
      <c r="D47" s="1087" t="s">
        <v>1333</v>
      </c>
      <c r="E47" s="302" t="s">
        <v>1334</v>
      </c>
      <c r="F47" s="163" t="s">
        <v>1335</v>
      </c>
      <c r="G47" s="2546" t="s">
        <v>1336</v>
      </c>
      <c r="H47" s="2547"/>
      <c r="I47" s="159"/>
      <c r="J47" s="2523">
        <v>2</v>
      </c>
      <c r="K47" s="3638" t="s">
        <v>1337</v>
      </c>
      <c r="L47" s="3638"/>
      <c r="M47" s="3659">
        <f>'数据-取费表'!B2</f>
        <v>45859</v>
      </c>
      <c r="N47" s="3659"/>
      <c r="O47" s="3659"/>
    </row>
    <row r="48" spans="1:15" ht="26.4">
      <c r="A48" s="3607" t="s">
        <v>1338</v>
      </c>
      <c r="B48" s="3590"/>
      <c r="C48" s="3590"/>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8" t="s">
        <v>1340</v>
      </c>
      <c r="L48" s="3638"/>
      <c r="M48" s="3660" t="e">
        <f ca="1">H101</f>
        <v>#REF!</v>
      </c>
      <c r="N48" s="3660"/>
      <c r="O48" s="3660"/>
    </row>
    <row r="49" spans="1:35" ht="25.5" customHeight="1">
      <c r="A49" s="2333" t="s">
        <v>1341</v>
      </c>
      <c r="B49" s="3574" t="s">
        <v>1342</v>
      </c>
      <c r="C49" s="3574"/>
      <c r="D49" s="1590">
        <v>0</v>
      </c>
      <c r="E49" s="324" t="s">
        <v>1343</v>
      </c>
      <c r="F49" s="2424" t="s">
        <v>28</v>
      </c>
      <c r="G49" s="3644"/>
      <c r="H49" s="2310" t="s">
        <v>2134</v>
      </c>
      <c r="I49" s="2311"/>
      <c r="J49" s="2523">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51"/>
      <c r="B50" s="3574" t="s">
        <v>1344</v>
      </c>
      <c r="C50" s="3574"/>
      <c r="D50" s="2552"/>
      <c r="E50" s="332"/>
      <c r="F50" s="2424"/>
      <c r="G50" s="3645"/>
      <c r="H50" s="2312" t="s">
        <v>2135</v>
      </c>
      <c r="I50" s="2311"/>
      <c r="J50" s="3657" t="s">
        <v>1345</v>
      </c>
      <c r="K50" s="3657"/>
      <c r="L50" s="3657"/>
      <c r="M50" s="3657"/>
      <c r="N50" s="3657"/>
      <c r="O50" s="3657"/>
    </row>
    <row r="51" spans="1:35" ht="20.399999999999999" customHeight="1">
      <c r="A51" s="2553"/>
      <c r="B51" s="3574" t="s">
        <v>1346</v>
      </c>
      <c r="C51" s="3574"/>
      <c r="D51" s="1087"/>
      <c r="E51" s="327"/>
      <c r="F51" s="2424"/>
      <c r="G51" s="3646"/>
      <c r="H51" s="2312" t="s">
        <v>2136</v>
      </c>
      <c r="I51" s="2311"/>
      <c r="J51" s="2524" t="s">
        <v>1347</v>
      </c>
      <c r="K51" s="3638" t="s">
        <v>1348</v>
      </c>
      <c r="L51" s="3638"/>
      <c r="M51" s="2524" t="s">
        <v>1349</v>
      </c>
      <c r="N51" s="2524" t="s">
        <v>1350</v>
      </c>
      <c r="O51" s="2524" t="s">
        <v>1351</v>
      </c>
    </row>
    <row r="52" spans="1:35" ht="24" customHeight="1">
      <c r="A52" s="2335" t="s">
        <v>1352</v>
      </c>
      <c r="B52" s="3574" t="s">
        <v>1353</v>
      </c>
      <c r="C52" s="3574"/>
      <c r="D52" s="1087" t="e">
        <f ca="1">ROUND(D45*'数据-取费表'!B41/(1+'数据-取费表'!C42),0)</f>
        <v>#REF!</v>
      </c>
      <c r="E52" s="2334" t="s">
        <v>1354</v>
      </c>
      <c r="F52" s="2554">
        <f>'数据-取费表'!B41</f>
        <v>0</v>
      </c>
      <c r="G52" s="2555"/>
      <c r="H52" s="2544"/>
      <c r="I52" s="1807"/>
      <c r="J52" s="2523">
        <v>1</v>
      </c>
      <c r="K52" s="3639" t="s">
        <v>1355</v>
      </c>
      <c r="L52" s="3639"/>
      <c r="M52" s="2525" t="b">
        <f>D48</f>
        <v>0</v>
      </c>
      <c r="N52" s="2523" t="str">
        <f>E48</f>
        <v>销售额×税（费）率</v>
      </c>
      <c r="O52" s="2526">
        <f>F48</f>
        <v>0</v>
      </c>
    </row>
    <row r="53" spans="1:35" ht="12" customHeight="1">
      <c r="A53" s="2335" t="s">
        <v>1356</v>
      </c>
      <c r="B53" s="3600" t="s">
        <v>2291</v>
      </c>
      <c r="C53" s="3601"/>
      <c r="D53" s="1087" t="e">
        <f ca="1">ROUND(D45*'数据-取费表'!B41/(1+'数据-取费表'!C42),0)</f>
        <v>#REF!</v>
      </c>
      <c r="E53" s="2334" t="s">
        <v>1354</v>
      </c>
      <c r="F53" s="2554">
        <f>'数据-取费表'!B41</f>
        <v>0</v>
      </c>
      <c r="G53" s="2555"/>
      <c r="H53" s="2544"/>
      <c r="I53" s="1807"/>
      <c r="J53" s="2523">
        <v>2</v>
      </c>
      <c r="K53" s="3639" t="s">
        <v>1357</v>
      </c>
      <c r="L53" s="3639"/>
      <c r="M53" s="2525" t="e">
        <f t="shared" ref="M53:O54" ca="1" si="0">D55</f>
        <v>#REF!</v>
      </c>
      <c r="N53" s="2523" t="str">
        <f t="shared" si="0"/>
        <v>销售额×税（费）率</v>
      </c>
      <c r="O53" s="2526" t="str">
        <f t="shared" si="0"/>
        <v>免征</v>
      </c>
    </row>
    <row r="54" spans="1:35" ht="12" customHeight="1">
      <c r="A54" s="2335" t="s">
        <v>1358</v>
      </c>
      <c r="B54" s="3600" t="s">
        <v>2292</v>
      </c>
      <c r="C54" s="3601"/>
      <c r="D54" s="1087" t="e">
        <f ca="1">C68</f>
        <v>#REF!</v>
      </c>
      <c r="E54" s="327" t="s">
        <v>1359</v>
      </c>
      <c r="F54" s="2554">
        <f>'数据-取费表'!B41</f>
        <v>0</v>
      </c>
      <c r="G54" s="2555"/>
      <c r="H54" s="2556"/>
      <c r="I54" s="1807"/>
      <c r="J54" s="2523">
        <v>3</v>
      </c>
      <c r="K54" s="3639" t="s">
        <v>1360</v>
      </c>
      <c r="L54" s="3639"/>
      <c r="M54" s="2525" t="e">
        <f t="shared" ca="1" si="0"/>
        <v>#REF!</v>
      </c>
      <c r="N54" s="2523" t="str">
        <f t="shared" si="0"/>
        <v>增值额×税（费）率</v>
      </c>
      <c r="O54" s="2527" t="str">
        <f t="shared" si="0"/>
        <v>免征</v>
      </c>
    </row>
    <row r="55" spans="1:35" ht="24" customHeight="1">
      <c r="A55" s="3589" t="s">
        <v>1361</v>
      </c>
      <c r="B55" s="3590"/>
      <c r="C55" s="3590"/>
      <c r="D55" s="2324" t="e">
        <f ca="1">IF(H55="个人住宅",0,ROUND(D45*I55,0))</f>
        <v>#REF!</v>
      </c>
      <c r="E55" s="2334" t="s">
        <v>1362</v>
      </c>
      <c r="F55" s="2554" t="str">
        <f>IF(H55="正常",I55,"免征")</f>
        <v>免征</v>
      </c>
      <c r="G55" s="2555"/>
      <c r="H55" s="2550"/>
      <c r="I55" s="165">
        <f>'数据-取费表'!B49</f>
        <v>5.0000000000000001E-4</v>
      </c>
      <c r="J55" s="2523">
        <f>IF(H59="非个人房产","",4)</f>
        <v>4</v>
      </c>
      <c r="K55" s="3639" t="str">
        <f>IF(H59="非个人房产","——","个人所得税")</f>
        <v>个人所得税</v>
      </c>
      <c r="L55" s="3639"/>
      <c r="M55" s="2528" t="e">
        <f ca="1">D59</f>
        <v>#REF!</v>
      </c>
      <c r="N55" s="2040" t="str">
        <f>E59</f>
        <v>差额计税</v>
      </c>
      <c r="O55" s="2529">
        <f>F59</f>
        <v>0.01</v>
      </c>
    </row>
    <row r="56" spans="1:35" ht="25.2">
      <c r="A56" s="3589" t="s">
        <v>1363</v>
      </c>
      <c r="B56" s="3590"/>
      <c r="C56" s="3590"/>
      <c r="D56" s="2324" t="e">
        <f ca="1">IF(H56="个人住宅",D57,D58)</f>
        <v>#REF!</v>
      </c>
      <c r="E56" s="2334" t="s">
        <v>1364</v>
      </c>
      <c r="F56" s="2554" t="str">
        <f>IF(H56="正常",F58,"免征")</f>
        <v>免征</v>
      </c>
      <c r="G56" s="2557" t="s">
        <v>1365</v>
      </c>
      <c r="H56" s="2558"/>
      <c r="I56" s="1808"/>
      <c r="J56" s="2523" t="str">
        <f>IF(项目基本情况!K6="上海银行",IF(J55="",4,J55+1),"")</f>
        <v/>
      </c>
      <c r="K56" s="3662" t="str">
        <f>IF(项目基本情况!K6="上海银行","其他处置费用","")</f>
        <v/>
      </c>
      <c r="L56" s="3663"/>
      <c r="M56" s="2525" t="str">
        <f>IF(项目基本情况!K6="上海银行",M69,"")</f>
        <v/>
      </c>
      <c r="N56" s="3662" t="str">
        <f>IF(项目基本情况!K6="上海银行","包含处置中涉及的律师、诉讼、拍卖、评估等费用","")</f>
        <v/>
      </c>
      <c r="O56" s="3665"/>
    </row>
    <row r="57" spans="1:35" ht="13.2">
      <c r="A57" s="2335" t="s">
        <v>1341</v>
      </c>
      <c r="B57" s="3600" t="s">
        <v>1366</v>
      </c>
      <c r="C57" s="3601"/>
      <c r="D57" s="1590">
        <v>0</v>
      </c>
      <c r="E57" s="324" t="s">
        <v>1343</v>
      </c>
      <c r="F57" s="302"/>
      <c r="G57" s="2555"/>
      <c r="H57" s="2559"/>
      <c r="I57" s="1808"/>
      <c r="J57" s="3639">
        <f>IF(AND(J55="",J56=""),4,IF(项目基本情况!K6="上海银行",结果表!J56+1,结果表!J55+1))</f>
        <v>5</v>
      </c>
      <c r="K57" s="3639" t="s">
        <v>1367</v>
      </c>
      <c r="L57" s="2530" t="s">
        <v>1368</v>
      </c>
      <c r="M57" s="2531"/>
      <c r="N57" s="2532">
        <f ca="1">SUMIF(M52:M56,"&lt;9e307")</f>
        <v>0</v>
      </c>
      <c r="O57" s="2533"/>
      <c r="P57" s="2690" t="e">
        <f ca="1">N57/M49</f>
        <v>#VALUE!</v>
      </c>
    </row>
    <row r="58" spans="1:35" ht="25.2">
      <c r="A58" s="2335" t="s">
        <v>1352</v>
      </c>
      <c r="B58" s="3600" t="s">
        <v>1369</v>
      </c>
      <c r="C58" s="3574"/>
      <c r="D58" s="2324" t="e">
        <f ca="1">IF(H58="转让取得",C81,C97)</f>
        <v>#REF!</v>
      </c>
      <c r="E58" s="2334" t="s">
        <v>1364</v>
      </c>
      <c r="F58" s="302" t="s">
        <v>28</v>
      </c>
      <c r="G58" s="2555"/>
      <c r="H58" s="2558"/>
      <c r="I58" s="1808"/>
      <c r="J58" s="3639"/>
      <c r="K58" s="3639"/>
      <c r="L58" s="2530" t="s">
        <v>1370</v>
      </c>
      <c r="M58" s="2534"/>
      <c r="N58" s="2535" t="str">
        <f ca="1">NUMBERSTRING(INT(N57*10000),2)&amp;"元整"</f>
        <v>零元整</v>
      </c>
      <c r="O58" s="2536"/>
    </row>
    <row r="59" spans="1:35" ht="24.6" thickBot="1">
      <c r="A59" s="3642" t="s">
        <v>1371</v>
      </c>
      <c r="B59" s="3643"/>
      <c r="C59" s="364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0">
        <f>J57+1</f>
        <v>6</v>
      </c>
      <c r="K59" s="3639" t="s">
        <v>1372</v>
      </c>
      <c r="L59" s="2523" t="s">
        <v>1368</v>
      </c>
      <c r="M59" s="2537"/>
      <c r="N59" s="2538" t="e">
        <f ca="1">M49-N57</f>
        <v>#VALUE!</v>
      </c>
      <c r="O59" s="2539"/>
    </row>
    <row r="60" spans="1:35" ht="12" customHeight="1">
      <c r="A60" s="1809"/>
      <c r="B60" s="1747"/>
      <c r="C60" s="1747"/>
      <c r="D60" s="1747"/>
      <c r="E60" s="1578"/>
      <c r="F60" s="1808"/>
      <c r="G60" s="1808"/>
      <c r="H60" s="1810"/>
      <c r="I60" s="129"/>
      <c r="J60" s="3641"/>
      <c r="K60" s="3639"/>
      <c r="L60" s="2530" t="s">
        <v>1370</v>
      </c>
      <c r="M60" s="2534"/>
      <c r="N60" s="2535" t="e">
        <f ca="1">NUMBERSTRING(INT(N59*10000),2)&amp;"元整"</f>
        <v>#VALUE!</v>
      </c>
      <c r="O60" s="2536"/>
    </row>
    <row r="61" spans="1:35" ht="13.8" thickBot="1">
      <c r="A61" s="3587" t="s">
        <v>1373</v>
      </c>
      <c r="B61" s="3587"/>
      <c r="C61" s="3587"/>
      <c r="D61" s="3587"/>
      <c r="E61" s="3587"/>
      <c r="F61" s="1808"/>
      <c r="G61" s="1808"/>
      <c r="H61" s="1810"/>
      <c r="I61" s="129"/>
      <c r="J61" s="2523">
        <f>J59+1</f>
        <v>7</v>
      </c>
      <c r="K61" s="3639" t="s">
        <v>1374</v>
      </c>
      <c r="L61" s="3639"/>
      <c r="M61" s="2540"/>
      <c r="N61" s="2541" t="e">
        <f ca="1">ROUND(N59*10000/'数据-汇总表'!E3,0)</f>
        <v>#VALUE!</v>
      </c>
      <c r="O61" s="2542"/>
    </row>
    <row r="62" spans="1:35" ht="13.2">
      <c r="A62" s="3605" t="s">
        <v>1375</v>
      </c>
      <c r="B62" s="360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6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5" t="s">
        <v>1375</v>
      </c>
      <c r="B71" s="360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4" t="s">
        <v>1406</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6" t="s">
        <v>2129</v>
      </c>
      <c r="H90" s="366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4" t="s">
        <v>1406</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5" t="s">
        <v>1426</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5" t="str">
        <f>C4</f>
        <v>成本法</v>
      </c>
      <c r="D101" s="2586" t="str">
        <f>D4</f>
        <v>收益法</v>
      </c>
      <c r="E101" s="3661" t="s">
        <v>1431</v>
      </c>
      <c r="F101" s="3618"/>
      <c r="G101" s="1827" t="s">
        <v>1432</v>
      </c>
      <c r="H101" s="2595" t="e">
        <f ca="1">H118</f>
        <v>#REF!</v>
      </c>
      <c r="I101" s="129"/>
    </row>
    <row r="102" spans="1:35" ht="18.75" customHeight="1">
      <c r="A102" s="3620" t="s">
        <v>1433</v>
      </c>
      <c r="B102" s="2584" t="s">
        <v>1432</v>
      </c>
      <c r="C102" s="2585">
        <f ca="1">IF(D32="楼面单价",ROUND(C19,0),C19)</f>
        <v>133718</v>
      </c>
      <c r="D102" s="2586">
        <f ca="1">IF(D32="楼面单价",ROUND(D19,0),D19)</f>
        <v>76477</v>
      </c>
      <c r="E102" s="3661"/>
      <c r="F102" s="3618"/>
      <c r="G102" s="1827" t="s">
        <v>1434</v>
      </c>
      <c r="H102" s="2555" t="e">
        <f ca="1">I118</f>
        <v>#REF!</v>
      </c>
      <c r="I102" s="129"/>
    </row>
    <row r="103" spans="1:35" ht="42.75" customHeight="1">
      <c r="A103" s="3620"/>
      <c r="B103" s="2584" t="s">
        <v>1434</v>
      </c>
      <c r="C103" s="2587">
        <f ca="1">C20</f>
        <v>28566</v>
      </c>
      <c r="D103" s="2588">
        <f ca="1">D20</f>
        <v>16338</v>
      </c>
      <c r="E103" s="3655" t="s">
        <v>1435</v>
      </c>
      <c r="F103" s="3656"/>
      <c r="G103" s="1828" t="s">
        <v>1436</v>
      </c>
      <c r="H103" s="2595">
        <f>IF(D36="正常操作",H104+H105+H106,H105+H106)</f>
        <v>0</v>
      </c>
      <c r="I103" s="129"/>
    </row>
    <row r="104" spans="1:35" ht="18.75" customHeight="1">
      <c r="A104" s="362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618"/>
      <c r="G107" s="1827" t="s">
        <v>1432</v>
      </c>
      <c r="H107" s="2595" t="e">
        <f ca="1">IF(E107="——","——",H101-H103)</f>
        <v>#REF!</v>
      </c>
      <c r="I107" s="129"/>
    </row>
    <row r="108" spans="1:35" ht="18.75" customHeight="1">
      <c r="A108" s="129"/>
      <c r="B108" s="129"/>
      <c r="C108" s="129"/>
      <c r="D108" s="129"/>
      <c r="E108" s="3617"/>
      <c r="F108" s="3618"/>
      <c r="G108" s="1827" t="s">
        <v>1434</v>
      </c>
      <c r="H108" s="2555">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1432</v>
      </c>
      <c r="H109" s="2598" t="str">
        <f>IF(E109="——","——",H101-H105-H106)</f>
        <v>——</v>
      </c>
      <c r="I109" s="129"/>
    </row>
    <row r="110" spans="1:35" ht="18.75" customHeight="1">
      <c r="A110" s="129"/>
      <c r="B110" s="129"/>
      <c r="C110" s="129"/>
      <c r="D110" s="129"/>
      <c r="E110" s="3617"/>
      <c r="F110" s="3618"/>
      <c r="G110" s="1827" t="s">
        <v>1434</v>
      </c>
      <c r="H110" s="2555"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1432</v>
      </c>
      <c r="H111" s="2595" t="str">
        <f>IF(E111="——","——",N59)</f>
        <v>——</v>
      </c>
      <c r="I111" s="129"/>
    </row>
    <row r="112" spans="1:35" ht="18.75" customHeight="1" thickBot="1">
      <c r="A112" s="129"/>
      <c r="B112" s="129"/>
      <c r="C112" s="129"/>
      <c r="D112" s="129"/>
      <c r="E112" s="3650"/>
      <c r="F112" s="3651"/>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46810</v>
      </c>
      <c r="C118" s="2329">
        <f>M19</f>
        <v>19949.16</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8" t="s">
        <v>1452</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
      </c>
      <c r="B122" s="3619"/>
      <c r="C122" s="3619"/>
      <c r="D122" s="3652" t="e">
        <f ca="1">H107</f>
        <v>#REF!</v>
      </c>
      <c r="E122" s="3653"/>
      <c r="F122" s="3653"/>
      <c r="G122" s="3653"/>
      <c r="H122" s="3653"/>
      <c r="I122" s="3654"/>
      <c r="AA122" s="725"/>
    </row>
    <row r="123" spans="1:27" ht="18.75" customHeight="1">
      <c r="A123" s="3588" t="s">
        <v>1452</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29760.712100000001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6358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7489600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7489600</v>
      </c>
      <c r="D8" s="222"/>
      <c r="E8" s="220"/>
      <c r="F8" s="221"/>
      <c r="G8" s="1856"/>
    </row>
    <row r="9" spans="1:8" s="214" customFormat="1" ht="13.5" customHeight="1">
      <c r="A9" s="779" t="s">
        <v>355</v>
      </c>
      <c r="B9" s="224" t="s">
        <v>1478</v>
      </c>
      <c r="C9" s="225">
        <f ca="1">ROUND(D9*E9,0)</f>
        <v>7489600</v>
      </c>
      <c r="D9" s="845">
        <f ca="1">IF(B1="",'数据-汇总表'!E5,IF(INDIRECT("'数据-取费表'!c"&amp;$G$1)="住宅",INDIRECT("'数据-取费表'!k"&amp;$G$1),0))</f>
        <v>46810</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9362000</v>
      </c>
      <c r="D19" s="849">
        <f ca="1">D9+D10</f>
        <v>46810</v>
      </c>
      <c r="E19" s="211">
        <f>'数据-取费表'!B31</f>
        <v>200</v>
      </c>
      <c r="F19" s="231"/>
      <c r="G19" s="1856"/>
    </row>
    <row r="20" spans="1:7" s="214" customFormat="1" ht="13.5" customHeight="1">
      <c r="A20" s="255" t="s">
        <v>1574</v>
      </c>
      <c r="B20" s="210" t="s">
        <v>1575</v>
      </c>
      <c r="C20" s="232">
        <f ca="1">ROUND((C5+C19)*F20,0)</f>
        <v>337032</v>
      </c>
      <c r="D20" s="232"/>
      <c r="E20" s="232"/>
      <c r="F20" s="233">
        <f>'数据-取费表'!B37</f>
        <v>0.02</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1036374</v>
      </c>
      <c r="D22" s="235">
        <f ca="1">C26</f>
        <v>0</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456117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570146</v>
      </c>
      <c r="D24" s="238"/>
      <c r="E24" s="238"/>
      <c r="F24" s="239"/>
      <c r="G24" s="240" t="s">
        <v>1586</v>
      </c>
    </row>
    <row r="25" spans="1:7" s="214" customFormat="1" ht="24">
      <c r="A25" s="780" t="s">
        <v>1476</v>
      </c>
      <c r="B25" s="215" t="s">
        <v>1587</v>
      </c>
      <c r="C25" s="1128">
        <f ca="1">ROUND(IF('数据-取费表'!B22&lt;=1,C20*F22*'数据-取费表'!B22/2,C20*(POWER((1+F22),'数据-取费表'!B22/2)-1)),0)</f>
        <v>10111</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6.4">
      <c r="A27" s="255" t="s">
        <v>1512</v>
      </c>
      <c r="B27" s="244" t="s">
        <v>1513</v>
      </c>
      <c r="C27" s="245">
        <f ca="1">C28</f>
        <v>515659</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ROUND((C5+C19+C20)*F27,0)</f>
        <v>515659</v>
      </c>
      <c r="D28" s="235"/>
      <c r="E28" s="236"/>
      <c r="F28" s="246"/>
      <c r="G28" s="247"/>
    </row>
    <row r="29" spans="1:7" s="214" customFormat="1" ht="13.5" customHeight="1">
      <c r="A29" s="780" t="s">
        <v>347</v>
      </c>
      <c r="B29" s="248" t="s">
        <v>1517</v>
      </c>
      <c r="C29" s="238">
        <f ca="1">ROUND(C21*F27,4)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18740665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257923100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210645000</v>
      </c>
      <c r="D34" s="217"/>
      <c r="E34" s="220"/>
      <c r="F34" s="257"/>
      <c r="G34" s="219"/>
    </row>
    <row r="35" spans="1:7" ht="13.5" customHeight="1">
      <c r="A35" s="780" t="s">
        <v>351</v>
      </c>
      <c r="B35" s="215" t="s">
        <v>1527</v>
      </c>
      <c r="C35" s="220">
        <f ca="1">ROUND(C34*F35,0)</f>
        <v>10532250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21064500</v>
      </c>
      <c r="D36" s="220"/>
      <c r="E36" s="220"/>
      <c r="F36" s="259">
        <f>'数据-取费表'!B34</f>
        <v>0.1</v>
      </c>
      <c r="G36" s="260" t="s">
        <v>1530</v>
      </c>
    </row>
    <row r="37" spans="1:7" s="258" customFormat="1" ht="13.5" customHeight="1">
      <c r="A37" s="780" t="s">
        <v>353</v>
      </c>
      <c r="B37" s="215" t="s">
        <v>1531</v>
      </c>
      <c r="C37" s="249">
        <f ca="1">ROUND(E37*D37,0)</f>
        <v>9362000</v>
      </c>
      <c r="D37" s="217">
        <f ca="1">D19</f>
        <v>46810</v>
      </c>
      <c r="E37" s="249">
        <f>'数据-取费表'!B35</f>
        <v>200</v>
      </c>
      <c r="F37" s="259"/>
      <c r="G37" s="261"/>
    </row>
    <row r="38" spans="1:7" ht="13.5" customHeight="1">
      <c r="A38" s="780" t="s">
        <v>354</v>
      </c>
      <c r="B38" s="215" t="s">
        <v>1533</v>
      </c>
      <c r="C38" s="220">
        <f ca="1">ROUND(C34*F38,0)</f>
        <v>6319350</v>
      </c>
      <c r="D38" s="220"/>
      <c r="E38" s="220"/>
      <c r="F38" s="259">
        <f>'数据-取费表'!B36</f>
        <v>0.03</v>
      </c>
      <c r="G38" s="219" t="s">
        <v>1528</v>
      </c>
    </row>
    <row r="39" spans="1:7" s="214" customFormat="1" ht="13.5" customHeight="1">
      <c r="A39" s="255" t="s">
        <v>1534</v>
      </c>
      <c r="B39" s="210" t="s">
        <v>1535</v>
      </c>
      <c r="C39" s="232">
        <f ca="1">ROUND(C33*F20,0)</f>
        <v>5158462</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7892447</v>
      </c>
      <c r="D41" s="235">
        <f ca="1">C44</f>
        <v>0</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7737693</v>
      </c>
      <c r="D42" s="238"/>
      <c r="E42" s="238"/>
      <c r="F42" s="239"/>
      <c r="G42" s="3668" t="s">
        <v>1591</v>
      </c>
    </row>
    <row r="43" spans="1:7" ht="13.5" customHeight="1">
      <c r="A43" s="780" t="s">
        <v>347</v>
      </c>
      <c r="B43" s="215" t="s">
        <v>1545</v>
      </c>
      <c r="C43" s="238">
        <f ca="1">ROUND(IF('数据-取费表'!B22&lt;=1,C39*F22*'数据-取费表'!B20/2,C39*(POWER((1+F22),'数据-取费表'!B20/2)-1)),0)</f>
        <v>154754</v>
      </c>
      <c r="D43" s="238"/>
      <c r="E43" s="238"/>
      <c r="F43" s="239"/>
      <c r="G43" s="3669"/>
    </row>
    <row r="44" spans="1:7" ht="13.5" customHeight="1">
      <c r="A44" s="780" t="s">
        <v>348</v>
      </c>
      <c r="B44" s="215" t="s">
        <v>1546</v>
      </c>
      <c r="C44" s="238">
        <f ca="1">ROUND(IF('数据-取费表'!B22&lt;=1,C40*F22*'数据-取费表'!B20/2,C40*(POWER((1+F22),'数据-取费表'!B20/2)-1)),4)</f>
        <v>0</v>
      </c>
      <c r="D44" s="238"/>
      <c r="E44" s="238"/>
      <c r="F44" s="239"/>
      <c r="G44" s="3670"/>
    </row>
    <row r="45" spans="1:7" s="214" customFormat="1" ht="13.5" customHeight="1">
      <c r="A45" s="255" t="s">
        <v>1547</v>
      </c>
      <c r="B45" s="244" t="s">
        <v>1513</v>
      </c>
      <c r="C45" s="245">
        <f ca="1">C46</f>
        <v>7892447</v>
      </c>
      <c r="D45" s="235">
        <f ca="1">C47</f>
        <v>0</v>
      </c>
      <c r="E45" s="236" t="s">
        <v>1539</v>
      </c>
      <c r="F45" s="246">
        <f ca="1">F27</f>
        <v>0.03</v>
      </c>
      <c r="G45" s="247" t="s">
        <v>1548</v>
      </c>
    </row>
    <row r="46" spans="1:7" s="214" customFormat="1" ht="13.5" customHeight="1">
      <c r="A46" s="780" t="s">
        <v>346</v>
      </c>
      <c r="B46" s="248" t="s">
        <v>1549</v>
      </c>
      <c r="C46" s="249">
        <f ca="1">ROUND((C33+C39)*F27,0)</f>
        <v>7892447</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278866456</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278866456</v>
      </c>
      <c r="D51" s="232"/>
      <c r="E51" s="232"/>
      <c r="F51" s="264"/>
      <c r="G51" s="234" t="s">
        <v>1560</v>
      </c>
    </row>
    <row r="52" spans="1:7" s="208" customFormat="1" ht="16.8" thickBot="1">
      <c r="A52" s="265" t="s">
        <v>1561</v>
      </c>
      <c r="B52" s="266"/>
      <c r="C52" s="267">
        <f ca="1">C31+C51</f>
        <v>297607121</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北京市房地产市场价值预评估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-601</v>
      </c>
      <c r="C2" s="276" t="s">
        <v>1595</v>
      </c>
      <c r="D2" s="276"/>
      <c r="E2" s="2806"/>
      <c r="F2" s="2806"/>
      <c r="G2" s="2806"/>
      <c r="H2" s="2806"/>
      <c r="I2" s="2806"/>
      <c r="J2" s="2806"/>
      <c r="K2" s="2806"/>
    </row>
    <row r="3" spans="1:33" ht="18" customHeight="1" thickBot="1">
      <c r="A3" s="203" t="s">
        <v>1464</v>
      </c>
      <c r="B3" s="204">
        <f ca="1">ROUND(B2*10000/IF(C1="",'数据-汇总表'!E3,INDIRECT("'数据-取费表'!K"&amp;$K$1)),0)</f>
        <v>-128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46810</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46810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589</v>
      </c>
      <c r="D18" s="846"/>
      <c r="E18" s="21"/>
      <c r="F18" s="804"/>
      <c r="G18" s="1862"/>
      <c r="H18" s="1187"/>
      <c r="I18" s="1863" t="s">
        <v>1625</v>
      </c>
      <c r="J18" s="807"/>
      <c r="K18" s="808"/>
    </row>
    <row r="19" spans="1:33" s="803" customFormat="1" ht="13.5" customHeight="1">
      <c r="A19" s="800" t="s">
        <v>360</v>
      </c>
      <c r="B19" s="801" t="s">
        <v>1626</v>
      </c>
      <c r="C19" s="21">
        <f ca="1">ROUND(D19*E19/10000,0)</f>
        <v>749</v>
      </c>
      <c r="D19" s="846">
        <f ca="1">IF(C1="",'数据-汇总表'!E5,IF(INDIRECT("'数据-取费表'!c"&amp;$K$1)="住宅",INDIRECT("'数据-取费表'!k"&amp;$K$1),0))</f>
        <v>46810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589</v>
      </c>
      <c r="D21" s="815"/>
      <c r="E21" s="281"/>
      <c r="F21" s="281"/>
      <c r="G21" s="131" t="s">
        <v>1629</v>
      </c>
      <c r="H21" s="807"/>
      <c r="I21" s="807"/>
      <c r="J21" s="807"/>
      <c r="K21" s="808"/>
    </row>
    <row r="22" spans="1:33" s="803" customFormat="1" ht="13.5" customHeight="1">
      <c r="A22" s="790" t="s">
        <v>1601</v>
      </c>
      <c r="B22" s="813" t="s">
        <v>1630</v>
      </c>
      <c r="C22" s="814">
        <f ca="1">ROUND(C21*F22,0)</f>
        <v>12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18</v>
      </c>
      <c r="D28" s="280">
        <f ca="1">C29</f>
        <v>0</v>
      </c>
      <c r="E28" s="282" t="s">
        <v>12</v>
      </c>
      <c r="F28" s="288">
        <f ca="1">IF(C1="",'数据-取费表'!Q16,INDIRECT("'数据-取费表'!q"&amp;$K$1))</f>
        <v>0.03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-601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6" sqref="E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70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76477</v>
      </c>
      <c r="C2" s="1387" t="s">
        <v>805</v>
      </c>
      <c r="D2" s="1387"/>
      <c r="E2" s="1388"/>
      <c r="F2" s="1389"/>
      <c r="G2" s="2706"/>
      <c r="H2" s="2695"/>
      <c r="I2" s="2695"/>
      <c r="J2" s="2695"/>
      <c r="K2" s="2696"/>
      <c r="L2" s="2695"/>
      <c r="M2" s="2695"/>
    </row>
    <row r="3" spans="1:37" ht="18" customHeight="1" thickBot="1">
      <c r="A3" s="1390" t="s">
        <v>806</v>
      </c>
      <c r="B3" s="1391">
        <f ca="1">IF(ISERROR(B2*10000/F43),0,ROUND(B2*10000/F43,0))</f>
        <v>16338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4556</v>
      </c>
      <c r="D5" s="1364" t="s">
        <v>693</v>
      </c>
      <c r="E5" s="1071"/>
      <c r="F5" s="1072"/>
      <c r="G5" s="1384"/>
      <c r="H5" s="299">
        <v>1</v>
      </c>
      <c r="I5" s="300" t="s">
        <v>692</v>
      </c>
      <c r="J5" s="1070">
        <f ca="1">J6+J10+J12</f>
        <v>0</v>
      </c>
      <c r="K5" s="1364" t="s">
        <v>693</v>
      </c>
      <c r="L5" s="1071"/>
      <c r="M5" s="1072"/>
    </row>
    <row r="6" spans="1:37" ht="18" customHeight="1">
      <c r="A6" s="1069" t="s">
        <v>398</v>
      </c>
      <c r="B6" s="3673" t="s">
        <v>694</v>
      </c>
      <c r="C6" s="1074">
        <f ca="1">ROUND(F6*F8*F7*(1-F9)/10000,0)</f>
        <v>4550</v>
      </c>
      <c r="D6" s="155" t="s">
        <v>2109</v>
      </c>
      <c r="E6" s="302" t="s">
        <v>696</v>
      </c>
      <c r="F6" s="303">
        <f ca="1">INDIRECT("'数据-取费表'!u"&amp;$G$1)</f>
        <v>90</v>
      </c>
      <c r="G6" s="1384"/>
      <c r="H6" s="1069" t="s">
        <v>398</v>
      </c>
      <c r="I6" s="3673" t="s">
        <v>694</v>
      </c>
      <c r="J6" s="301">
        <f ca="1">ROUND(M6*M8*M7*(1-M9)/10000,0)</f>
        <v>0</v>
      </c>
      <c r="K6" s="155" t="s">
        <v>2108</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46810</v>
      </c>
      <c r="G7" s="1384"/>
      <c r="H7" s="304"/>
      <c r="I7" s="3674"/>
      <c r="J7" s="306"/>
      <c r="K7" s="307"/>
      <c r="L7" s="302" t="s">
        <v>697</v>
      </c>
      <c r="M7" s="303">
        <f ca="1">F7</f>
        <v>46810</v>
      </c>
    </row>
    <row r="8" spans="1:37" ht="18" customHeight="1">
      <c r="A8" s="304"/>
      <c r="B8" s="3674"/>
      <c r="C8" s="306"/>
      <c r="D8" s="307"/>
      <c r="E8" s="302" t="s">
        <v>698</v>
      </c>
      <c r="F8" s="303">
        <f ca="1">INDIRECT("'数据-取费表'!ai"&amp;$G$1)</f>
        <v>12</v>
      </c>
      <c r="G8" s="1384"/>
      <c r="H8" s="304"/>
      <c r="I8" s="3674"/>
      <c r="J8" s="306"/>
      <c r="K8" s="307"/>
      <c r="L8" s="302" t="s">
        <v>698</v>
      </c>
      <c r="M8" s="303">
        <f ca="1">INDIRECT("'数据-取费表'!ai"&amp;$G$1)</f>
        <v>12</v>
      </c>
    </row>
    <row r="9" spans="1:37" ht="18" customHeight="1">
      <c r="A9" s="304"/>
      <c r="B9" s="3675"/>
      <c r="C9" s="306"/>
      <c r="D9" s="307"/>
      <c r="E9" s="302" t="s">
        <v>699</v>
      </c>
      <c r="F9" s="312">
        <f ca="1">INDIRECT("'数据-取费表'!w"&amp;$G$1)</f>
        <v>0.1</v>
      </c>
      <c r="G9" s="1384"/>
      <c r="H9" s="304"/>
      <c r="I9" s="3675"/>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2117</v>
      </c>
      <c r="E10" s="313" t="s">
        <v>701</v>
      </c>
      <c r="F10" s="1116" t="s">
        <v>3436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27887</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21065</v>
      </c>
      <c r="D14" s="1345" t="s">
        <v>708</v>
      </c>
      <c r="E14" s="1342"/>
      <c r="F14" s="319"/>
      <c r="G14" s="1384"/>
      <c r="H14" s="982" t="s">
        <v>398</v>
      </c>
      <c r="I14" s="302" t="s">
        <v>709</v>
      </c>
      <c r="J14" s="21">
        <f ca="1">C29</f>
        <v>27887</v>
      </c>
      <c r="K14" s="12"/>
      <c r="L14" s="807"/>
      <c r="M14" s="808"/>
    </row>
    <row r="15" spans="1:37" s="1397" customFormat="1" ht="18" customHeight="1" thickBot="1">
      <c r="A15" s="982" t="s">
        <v>399</v>
      </c>
      <c r="B15" s="302" t="s">
        <v>710</v>
      </c>
      <c r="C15" s="21">
        <f ca="1">ROUND(C14*F15,0)</f>
        <v>1053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2107</v>
      </c>
      <c r="D16" s="302" t="s">
        <v>711</v>
      </c>
      <c r="E16" s="302" t="s">
        <v>712</v>
      </c>
      <c r="F16" s="322">
        <f ca="1">IF(INDIRECT("'数据-取费表'!c"&amp;$G$1)="住宅",'数据-取费表'!B34,0)</f>
        <v>0.1</v>
      </c>
      <c r="G16" s="1384"/>
      <c r="H16" s="1079" t="s">
        <v>393</v>
      </c>
      <c r="I16" s="1080" t="s">
        <v>714</v>
      </c>
      <c r="J16" s="310">
        <f ca="1">ROUND(J17+J22+J23+J24,0)</f>
        <v>594</v>
      </c>
      <c r="K16" s="1087" t="s">
        <v>715</v>
      </c>
      <c r="L16" s="1088"/>
      <c r="M16" s="1072"/>
    </row>
    <row r="17" spans="1:37" s="1397" customFormat="1" ht="18" customHeight="1">
      <c r="A17" s="982" t="s">
        <v>681</v>
      </c>
      <c r="B17" s="302" t="s">
        <v>716</v>
      </c>
      <c r="C17" s="21">
        <f ca="1">ROUND(F17*(F43+INDIRECT("'数据-取费表'!S"&amp;$G$1))/10000,0)</f>
        <v>936</v>
      </c>
      <c r="D17" s="302" t="s">
        <v>717</v>
      </c>
      <c r="E17" s="302" t="s">
        <v>718</v>
      </c>
      <c r="F17" s="23">
        <f>'数据-取费表'!B35</f>
        <v>200</v>
      </c>
      <c r="G17" s="1396"/>
      <c r="H17" s="982" t="s">
        <v>398</v>
      </c>
      <c r="I17" s="302" t="s">
        <v>719</v>
      </c>
      <c r="J17" s="2316">
        <f ca="1">ROUND(IF(AND(项目基本情况!B11="自然人",项目基本情况!B10="北京市"),J6*M17/(1+'数据-取费表'!C42),J18+J19+J20),2)</f>
        <v>35.909999999999997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632</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25793</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516</v>
      </c>
      <c r="D20" s="323" t="s">
        <v>729</v>
      </c>
      <c r="E20" s="302" t="s">
        <v>712</v>
      </c>
      <c r="F20" s="322">
        <f>'数据-取费表'!B37</f>
        <v>0.02</v>
      </c>
      <c r="G20" s="1396"/>
      <c r="H20" s="982" t="s">
        <v>680</v>
      </c>
      <c r="I20" s="155" t="s">
        <v>730</v>
      </c>
      <c r="J20" s="22">
        <f ca="1">ROUND(M20*M21/10000,2)</f>
        <v>35.909999999999997</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19949.16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557.74</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789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-594</v>
      </c>
      <c r="K25" s="1095" t="s">
        <v>753</v>
      </c>
      <c r="L25" s="1096"/>
      <c r="M25" s="1097"/>
    </row>
    <row r="26" spans="1:37">
      <c r="A26" s="982" t="s">
        <v>397</v>
      </c>
      <c r="B26" s="302" t="s">
        <v>754</v>
      </c>
      <c r="C26" s="21">
        <f ca="1">ROUND((C19+C20)*F26,0)</f>
        <v>789</v>
      </c>
      <c r="D26" s="323" t="s">
        <v>755</v>
      </c>
      <c r="E26" s="313" t="s">
        <v>756</v>
      </c>
      <c r="F26" s="312">
        <f ca="1">INDIRECT("'数据-取费表'!q"&amp;$G$1)</f>
        <v>0.03</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27887</v>
      </c>
      <c r="D29" s="1092"/>
      <c r="E29" s="1090"/>
      <c r="F29" s="1093"/>
      <c r="G29" s="1396"/>
      <c r="H29" s="334" t="s">
        <v>396</v>
      </c>
      <c r="I29" s="335" t="s">
        <v>768</v>
      </c>
      <c r="J29" s="336">
        <f ca="1">ROUND(J26/(1+F40)^F41,0)</f>
        <v>0</v>
      </c>
      <c r="K29" s="337" t="s">
        <v>769</v>
      </c>
      <c r="L29" s="338"/>
      <c r="M29" s="339">
        <f ca="1">INDIRECT("'数据-取费表'!k"&amp;$G$1)</f>
        <v>46810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1287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581.91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546</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35.909999999999997</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19949.16</v>
      </c>
      <c r="G35" s="1384"/>
      <c r="H35" s="2697"/>
      <c r="I35" s="1398"/>
      <c r="J35" s="1399"/>
      <c r="K35" s="2701"/>
      <c r="L35" s="2700"/>
      <c r="M35" s="2700"/>
    </row>
    <row r="36" spans="1:18" ht="18" customHeight="1">
      <c r="A36" s="1102" t="s">
        <v>402</v>
      </c>
      <c r="B36" s="302" t="s">
        <v>738</v>
      </c>
      <c r="C36" s="21">
        <f ca="1">ROUND(C29*F36,2)</f>
        <v>557.74</v>
      </c>
      <c r="D36" s="1344" t="s">
        <v>771</v>
      </c>
      <c r="E36" s="302" t="s">
        <v>712</v>
      </c>
      <c r="F36" s="328">
        <f ca="1">INDIRECT("'数据-取费表'!Ak"&amp;$G$1)</f>
        <v>0.02</v>
      </c>
      <c r="G36" s="1384"/>
      <c r="H36" s="2700"/>
      <c r="I36" s="1398"/>
      <c r="J36" s="1399"/>
      <c r="K36" s="2544"/>
      <c r="L36" s="2700"/>
      <c r="M36" s="2700"/>
    </row>
    <row r="37" spans="1:18" ht="18" customHeight="1">
      <c r="A37" s="982" t="s">
        <v>437</v>
      </c>
      <c r="B37" s="302" t="s">
        <v>742</v>
      </c>
      <c r="C37" s="21">
        <f ca="1">ROUND(C13*F37,2)</f>
        <v>55.77</v>
      </c>
      <c r="D37" s="1344" t="s">
        <v>743</v>
      </c>
      <c r="E37" s="302" t="s">
        <v>744</v>
      </c>
      <c r="F37" s="330">
        <f ca="1">INDIRECT("'数据-取费表'!Al"&amp;$G$1)</f>
        <v>2E-3</v>
      </c>
      <c r="G37" s="1384"/>
      <c r="H37" s="2700"/>
      <c r="I37" s="1398"/>
      <c r="J37" s="1399"/>
      <c r="K37" s="2544"/>
      <c r="L37" s="2700"/>
      <c r="M37" s="2700"/>
    </row>
    <row r="38" spans="1:18" ht="18" customHeight="1" thickBot="1">
      <c r="A38" s="1089" t="s">
        <v>684</v>
      </c>
      <c r="B38" s="1090" t="s">
        <v>728</v>
      </c>
      <c r="C38" s="1091">
        <f ca="1">ROUND(C5*F38,2)</f>
        <v>91.12</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3269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76477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16338</v>
      </c>
      <c r="D43" s="337" t="s">
        <v>777</v>
      </c>
      <c r="E43" s="338" t="s">
        <v>778</v>
      </c>
      <c r="F43" s="339">
        <f ca="1">INDIRECT("'数据-取费表'!k"&amp;$G$1)</f>
        <v>46810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-91683</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3437</v>
      </c>
      <c r="K47" s="1416" t="s">
        <v>816</v>
      </c>
      <c r="L47" s="1417">
        <f ca="1">INDIRECT("'数据-取费表'!d"&amp;$G$1)</f>
        <v>70</v>
      </c>
      <c r="M47" s="1380" t="str">
        <f>IF(ISNUMBER(FIND("住宅",C1)),"住宅","非住宅")</f>
        <v>住宅</v>
      </c>
      <c r="O47" s="1418" t="s">
        <v>403</v>
      </c>
      <c r="P47" s="1419" t="s">
        <v>817</v>
      </c>
      <c r="Q47" s="1420">
        <f ca="1">C40+J29</f>
        <v>76477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3438</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27887</v>
      </c>
      <c r="R49" s="1420" t="s">
        <v>818</v>
      </c>
    </row>
    <row r="50" spans="1:18" s="1384" customFormat="1" ht="13.8" thickBot="1">
      <c r="A50" s="976"/>
      <c r="B50" s="979"/>
      <c r="C50" s="1118"/>
      <c r="D50" s="953"/>
      <c r="E50" s="1056" t="s">
        <v>697</v>
      </c>
      <c r="F50" s="1057">
        <f ca="1">F7</f>
        <v>46810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53</v>
      </c>
      <c r="K51" s="1434" t="s">
        <v>830</v>
      </c>
      <c r="L51" s="1435">
        <f ca="1">ROUND(-PV(INDIRECT("'数据-取费表'!h"&amp;$G$1),J51,(C39-C13*C76),0),0)</f>
        <v>34904</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70</v>
      </c>
      <c r="K53" s="3671" t="s">
        <v>837</v>
      </c>
      <c r="L53" s="3672"/>
      <c r="O53" s="1418" t="s">
        <v>409</v>
      </c>
      <c r="P53" s="1419" t="s">
        <v>838</v>
      </c>
      <c r="Q53" s="1420">
        <f ca="1">Q47+Q48</f>
        <v>76477</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27887</v>
      </c>
      <c r="D56" s="1447"/>
      <c r="E56" s="1448"/>
      <c r="F56" s="1440"/>
      <c r="I56" s="1449" t="s">
        <v>842</v>
      </c>
      <c r="J56" s="1450" t="s">
        <v>3439</v>
      </c>
      <c r="K56" s="1421" t="s">
        <v>843</v>
      </c>
      <c r="L56" s="1424">
        <f ca="1">IF(L48&lt;J51,"——",L48-J53)</f>
        <v>0</v>
      </c>
      <c r="O56" s="1418" t="s">
        <v>403</v>
      </c>
      <c r="P56" s="1419" t="s">
        <v>817</v>
      </c>
      <c r="Q56" s="1420">
        <f ca="1">C40+J29</f>
        <v>76477</v>
      </c>
      <c r="R56" s="1420" t="s">
        <v>818</v>
      </c>
    </row>
    <row r="57" spans="1:18" s="1384" customFormat="1" ht="24.6" thickBot="1">
      <c r="A57" s="1451"/>
      <c r="B57" s="950" t="s">
        <v>767</v>
      </c>
      <c r="C57" s="238">
        <f ca="1">C29</f>
        <v>27887</v>
      </c>
      <c r="D57" s="1452"/>
      <c r="E57" s="1453"/>
      <c r="F57" s="1454"/>
      <c r="I57" s="1455" t="s">
        <v>844</v>
      </c>
      <c r="J57" s="1456" t="str">
        <f ca="1">IF(OR(M47="住宅",J51&lt;L48,J56="是"),"——",J51-L48)</f>
        <v>——</v>
      </c>
      <c r="K57" s="1421" t="s">
        <v>845</v>
      </c>
      <c r="L57" s="1424">
        <f ca="1">IF(L48&lt;J51,"——",IF(L55="比较法",L49,IF(L55="基准地价",L50,L51)))</f>
        <v>34904</v>
      </c>
      <c r="O57" s="1418" t="s">
        <v>404</v>
      </c>
      <c r="P57" s="1419" t="s">
        <v>846</v>
      </c>
      <c r="Q57" s="1420">
        <f ca="1">L60</f>
        <v>0</v>
      </c>
      <c r="R57" s="1420" t="s">
        <v>847</v>
      </c>
    </row>
    <row r="58" spans="1:18" s="1384" customFormat="1" ht="24.6" thickBot="1">
      <c r="A58" s="315" t="s">
        <v>393</v>
      </c>
      <c r="B58" s="958" t="s">
        <v>714</v>
      </c>
      <c r="C58" s="316">
        <f ca="1">ROUND(C59+C64+C65+C66,0)</f>
        <v>650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36</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35.909999999999997</v>
      </c>
      <c r="D62" s="965" t="s">
        <v>786</v>
      </c>
      <c r="E62" s="950" t="s">
        <v>787</v>
      </c>
      <c r="F62" s="325">
        <f t="shared" si="0"/>
        <v>18</v>
      </c>
      <c r="I62" s="1462" t="s">
        <v>858</v>
      </c>
      <c r="J62" s="1463" t="s">
        <v>859</v>
      </c>
      <c r="K62" s="1463" t="s">
        <v>860</v>
      </c>
      <c r="L62" s="1463" t="s">
        <v>861</v>
      </c>
      <c r="M62" s="1464" t="s">
        <v>862</v>
      </c>
      <c r="O62" s="1418" t="s">
        <v>409</v>
      </c>
      <c r="P62" s="1419" t="s">
        <v>863</v>
      </c>
      <c r="Q62" s="1420">
        <f ca="1">Q56+Q57</f>
        <v>76477</v>
      </c>
      <c r="R62" s="1420" t="s">
        <v>410</v>
      </c>
    </row>
    <row r="63" spans="1:18" s="1384" customFormat="1" ht="13.8" thickBot="1">
      <c r="A63" s="326"/>
      <c r="B63" s="956"/>
      <c r="C63" s="26"/>
      <c r="D63" s="966"/>
      <c r="E63" s="950" t="s">
        <v>788</v>
      </c>
      <c r="F63" s="303">
        <f t="shared" ca="1" si="0"/>
        <v>19949.16</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557.74</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55.77</v>
      </c>
      <c r="D65" s="964" t="s">
        <v>743</v>
      </c>
      <c r="E65" s="950" t="s">
        <v>744</v>
      </c>
      <c r="F65" s="330">
        <f t="shared" ca="1" si="0"/>
        <v>2E-3</v>
      </c>
      <c r="I65" s="1462" t="s">
        <v>867</v>
      </c>
      <c r="J65" s="1463">
        <v>40</v>
      </c>
      <c r="K65" s="1463">
        <v>30</v>
      </c>
      <c r="L65" s="1463">
        <v>50</v>
      </c>
      <c r="M65" s="1465">
        <v>0.02</v>
      </c>
      <c r="O65" s="1418" t="s">
        <v>403</v>
      </c>
      <c r="P65" s="1419" t="s">
        <v>868</v>
      </c>
      <c r="Q65" s="1420">
        <f ca="1">C40+J29</f>
        <v>76477</v>
      </c>
      <c r="R65" s="1420" t="s">
        <v>818</v>
      </c>
    </row>
    <row r="66" spans="1:18" s="1384" customFormat="1" ht="16.2"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24.6" thickBot="1">
      <c r="A67" s="957" t="s">
        <v>394</v>
      </c>
      <c r="B67" s="967" t="s">
        <v>752</v>
      </c>
      <c r="C67" s="316">
        <f ca="1">C48-C58</f>
        <v>-650</v>
      </c>
      <c r="D67" s="963" t="s">
        <v>753</v>
      </c>
      <c r="E67" s="968"/>
      <c r="F67" s="969"/>
      <c r="O67" s="1428" t="s">
        <v>405</v>
      </c>
      <c r="P67" s="1419" t="s">
        <v>850</v>
      </c>
      <c r="Q67" s="1466">
        <f ca="1">L51</f>
        <v>34904</v>
      </c>
      <c r="R67" s="1420" t="s">
        <v>870</v>
      </c>
    </row>
    <row r="68" spans="1:18" s="1384" customFormat="1" ht="16.2" thickBot="1">
      <c r="A68" s="947" t="s">
        <v>395</v>
      </c>
      <c r="B68" s="948" t="s">
        <v>774</v>
      </c>
      <c r="C68" s="301">
        <f ca="1">ROUND(C67*(1-((1+F70)/(1+F68))^F69)/(F68-F70),0)</f>
        <v>-15206</v>
      </c>
      <c r="D68" s="965" t="s">
        <v>758</v>
      </c>
      <c r="E68" s="950" t="s">
        <v>759</v>
      </c>
      <c r="F68" s="312">
        <f ca="1">F40</f>
        <v>0.04</v>
      </c>
      <c r="O68" s="1428" t="s">
        <v>406</v>
      </c>
      <c r="P68" s="1467" t="s">
        <v>871</v>
      </c>
      <c r="Q68" s="1420">
        <f ca="1">ROUND(Q69-Q70*Q71,0)</f>
        <v>1596</v>
      </c>
      <c r="R68" s="1420" t="s">
        <v>414</v>
      </c>
    </row>
    <row r="69" spans="1:18" s="1384" customFormat="1" ht="13.8" thickBot="1">
      <c r="A69" s="951"/>
      <c r="B69" s="952"/>
      <c r="C69" s="306"/>
      <c r="D69" s="970" t="s">
        <v>762</v>
      </c>
      <c r="E69" s="950" t="s">
        <v>763</v>
      </c>
      <c r="F69" s="333">
        <f ca="1">F41</f>
        <v>70</v>
      </c>
      <c r="O69" s="1428" t="s">
        <v>411</v>
      </c>
      <c r="P69" s="1467" t="s">
        <v>872</v>
      </c>
      <c r="Q69" s="1420">
        <f ca="1">C39</f>
        <v>3269</v>
      </c>
      <c r="R69" s="1420" t="s">
        <v>818</v>
      </c>
    </row>
    <row r="70" spans="1:18" s="1384" customFormat="1" ht="13.8" thickBot="1">
      <c r="A70" s="954"/>
      <c r="B70" s="955"/>
      <c r="C70" s="310"/>
      <c r="D70" s="966"/>
      <c r="E70" s="950" t="s">
        <v>766</v>
      </c>
      <c r="F70" s="1054"/>
      <c r="O70" s="1428" t="s">
        <v>412</v>
      </c>
      <c r="P70" s="1467" t="s">
        <v>873</v>
      </c>
      <c r="Q70" s="1420">
        <f ca="1">C13</f>
        <v>27887</v>
      </c>
      <c r="R70" s="1420" t="s">
        <v>818</v>
      </c>
    </row>
    <row r="71" spans="1:18" s="1384" customFormat="1" ht="13.8" thickBot="1">
      <c r="A71" s="971" t="s">
        <v>396</v>
      </c>
      <c r="B71" s="972" t="s">
        <v>776</v>
      </c>
      <c r="C71" s="336">
        <f ca="1">ROUND(C68*10000/F71,0)</f>
        <v>-3248</v>
      </c>
      <c r="D71" s="973" t="s">
        <v>777</v>
      </c>
      <c r="E71" s="974" t="s">
        <v>778</v>
      </c>
      <c r="F71" s="339">
        <f ca="1">F43</f>
        <v>46810</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1673</v>
      </c>
      <c r="D75" s="1384"/>
      <c r="E75" s="1384"/>
      <c r="F75" s="1384"/>
      <c r="K75" s="1402"/>
      <c r="L75" s="1384"/>
      <c r="O75" s="1418" t="s">
        <v>409</v>
      </c>
      <c r="P75" s="1419" t="s">
        <v>838</v>
      </c>
      <c r="Q75" s="1420">
        <f ca="1">Q65+Q66</f>
        <v>76477</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0.48799999999999999</v>
      </c>
    </row>
    <row r="80" spans="1:18">
      <c r="B80" s="340" t="s">
        <v>800</v>
      </c>
      <c r="C80" s="274">
        <f ca="1">ROUND(C75/C39,3)</f>
        <v>0.51200000000000001</v>
      </c>
    </row>
    <row r="81" spans="2:3">
      <c r="B81" s="270" t="s">
        <v>801</v>
      </c>
      <c r="C81" s="238"/>
    </row>
    <row r="82" spans="2:3">
      <c r="B82" s="273" t="s">
        <v>802</v>
      </c>
      <c r="C82" s="275">
        <f ca="1">1-C83</f>
        <v>0.63500000000000001</v>
      </c>
    </row>
    <row r="83" spans="2:3">
      <c r="B83" s="273" t="s">
        <v>803</v>
      </c>
      <c r="C83" s="274">
        <f ca="1">ROUND(C13/C40,3)</f>
        <v>0.36499999999999999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3" t="s">
        <v>694</v>
      </c>
      <c r="C6" s="1074">
        <f ca="1">ROUND(F6*F8*F7*(1-F9),0)</f>
        <v>0</v>
      </c>
      <c r="D6" s="155" t="s">
        <v>2106</v>
      </c>
      <c r="E6" s="302" t="s">
        <v>696</v>
      </c>
      <c r="F6" s="303">
        <f ca="1">INDIRECT("'数据-取费表'!u"&amp;$G$1)</f>
        <v>0</v>
      </c>
      <c r="G6" s="1384"/>
      <c r="H6" s="1069" t="s">
        <v>398</v>
      </c>
      <c r="I6" s="3673" t="s">
        <v>694</v>
      </c>
      <c r="J6" s="301">
        <f ca="1">ROUND(M6*M8*M7*(1-M9),0)</f>
        <v>0</v>
      </c>
      <c r="K6" s="1376" t="s">
        <v>2107</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0</v>
      </c>
      <c r="G7" s="1384"/>
      <c r="H7" s="304"/>
      <c r="I7" s="3674"/>
      <c r="J7" s="306"/>
      <c r="K7" s="307"/>
      <c r="L7" s="302" t="s">
        <v>697</v>
      </c>
      <c r="M7" s="303">
        <f ca="1">F7</f>
        <v>0</v>
      </c>
    </row>
    <row r="8" spans="1:37" ht="18" customHeight="1">
      <c r="A8" s="304"/>
      <c r="B8" s="3674"/>
      <c r="C8" s="306"/>
      <c r="D8" s="307"/>
      <c r="E8" s="302" t="s">
        <v>698</v>
      </c>
      <c r="F8" s="303">
        <f ca="1">INDIRECT("'数据-取费表'!ai"&amp;$G$1)</f>
        <v>0</v>
      </c>
      <c r="G8" s="1384"/>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4"/>
      <c r="H9" s="304"/>
      <c r="I9" s="367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1" t="s">
        <v>837</v>
      </c>
      <c r="L53" s="367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2" t="s">
        <v>2317</v>
      </c>
      <c r="K2" s="3683"/>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4" t="s">
        <v>2327</v>
      </c>
      <c r="K3" s="3685"/>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4" t="s">
        <v>2329</v>
      </c>
      <c r="K4" s="3685"/>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0" t="s">
        <v>2333</v>
      </c>
      <c r="B6" s="3691"/>
      <c r="C6" s="3692"/>
      <c r="D6" s="2870"/>
      <c r="E6" s="2871"/>
      <c r="F6" s="2872"/>
      <c r="G6" s="2873"/>
      <c r="H6" s="2848"/>
      <c r="I6" s="2849"/>
      <c r="J6" s="3676">
        <v>1</v>
      </c>
      <c r="K6" s="367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6"/>
      <c r="K7" s="3678"/>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3" t="s">
        <v>2347</v>
      </c>
      <c r="C8" s="3694"/>
      <c r="D8" s="2889" t="s">
        <v>2348</v>
      </c>
      <c r="E8" s="2890" t="s">
        <v>2349</v>
      </c>
      <c r="F8" s="2891" t="s">
        <v>2350</v>
      </c>
      <c r="G8" s="2892"/>
      <c r="H8" s="2848"/>
      <c r="I8" s="2849"/>
      <c r="J8" s="3676"/>
      <c r="K8" s="3678"/>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3" t="s">
        <v>2353</v>
      </c>
      <c r="C9" s="3694"/>
      <c r="D9" s="2889">
        <f>ROUND(D6*E9,0)</f>
        <v>0</v>
      </c>
      <c r="E9" s="2893"/>
      <c r="F9" s="2894" t="s">
        <v>2354</v>
      </c>
      <c r="G9" s="2873"/>
      <c r="H9" s="2848"/>
      <c r="I9" s="2849"/>
      <c r="J9" s="3676"/>
      <c r="K9" s="3678"/>
      <c r="L9" s="2883" t="s">
        <v>2355</v>
      </c>
      <c r="M9" s="2884"/>
      <c r="N9" s="2860"/>
      <c r="O9" s="2885"/>
      <c r="P9" s="2885"/>
      <c r="Q9" s="2886">
        <v>365</v>
      </c>
      <c r="R9" s="2887">
        <f t="shared" si="0"/>
        <v>0</v>
      </c>
      <c r="S9" s="2841"/>
      <c r="T9" s="2841"/>
      <c r="U9" s="2841"/>
      <c r="V9" s="2849"/>
    </row>
    <row r="10" spans="1:22" s="2853" customFormat="1" ht="13.2" customHeight="1">
      <c r="A10" s="2888">
        <v>2</v>
      </c>
      <c r="B10" s="3693" t="s">
        <v>2356</v>
      </c>
      <c r="C10" s="3694"/>
      <c r="D10" s="2889">
        <f>ROUND(D6*E10,0)</f>
        <v>0</v>
      </c>
      <c r="E10" s="2893"/>
      <c r="F10" s="2894" t="s">
        <v>2357</v>
      </c>
      <c r="G10" s="2873"/>
      <c r="H10" s="2848"/>
      <c r="I10" s="2849"/>
      <c r="J10" s="3676"/>
      <c r="K10" s="3678"/>
      <c r="L10" s="2883" t="s">
        <v>2358</v>
      </c>
      <c r="M10" s="2884"/>
      <c r="N10" s="2860"/>
      <c r="O10" s="2885"/>
      <c r="P10" s="2885"/>
      <c r="Q10" s="2886">
        <v>365</v>
      </c>
      <c r="R10" s="2887">
        <f t="shared" si="0"/>
        <v>0</v>
      </c>
      <c r="S10" s="2841"/>
      <c r="T10" s="2841"/>
      <c r="U10" s="2841"/>
      <c r="V10" s="2849"/>
    </row>
    <row r="11" spans="1:22" s="2853" customFormat="1" ht="13.2" customHeight="1">
      <c r="A11" s="2888">
        <v>3</v>
      </c>
      <c r="B11" s="3693" t="s">
        <v>2359</v>
      </c>
      <c r="C11" s="3694"/>
      <c r="D11" s="2889">
        <f>D12+D14+D15+D16</f>
        <v>0</v>
      </c>
      <c r="E11" s="2895" t="e">
        <f>D11/D6</f>
        <v>#DIV/0!</v>
      </c>
      <c r="F11" s="2891"/>
      <c r="G11" s="2892"/>
      <c r="H11" s="2848"/>
      <c r="I11" s="2849"/>
      <c r="J11" s="3676"/>
      <c r="K11" s="3678"/>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6" t="s">
        <v>2362</v>
      </c>
      <c r="C12" s="3687"/>
      <c r="D12" s="2897">
        <f>ROUND(D13*1.2%*(1-30%),0)</f>
        <v>0</v>
      </c>
      <c r="E12" s="2898">
        <v>1.2E-2</v>
      </c>
      <c r="F12" s="2891" t="s">
        <v>2363</v>
      </c>
      <c r="G12" s="2892"/>
      <c r="H12" s="2848"/>
      <c r="I12" s="2849"/>
      <c r="J12" s="3676"/>
      <c r="K12" s="3678"/>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6"/>
      <c r="K13" s="3678"/>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6" t="s">
        <v>2368</v>
      </c>
      <c r="C14" s="3687"/>
      <c r="D14" s="2897">
        <f>ROUND(E14*B5/10000,0)</f>
        <v>0</v>
      </c>
      <c r="E14" s="2886"/>
      <c r="F14" s="2891" t="s">
        <v>2369</v>
      </c>
      <c r="G14" s="2892"/>
      <c r="H14" s="2848"/>
      <c r="I14" s="2849"/>
      <c r="J14" s="3676"/>
      <c r="K14" s="367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6" t="s">
        <v>2372</v>
      </c>
      <c r="C15" s="3687"/>
      <c r="D15" s="2897">
        <f>ROUND(D6*E15,0)</f>
        <v>0</v>
      </c>
      <c r="E15" s="2898">
        <v>5.5E-2</v>
      </c>
      <c r="F15" s="2891" t="s">
        <v>2373</v>
      </c>
      <c r="G15" s="2873"/>
      <c r="H15" s="2848"/>
      <c r="I15" s="2849"/>
      <c r="J15" s="3676">
        <v>2</v>
      </c>
      <c r="K15" s="367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6" t="s">
        <v>2381</v>
      </c>
      <c r="C16" s="3687"/>
      <c r="D16" s="2908">
        <f>D6*E16</f>
        <v>0</v>
      </c>
      <c r="E16" s="2909"/>
      <c r="F16" s="2894" t="s">
        <v>2382</v>
      </c>
      <c r="G16" s="2873"/>
      <c r="H16" s="2848"/>
      <c r="I16" s="2849"/>
      <c r="J16" s="3676"/>
      <c r="K16" s="3678"/>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8" t="s">
        <v>2384</v>
      </c>
      <c r="C17" s="3689"/>
      <c r="D17" s="2911">
        <f>ROUND(D6*E17,0)</f>
        <v>0</v>
      </c>
      <c r="E17" s="2912"/>
      <c r="F17" s="2913" t="s">
        <v>2385</v>
      </c>
      <c r="G17" s="2873"/>
      <c r="H17" s="2848"/>
      <c r="I17" s="2849"/>
      <c r="J17" s="3676"/>
      <c r="K17" s="3678"/>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6"/>
      <c r="K18" s="3678"/>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6"/>
      <c r="K19" s="367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6">
        <v>3</v>
      </c>
      <c r="K20" s="367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6"/>
      <c r="K21" s="3678"/>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6"/>
      <c r="K22" s="3678"/>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6"/>
      <c r="K23" s="3678"/>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6"/>
      <c r="K24" s="367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2" t="s">
        <v>2317</v>
      </c>
      <c r="K32" s="3683"/>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4" t="s">
        <v>2327</v>
      </c>
      <c r="K33" s="3685"/>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4" t="s">
        <v>2329</v>
      </c>
      <c r="K34" s="368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6">
        <v>1</v>
      </c>
      <c r="K36" s="3677"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6"/>
      <c r="K37" s="3678"/>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6"/>
      <c r="K38" s="3678"/>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6"/>
      <c r="K39" s="3678"/>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6"/>
      <c r="K40" s="3679"/>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76477</v>
      </c>
      <c r="C2" s="1872" t="s">
        <v>1651</v>
      </c>
      <c r="D2" s="1873" t="s">
        <v>1652</v>
      </c>
      <c r="E2" s="2607">
        <f>SUM(E6:E13)</f>
        <v>46810</v>
      </c>
      <c r="F2" s="2707"/>
      <c r="G2" s="1489"/>
      <c r="H2" s="1489"/>
      <c r="I2" s="1489"/>
      <c r="J2" s="1489"/>
      <c r="K2" s="1489"/>
      <c r="L2" s="1489"/>
      <c r="M2" s="1489"/>
      <c r="N2" s="1489"/>
      <c r="O2" s="1489"/>
      <c r="P2" s="1489"/>
      <c r="Q2" s="1489"/>
      <c r="R2" s="1489"/>
      <c r="S2" s="1489"/>
    </row>
    <row r="3" spans="1:22" ht="15.6">
      <c r="A3" s="1870" t="s">
        <v>686</v>
      </c>
      <c r="B3" s="2601">
        <f ca="1">ROUND(B2*10000/E2,0)</f>
        <v>16338</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5" t="s">
        <v>1654</v>
      </c>
      <c r="C5" s="3696"/>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76477</v>
      </c>
      <c r="C6" s="1872" t="s">
        <v>1651</v>
      </c>
      <c r="D6" s="2709"/>
      <c r="E6" s="2606">
        <f>IF(OR(A6=0,F6="否"),0,'数据-取费表'!K6+'数据-取费表'!S6)</f>
        <v>46810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46810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5" t="s">
        <v>1667</v>
      </c>
      <c r="D4" s="3716"/>
      <c r="E4" s="3717" t="s">
        <v>1668</v>
      </c>
      <c r="F4" s="3718"/>
      <c r="G4" s="3715" t="s">
        <v>1669</v>
      </c>
      <c r="H4" s="3716"/>
      <c r="I4" s="3715" t="s">
        <v>1670</v>
      </c>
      <c r="J4" s="3716"/>
      <c r="K4" s="1889" t="s">
        <v>1671</v>
      </c>
      <c r="L4" s="2715"/>
      <c r="M4" s="2716"/>
      <c r="N4" s="2716"/>
      <c r="O4" s="2716"/>
      <c r="P4" s="3719" t="s">
        <v>1672</v>
      </c>
      <c r="Q4" s="3720"/>
      <c r="R4" s="3725" t="s">
        <v>1668</v>
      </c>
      <c r="S4" s="3726"/>
      <c r="T4" s="3725" t="s">
        <v>1669</v>
      </c>
      <c r="U4" s="3726"/>
      <c r="V4" s="3731" t="s">
        <v>1670</v>
      </c>
      <c r="W4" s="3731"/>
      <c r="X4" s="1355"/>
      <c r="Y4" s="3725" t="s">
        <v>1672</v>
      </c>
      <c r="Z4" s="3726"/>
      <c r="AA4" s="3712" t="s">
        <v>1668</v>
      </c>
      <c r="AB4" s="3712" t="s">
        <v>1669</v>
      </c>
      <c r="AC4" s="3712" t="s">
        <v>1670</v>
      </c>
    </row>
    <row r="5" spans="1:29">
      <c r="A5" s="358"/>
      <c r="B5" s="359"/>
      <c r="C5" s="3734" t="s">
        <v>1673</v>
      </c>
      <c r="D5" s="3735"/>
      <c r="E5" s="3741" t="s">
        <v>1674</v>
      </c>
      <c r="F5" s="3742"/>
      <c r="G5" s="3734" t="s">
        <v>1675</v>
      </c>
      <c r="H5" s="3735"/>
      <c r="I5" s="3734" t="s">
        <v>1676</v>
      </c>
      <c r="J5" s="3735"/>
      <c r="K5" s="1890"/>
      <c r="L5" s="2715"/>
      <c r="M5" s="2716"/>
      <c r="N5" s="2716"/>
      <c r="O5" s="2716"/>
      <c r="P5" s="3721"/>
      <c r="Q5" s="3722"/>
      <c r="R5" s="3727"/>
      <c r="S5" s="3728"/>
      <c r="T5" s="3727"/>
      <c r="U5" s="3728"/>
      <c r="V5" s="3731"/>
      <c r="W5" s="3731"/>
      <c r="X5" s="1355"/>
      <c r="Y5" s="3727"/>
      <c r="Z5" s="3728"/>
      <c r="AA5" s="3713"/>
      <c r="AB5" s="3713"/>
      <c r="AC5" s="3713"/>
    </row>
    <row r="6" spans="1:29" ht="15" thickBot="1">
      <c r="A6" s="360"/>
      <c r="B6" s="361"/>
      <c r="C6" s="3732" t="s">
        <v>1677</v>
      </c>
      <c r="D6" s="3733"/>
      <c r="E6" s="3739" t="s">
        <v>1677</v>
      </c>
      <c r="F6" s="3740"/>
      <c r="G6" s="3732" t="s">
        <v>1677</v>
      </c>
      <c r="H6" s="3733"/>
      <c r="I6" s="3732" t="s">
        <v>1677</v>
      </c>
      <c r="J6" s="3733"/>
      <c r="K6" s="1890" t="s">
        <v>1678</v>
      </c>
      <c r="L6" s="2715"/>
      <c r="M6" s="2716"/>
      <c r="N6" s="2716"/>
      <c r="O6" s="2716"/>
      <c r="P6" s="3723"/>
      <c r="Q6" s="3724"/>
      <c r="R6" s="3727"/>
      <c r="S6" s="3728"/>
      <c r="T6" s="3729"/>
      <c r="U6" s="3730"/>
      <c r="V6" s="3731"/>
      <c r="W6" s="3731"/>
      <c r="X6" s="1355"/>
      <c r="Y6" s="3729"/>
      <c r="Z6" s="3730"/>
      <c r="AA6" s="3714"/>
      <c r="AB6" s="3714"/>
      <c r="AC6" s="3714"/>
    </row>
    <row r="7" spans="1:29" s="108" customFormat="1" ht="15" thickBot="1">
      <c r="A7" s="362" t="s">
        <v>1679</v>
      </c>
      <c r="B7" s="363"/>
      <c r="C7" s="364">
        <f>'数据-取费表'!B2</f>
        <v>45859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6" t="s">
        <v>1680</v>
      </c>
      <c r="Q7" s="3738"/>
      <c r="R7" s="701" t="s">
        <v>20</v>
      </c>
      <c r="S7" s="702">
        <f t="shared" ref="S7:S15" si="0">F7</f>
        <v>0</v>
      </c>
      <c r="T7" s="701" t="s">
        <v>20</v>
      </c>
      <c r="U7" s="702">
        <f t="shared" ref="U7:U15" si="1">H7</f>
        <v>0</v>
      </c>
      <c r="V7" s="701" t="s">
        <v>20</v>
      </c>
      <c r="W7" s="702">
        <f t="shared" ref="W7:W15" si="2">J7</f>
        <v>0</v>
      </c>
      <c r="X7" s="703"/>
      <c r="Y7" s="3736" t="s">
        <v>1680</v>
      </c>
      <c r="Z7" s="3737"/>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6" t="s">
        <v>1683</v>
      </c>
      <c r="Q8" s="3737"/>
      <c r="R8" s="701" t="s">
        <v>20</v>
      </c>
      <c r="S8" s="702">
        <f t="shared" si="0"/>
        <v>100</v>
      </c>
      <c r="T8" s="701" t="s">
        <v>20</v>
      </c>
      <c r="U8" s="702">
        <f t="shared" si="1"/>
        <v>100</v>
      </c>
      <c r="V8" s="701" t="s">
        <v>20</v>
      </c>
      <c r="W8" s="702">
        <f t="shared" si="2"/>
        <v>100</v>
      </c>
      <c r="X8" s="703"/>
      <c r="Y8" s="3736" t="s">
        <v>1683</v>
      </c>
      <c r="Z8" s="3737"/>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1"/>
      <c r="Q11" s="1343" t="str">
        <f t="shared" si="6"/>
        <v>容积率</v>
      </c>
      <c r="R11" s="701" t="s">
        <v>18</v>
      </c>
      <c r="S11" s="702" t="e">
        <f t="shared" si="0"/>
        <v>#N/A</v>
      </c>
      <c r="T11" s="701" t="s">
        <v>18</v>
      </c>
      <c r="U11" s="702" t="e">
        <f t="shared" si="1"/>
        <v>#N/A</v>
      </c>
      <c r="V11" s="701" t="s">
        <v>18</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1"/>
      <c r="Q12" s="1343">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1"/>
      <c r="Q13" s="1343">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1"/>
      <c r="Q14" s="1343">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2025-7</v>
      </c>
      <c r="D58" s="1185">
        <f>EDATE(C58,-1)</f>
        <v>45809</v>
      </c>
      <c r="E58" s="1185">
        <f>EDATE(D58,-1)</f>
        <v>45778</v>
      </c>
      <c r="F58" s="1185">
        <f t="shared" ref="F58:O58" si="19">EDATE(E58,-1)</f>
        <v>45748</v>
      </c>
      <c r="G58" s="1185">
        <f t="shared" si="19"/>
        <v>45717</v>
      </c>
      <c r="H58" s="1185">
        <f t="shared" si="19"/>
        <v>45689</v>
      </c>
      <c r="I58" s="1185">
        <f t="shared" si="19"/>
        <v>45658</v>
      </c>
      <c r="J58" s="1185">
        <f t="shared" si="19"/>
        <v>45627</v>
      </c>
      <c r="K58" s="1185">
        <f t="shared" si="19"/>
        <v>45597</v>
      </c>
      <c r="L58" s="1185">
        <f t="shared" si="19"/>
        <v>45566</v>
      </c>
      <c r="M58" s="1185">
        <f t="shared" si="19"/>
        <v>45536</v>
      </c>
      <c r="N58" s="1185">
        <f t="shared" si="19"/>
        <v>45505</v>
      </c>
      <c r="O58" s="1185">
        <f t="shared" si="19"/>
        <v>45474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46810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31" t="s">
        <v>1772</v>
      </c>
      <c r="AC4" s="3712" t="s">
        <v>1773</v>
      </c>
    </row>
    <row r="5" spans="1:29">
      <c r="A5" s="358"/>
      <c r="B5" s="359"/>
      <c r="C5" s="3734" t="s">
        <v>1673</v>
      </c>
      <c r="D5" s="3735"/>
      <c r="E5" s="3741" t="s">
        <v>1674</v>
      </c>
      <c r="F5" s="3742"/>
      <c r="G5" s="3734" t="s">
        <v>1675</v>
      </c>
      <c r="H5" s="3735"/>
      <c r="I5" s="3734" t="s">
        <v>1676</v>
      </c>
      <c r="J5" s="3735"/>
      <c r="K5" s="559"/>
      <c r="L5" s="2715"/>
      <c r="M5" s="2716"/>
      <c r="N5" s="2716"/>
      <c r="O5" s="2716"/>
      <c r="P5" s="3721"/>
      <c r="Q5" s="3722"/>
      <c r="R5" s="3727"/>
      <c r="S5" s="3728"/>
      <c r="T5" s="3727"/>
      <c r="U5" s="3728"/>
      <c r="V5" s="3731"/>
      <c r="W5" s="3731"/>
      <c r="X5" s="1355"/>
      <c r="Y5" s="3727"/>
      <c r="Z5" s="3728"/>
      <c r="AA5" s="3713"/>
      <c r="AB5" s="3731"/>
      <c r="AC5" s="3713"/>
    </row>
    <row r="6" spans="1:29" ht="15" thickBot="1">
      <c r="A6" s="360"/>
      <c r="B6" s="361"/>
      <c r="C6" s="3732" t="s">
        <v>1677</v>
      </c>
      <c r="D6" s="3733"/>
      <c r="E6" s="3739" t="s">
        <v>1677</v>
      </c>
      <c r="F6" s="3740"/>
      <c r="G6" s="3732" t="s">
        <v>1677</v>
      </c>
      <c r="H6" s="3733"/>
      <c r="I6" s="3732" t="s">
        <v>1677</v>
      </c>
      <c r="J6" s="3733"/>
      <c r="K6" s="559" t="s">
        <v>1678</v>
      </c>
      <c r="L6" s="2715"/>
      <c r="M6" s="2716"/>
      <c r="N6" s="2716"/>
      <c r="O6" s="2716"/>
      <c r="P6" s="3723"/>
      <c r="Q6" s="3724"/>
      <c r="R6" s="3727"/>
      <c r="S6" s="3728"/>
      <c r="T6" s="3729"/>
      <c r="U6" s="3730"/>
      <c r="V6" s="3731"/>
      <c r="W6" s="3731"/>
      <c r="X6" s="1355"/>
      <c r="Y6" s="3729"/>
      <c r="Z6" s="3730"/>
      <c r="AA6" s="3714"/>
      <c r="AB6" s="3731"/>
      <c r="AC6" s="3714"/>
    </row>
    <row r="7" spans="1:29" s="108" customFormat="1" ht="15" thickBot="1">
      <c r="A7" s="362" t="s">
        <v>1679</v>
      </c>
      <c r="B7" s="363"/>
      <c r="C7" s="364">
        <f>'数据-取费表'!B2</f>
        <v>45859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6" t="s">
        <v>1683</v>
      </c>
      <c r="Q8" s="3737"/>
      <c r="R8" s="701" t="s">
        <v>14</v>
      </c>
      <c r="S8" s="702">
        <f t="shared" si="0"/>
        <v>100</v>
      </c>
      <c r="T8" s="701" t="s">
        <v>14</v>
      </c>
      <c r="U8" s="702">
        <f t="shared" si="1"/>
        <v>100</v>
      </c>
      <c r="V8" s="701" t="s">
        <v>14</v>
      </c>
      <c r="W8" s="702">
        <f t="shared" si="2"/>
        <v>100</v>
      </c>
      <c r="X8" s="703"/>
      <c r="Y8" s="3736" t="s">
        <v>1683</v>
      </c>
      <c r="Z8" s="373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1"/>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731">
        <f>E47</f>
        <v>0</v>
      </c>
      <c r="S47" s="3731"/>
      <c r="T47" s="3731">
        <f>G47</f>
        <v>0</v>
      </c>
      <c r="U47" s="3731"/>
      <c r="V47" s="3731">
        <f>I47</f>
        <v>0</v>
      </c>
      <c r="W47" s="373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2025-7</v>
      </c>
      <c r="D58" s="1185">
        <f>EDATE(C58,-1)</f>
        <v>45809</v>
      </c>
      <c r="E58" s="1185">
        <f t="shared" ref="E58:N58" si="16">EDATE(D58,-1)</f>
        <v>45778</v>
      </c>
      <c r="F58" s="1185">
        <f t="shared" si="16"/>
        <v>45748</v>
      </c>
      <c r="G58" s="1185">
        <f t="shared" si="16"/>
        <v>45717</v>
      </c>
      <c r="H58" s="1185">
        <f t="shared" si="16"/>
        <v>45689</v>
      </c>
      <c r="I58" s="1185">
        <f t="shared" si="16"/>
        <v>45658</v>
      </c>
      <c r="J58" s="1185">
        <f t="shared" si="16"/>
        <v>45627</v>
      </c>
      <c r="K58" s="1185">
        <f t="shared" si="16"/>
        <v>45597</v>
      </c>
      <c r="L58" s="1185">
        <f t="shared" si="16"/>
        <v>45566</v>
      </c>
      <c r="M58" s="1185">
        <f t="shared" si="16"/>
        <v>45536</v>
      </c>
      <c r="N58" s="1185">
        <f t="shared" si="16"/>
        <v>45505</v>
      </c>
      <c r="O58" s="1185">
        <f>EDATE(N58,-1)</f>
        <v>45474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46810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49" t="s">
        <v>1775</v>
      </c>
      <c r="Q4" s="3750"/>
      <c r="R4" s="3753" t="s">
        <v>1771</v>
      </c>
      <c r="S4" s="3754"/>
      <c r="T4" s="3753" t="s">
        <v>1772</v>
      </c>
      <c r="U4" s="3754"/>
      <c r="V4" s="3755" t="s">
        <v>1773</v>
      </c>
      <c r="W4" s="3755"/>
      <c r="X4" s="1958"/>
      <c r="Y4" s="3753" t="s">
        <v>1775</v>
      </c>
      <c r="Z4" s="3754"/>
      <c r="AA4" s="3757" t="s">
        <v>1771</v>
      </c>
      <c r="AB4" s="3757" t="s">
        <v>1772</v>
      </c>
      <c r="AC4" s="3746" t="s">
        <v>1773</v>
      </c>
    </row>
    <row r="5" spans="1:29">
      <c r="A5" s="358"/>
      <c r="B5" s="359"/>
      <c r="C5" s="3734" t="s">
        <v>1673</v>
      </c>
      <c r="D5" s="3735"/>
      <c r="E5" s="3741" t="s">
        <v>1674</v>
      </c>
      <c r="F5" s="3742"/>
      <c r="G5" s="3734" t="s">
        <v>1675</v>
      </c>
      <c r="H5" s="3735"/>
      <c r="I5" s="3734" t="s">
        <v>1676</v>
      </c>
      <c r="J5" s="3735"/>
      <c r="K5" s="559"/>
      <c r="L5" s="2715"/>
      <c r="M5" s="2716"/>
      <c r="N5" s="2716"/>
      <c r="O5" s="2716"/>
      <c r="P5" s="3751"/>
      <c r="Q5" s="3722"/>
      <c r="R5" s="3727"/>
      <c r="S5" s="3728"/>
      <c r="T5" s="3727"/>
      <c r="U5" s="3728"/>
      <c r="V5" s="3731"/>
      <c r="W5" s="3731"/>
      <c r="X5" s="1355"/>
      <c r="Y5" s="3727"/>
      <c r="Z5" s="3728"/>
      <c r="AA5" s="3713"/>
      <c r="AB5" s="3713"/>
      <c r="AC5" s="3747"/>
    </row>
    <row r="6" spans="1:29" ht="15" thickBot="1">
      <c r="A6" s="360"/>
      <c r="B6" s="361"/>
      <c r="C6" s="3732" t="s">
        <v>1677</v>
      </c>
      <c r="D6" s="3733"/>
      <c r="E6" s="3739" t="s">
        <v>1677</v>
      </c>
      <c r="F6" s="3740"/>
      <c r="G6" s="3732" t="s">
        <v>1677</v>
      </c>
      <c r="H6" s="3733"/>
      <c r="I6" s="3732" t="s">
        <v>1677</v>
      </c>
      <c r="J6" s="3733"/>
      <c r="K6" s="559" t="s">
        <v>1678</v>
      </c>
      <c r="L6" s="2715"/>
      <c r="M6" s="2716"/>
      <c r="N6" s="2716"/>
      <c r="O6" s="2716"/>
      <c r="P6" s="3752"/>
      <c r="Q6" s="3724"/>
      <c r="R6" s="3727"/>
      <c r="S6" s="3728"/>
      <c r="T6" s="3729"/>
      <c r="U6" s="3730"/>
      <c r="V6" s="3731"/>
      <c r="W6" s="3731"/>
      <c r="X6" s="1355"/>
      <c r="Y6" s="3729"/>
      <c r="Z6" s="3730"/>
      <c r="AA6" s="3714"/>
      <c r="AB6" s="3714"/>
      <c r="AC6" s="3748"/>
    </row>
    <row r="7" spans="1:29" s="108" customFormat="1" ht="15" thickBot="1">
      <c r="A7" s="362" t="s">
        <v>1679</v>
      </c>
      <c r="B7" s="363"/>
      <c r="C7" s="364">
        <f>'数据-取费表'!B2</f>
        <v>45859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6" t="s">
        <v>1683</v>
      </c>
      <c r="Q8" s="3737"/>
      <c r="R8" s="701" t="s">
        <v>14</v>
      </c>
      <c r="S8" s="702">
        <f t="shared" si="0"/>
        <v>100</v>
      </c>
      <c r="T8" s="701" t="s">
        <v>14</v>
      </c>
      <c r="U8" s="702">
        <f t="shared" si="1"/>
        <v>100</v>
      </c>
      <c r="V8" s="701" t="s">
        <v>14</v>
      </c>
      <c r="W8" s="702">
        <f t="shared" si="2"/>
        <v>100</v>
      </c>
      <c r="X8" s="703"/>
      <c r="Y8" s="3736" t="s">
        <v>1683</v>
      </c>
      <c r="Z8" s="373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1"/>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1" t="str">
        <f>A48</f>
        <v>成交单价（元/平方米）</v>
      </c>
      <c r="Q48" s="3700"/>
      <c r="R48" s="3701">
        <f>E48</f>
        <v>0</v>
      </c>
      <c r="S48" s="3701"/>
      <c r="T48" s="3701">
        <f>G48</f>
        <v>0</v>
      </c>
      <c r="U48" s="3701"/>
      <c r="V48" s="3701">
        <f>I48</f>
        <v>0</v>
      </c>
      <c r="W48" s="370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1"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2025-7</v>
      </c>
      <c r="D59" s="1185">
        <f>EDATE(C59,-1)</f>
        <v>45809</v>
      </c>
      <c r="E59" s="1185">
        <f>EDATE(D59,-1)</f>
        <v>45778</v>
      </c>
      <c r="F59" s="1185">
        <f t="shared" ref="F59:O59" si="16">EDATE(E59,-1)</f>
        <v>45748</v>
      </c>
      <c r="G59" s="1185">
        <f t="shared" si="16"/>
        <v>45717</v>
      </c>
      <c r="H59" s="1185">
        <f t="shared" si="16"/>
        <v>45689</v>
      </c>
      <c r="I59" s="1185">
        <f t="shared" si="16"/>
        <v>45658</v>
      </c>
      <c r="J59" s="1185">
        <f t="shared" si="16"/>
        <v>45627</v>
      </c>
      <c r="K59" s="1185">
        <f t="shared" si="16"/>
        <v>45597</v>
      </c>
      <c r="L59" s="1185">
        <f t="shared" si="16"/>
        <v>45566</v>
      </c>
      <c r="M59" s="1185">
        <f t="shared" si="16"/>
        <v>45536</v>
      </c>
      <c r="N59" s="1185">
        <f t="shared" si="16"/>
        <v>45505</v>
      </c>
      <c r="O59" s="1185">
        <f t="shared" si="16"/>
        <v>45474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46810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913"/>
      <c r="M4" s="914"/>
      <c r="N4" s="914"/>
      <c r="O4" s="914"/>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c r="A5" s="358"/>
      <c r="B5" s="359"/>
      <c r="C5" s="3734" t="s">
        <v>1673</v>
      </c>
      <c r="D5" s="3735"/>
      <c r="E5" s="3741" t="s">
        <v>1674</v>
      </c>
      <c r="F5" s="3742"/>
      <c r="G5" s="3734" t="s">
        <v>1675</v>
      </c>
      <c r="H5" s="3735"/>
      <c r="I5" s="3734" t="s">
        <v>1676</v>
      </c>
      <c r="J5" s="3735"/>
      <c r="K5" s="559"/>
      <c r="L5" s="913"/>
      <c r="M5" s="914"/>
      <c r="N5" s="914"/>
      <c r="O5" s="914"/>
      <c r="P5" s="3721"/>
      <c r="Q5" s="3722"/>
      <c r="R5" s="3727"/>
      <c r="S5" s="3728"/>
      <c r="T5" s="3727"/>
      <c r="U5" s="3728"/>
      <c r="V5" s="3731"/>
      <c r="W5" s="3731"/>
      <c r="X5" s="1355"/>
      <c r="Y5" s="3727"/>
      <c r="Z5" s="3728"/>
      <c r="AA5" s="3713"/>
      <c r="AB5" s="3713"/>
      <c r="AC5" s="3713"/>
    </row>
    <row r="6" spans="1:29" ht="15" thickBot="1">
      <c r="A6" s="360"/>
      <c r="B6" s="361"/>
      <c r="C6" s="3732" t="s">
        <v>1677</v>
      </c>
      <c r="D6" s="3733"/>
      <c r="E6" s="3739" t="s">
        <v>1677</v>
      </c>
      <c r="F6" s="3740"/>
      <c r="G6" s="3732" t="s">
        <v>1677</v>
      </c>
      <c r="H6" s="3733"/>
      <c r="I6" s="3732" t="s">
        <v>1677</v>
      </c>
      <c r="J6" s="3733"/>
      <c r="K6" s="559" t="s">
        <v>1678</v>
      </c>
      <c r="L6" s="913"/>
      <c r="M6" s="914"/>
      <c r="N6" s="914"/>
      <c r="O6" s="914"/>
      <c r="P6" s="3723"/>
      <c r="Q6" s="3724"/>
      <c r="R6" s="3727"/>
      <c r="S6" s="3728"/>
      <c r="T6" s="3729"/>
      <c r="U6" s="3730"/>
      <c r="V6" s="3731"/>
      <c r="W6" s="3731"/>
      <c r="X6" s="1355"/>
      <c r="Y6" s="3729"/>
      <c r="Z6" s="3730"/>
      <c r="AA6" s="3714"/>
      <c r="AB6" s="3714"/>
      <c r="AC6" s="3714"/>
    </row>
    <row r="7" spans="1:29" s="108" customFormat="1" ht="15" thickBot="1">
      <c r="A7" s="362" t="s">
        <v>1679</v>
      </c>
      <c r="B7" s="363"/>
      <c r="C7" s="364">
        <f>'数据-取费表'!B2</f>
        <v>45859</v>
      </c>
      <c r="D7" s="365">
        <v>100</v>
      </c>
      <c r="E7" s="366"/>
      <c r="F7" s="367">
        <f>SUMIF(52:52,YEAR(E7)&amp;"-"&amp;MONTH(E7),53:53)</f>
        <v>0</v>
      </c>
      <c r="G7" s="366"/>
      <c r="H7" s="365">
        <f>SUMIF(52:52,YEAR(G7)&amp;"-"&amp;MONTH(G7),53:53)</f>
        <v>0</v>
      </c>
      <c r="I7" s="366"/>
      <c r="J7" s="365">
        <f>SUMIF(52:52,YEAR(I7)&amp;"-"&amp;MONTH(I7),53:53)</f>
        <v>0</v>
      </c>
      <c r="K7" s="560"/>
      <c r="L7" s="915"/>
      <c r="M7" s="916"/>
      <c r="N7" s="916"/>
      <c r="O7" s="916"/>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6" t="s">
        <v>1683</v>
      </c>
      <c r="Q8" s="3737"/>
      <c r="R8" s="701" t="s">
        <v>14</v>
      </c>
      <c r="S8" s="702">
        <f t="shared" si="0"/>
        <v>100</v>
      </c>
      <c r="T8" s="701" t="s">
        <v>14</v>
      </c>
      <c r="U8" s="702">
        <f t="shared" si="1"/>
        <v>100</v>
      </c>
      <c r="V8" s="701" t="s">
        <v>14</v>
      </c>
      <c r="W8" s="702">
        <f t="shared" si="2"/>
        <v>100</v>
      </c>
      <c r="X8" s="703"/>
      <c r="Y8" s="3736" t="s">
        <v>1683</v>
      </c>
      <c r="Z8" s="373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2025-7</v>
      </c>
      <c r="D52" s="1185">
        <f>EDATE(C52,-1)</f>
        <v>45809</v>
      </c>
      <c r="E52" s="1185">
        <f t="shared" ref="E52:O52" si="16">EDATE(D52,-1)</f>
        <v>45778</v>
      </c>
      <c r="F52" s="1185">
        <f t="shared" si="16"/>
        <v>45748</v>
      </c>
      <c r="G52" s="1185">
        <f t="shared" si="16"/>
        <v>45717</v>
      </c>
      <c r="H52" s="1185">
        <f t="shared" si="16"/>
        <v>45689</v>
      </c>
      <c r="I52" s="1185">
        <f t="shared" si="16"/>
        <v>45658</v>
      </c>
      <c r="J52" s="1185">
        <f t="shared" si="16"/>
        <v>45627</v>
      </c>
      <c r="K52" s="1185">
        <f t="shared" si="16"/>
        <v>45597</v>
      </c>
      <c r="L52" s="1185">
        <f t="shared" si="16"/>
        <v>45566</v>
      </c>
      <c r="M52" s="1185">
        <f t="shared" si="16"/>
        <v>45536</v>
      </c>
      <c r="N52" s="1185">
        <f t="shared" si="16"/>
        <v>45505</v>
      </c>
      <c r="O52" s="1185">
        <f t="shared" si="16"/>
        <v>45474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c r="A5" s="358"/>
      <c r="B5" s="359"/>
      <c r="C5" s="3734" t="s">
        <v>1673</v>
      </c>
      <c r="D5" s="3735"/>
      <c r="E5" s="3741" t="s">
        <v>1674</v>
      </c>
      <c r="F5" s="3742"/>
      <c r="G5" s="3734" t="s">
        <v>1675</v>
      </c>
      <c r="H5" s="3735"/>
      <c r="I5" s="3734" t="s">
        <v>1676</v>
      </c>
      <c r="J5" s="3735"/>
      <c r="K5" s="559"/>
      <c r="L5" s="2715"/>
      <c r="M5" s="2716"/>
      <c r="N5" s="2716"/>
      <c r="O5" s="2716"/>
      <c r="P5" s="3721"/>
      <c r="Q5" s="3722"/>
      <c r="R5" s="3727"/>
      <c r="S5" s="3728"/>
      <c r="T5" s="3727"/>
      <c r="U5" s="3728"/>
      <c r="V5" s="3731"/>
      <c r="W5" s="3731"/>
      <c r="X5" s="1355"/>
      <c r="Y5" s="3727"/>
      <c r="Z5" s="3728"/>
      <c r="AA5" s="3713"/>
      <c r="AB5" s="3713"/>
      <c r="AC5" s="3713"/>
    </row>
    <row r="6" spans="1:29" ht="15" thickBot="1">
      <c r="A6" s="360"/>
      <c r="B6" s="361"/>
      <c r="C6" s="3732" t="s">
        <v>1677</v>
      </c>
      <c r="D6" s="3733"/>
      <c r="E6" s="3739" t="s">
        <v>1677</v>
      </c>
      <c r="F6" s="3740"/>
      <c r="G6" s="3732" t="s">
        <v>1677</v>
      </c>
      <c r="H6" s="3733"/>
      <c r="I6" s="3732" t="s">
        <v>1677</v>
      </c>
      <c r="J6" s="3733"/>
      <c r="K6" s="559" t="s">
        <v>1678</v>
      </c>
      <c r="L6" s="2715"/>
      <c r="M6" s="2716"/>
      <c r="N6" s="2716"/>
      <c r="O6" s="2716"/>
      <c r="P6" s="3723"/>
      <c r="Q6" s="3724"/>
      <c r="R6" s="3727"/>
      <c r="S6" s="3728"/>
      <c r="T6" s="3729"/>
      <c r="U6" s="3730"/>
      <c r="V6" s="3731"/>
      <c r="W6" s="3731"/>
      <c r="X6" s="1355"/>
      <c r="Y6" s="3729"/>
      <c r="Z6" s="3730"/>
      <c r="AA6" s="3714"/>
      <c r="AB6" s="3714"/>
      <c r="AC6" s="3714"/>
    </row>
    <row r="7" spans="1:29" s="108" customFormat="1" ht="15" thickBot="1">
      <c r="A7" s="362" t="s">
        <v>1679</v>
      </c>
      <c r="B7" s="363"/>
      <c r="C7" s="364">
        <f>'数据-取费表'!B2</f>
        <v>45859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6" t="s">
        <v>1683</v>
      </c>
      <c r="Q8" s="3737"/>
      <c r="R8" s="701" t="s">
        <v>14</v>
      </c>
      <c r="S8" s="702">
        <f t="shared" si="0"/>
        <v>100</v>
      </c>
      <c r="T8" s="701" t="s">
        <v>14</v>
      </c>
      <c r="U8" s="702">
        <f t="shared" si="1"/>
        <v>100</v>
      </c>
      <c r="V8" s="701" t="s">
        <v>14</v>
      </c>
      <c r="W8" s="702">
        <f t="shared" si="2"/>
        <v>100</v>
      </c>
      <c r="X8" s="703"/>
      <c r="Y8" s="3736" t="s">
        <v>1683</v>
      </c>
      <c r="Z8" s="373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2025-7</v>
      </c>
      <c r="D48" s="1185">
        <f>EDATE(C48,-1)</f>
        <v>45809</v>
      </c>
      <c r="E48" s="1185">
        <f t="shared" ref="E48:O48" si="16">EDATE(D48,-1)</f>
        <v>45778</v>
      </c>
      <c r="F48" s="1185">
        <f t="shared" si="16"/>
        <v>45748</v>
      </c>
      <c r="G48" s="1185">
        <f t="shared" si="16"/>
        <v>45717</v>
      </c>
      <c r="H48" s="1185">
        <f t="shared" si="16"/>
        <v>45689</v>
      </c>
      <c r="I48" s="1185">
        <f t="shared" si="16"/>
        <v>45658</v>
      </c>
      <c r="J48" s="1185">
        <f t="shared" si="16"/>
        <v>45627</v>
      </c>
      <c r="K48" s="1185">
        <f t="shared" si="16"/>
        <v>45597</v>
      </c>
      <c r="L48" s="1185">
        <f t="shared" si="16"/>
        <v>45566</v>
      </c>
      <c r="M48" s="1185">
        <f t="shared" si="16"/>
        <v>45536</v>
      </c>
      <c r="N48" s="1185">
        <f t="shared" si="16"/>
        <v>45505</v>
      </c>
      <c r="O48" s="1185">
        <f t="shared" si="16"/>
        <v>45474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估价对象为北京市房地产，为所有。根据《国有土地使用证》[]，估价对象（分摊）出让国有建设用地使用权面积为19949.16平方米，建筑面积为46810平方米。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估价对象为北京市房地产,属开发建设的，该项目尚在开发建设中。根据《国有土地使用证》[]，估价对象（分摊）出让国有建设用地使用权面积为19949.16平方米，规划建筑面积为46810平方米。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2025年7月21日（评估专业人员实地查勘之日）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c r="A5" s="358"/>
      <c r="B5" s="359"/>
      <c r="C5" s="3734" t="s">
        <v>1673</v>
      </c>
      <c r="D5" s="3735"/>
      <c r="E5" s="3741" t="s">
        <v>1674</v>
      </c>
      <c r="F5" s="3742"/>
      <c r="G5" s="3734" t="s">
        <v>1675</v>
      </c>
      <c r="H5" s="3735"/>
      <c r="I5" s="3734" t="s">
        <v>1676</v>
      </c>
      <c r="J5" s="3735"/>
      <c r="K5" s="559"/>
      <c r="L5" s="2715"/>
      <c r="M5" s="2716"/>
      <c r="N5" s="2716"/>
      <c r="O5" s="2716"/>
      <c r="P5" s="3721"/>
      <c r="Q5" s="3722"/>
      <c r="R5" s="3727"/>
      <c r="S5" s="3728"/>
      <c r="T5" s="3727"/>
      <c r="U5" s="3728"/>
      <c r="V5" s="3731"/>
      <c r="W5" s="3731"/>
      <c r="X5" s="1355"/>
      <c r="Y5" s="3727"/>
      <c r="Z5" s="3728"/>
      <c r="AA5" s="3713"/>
      <c r="AB5" s="3713"/>
      <c r="AC5" s="3713"/>
    </row>
    <row r="6" spans="1:29" ht="15" thickBot="1">
      <c r="A6" s="360"/>
      <c r="B6" s="361"/>
      <c r="C6" s="3732" t="s">
        <v>1677</v>
      </c>
      <c r="D6" s="3733"/>
      <c r="E6" s="3739" t="s">
        <v>1677</v>
      </c>
      <c r="F6" s="3740"/>
      <c r="G6" s="3732" t="s">
        <v>1677</v>
      </c>
      <c r="H6" s="3733"/>
      <c r="I6" s="3732" t="s">
        <v>1677</v>
      </c>
      <c r="J6" s="3733"/>
      <c r="K6" s="559" t="s">
        <v>1678</v>
      </c>
      <c r="L6" s="2715"/>
      <c r="M6" s="2716"/>
      <c r="N6" s="2716"/>
      <c r="O6" s="2716"/>
      <c r="P6" s="3723"/>
      <c r="Q6" s="3724"/>
      <c r="R6" s="3727"/>
      <c r="S6" s="3728"/>
      <c r="T6" s="3729"/>
      <c r="U6" s="3730"/>
      <c r="V6" s="3731"/>
      <c r="W6" s="3731"/>
      <c r="X6" s="1355"/>
      <c r="Y6" s="3729"/>
      <c r="Z6" s="3730"/>
      <c r="AA6" s="3714"/>
      <c r="AB6" s="3714"/>
      <c r="AC6" s="3714"/>
    </row>
    <row r="7" spans="1:29" s="108" customFormat="1" ht="15" thickBot="1">
      <c r="A7" s="362" t="s">
        <v>1679</v>
      </c>
      <c r="B7" s="363"/>
      <c r="C7" s="364">
        <f>'数据-取费表'!B2</f>
        <v>45859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6" t="s">
        <v>1683</v>
      </c>
      <c r="Q8" s="3737"/>
      <c r="R8" s="701" t="s">
        <v>14</v>
      </c>
      <c r="S8" s="702">
        <f t="shared" si="0"/>
        <v>100</v>
      </c>
      <c r="T8" s="701" t="s">
        <v>14</v>
      </c>
      <c r="U8" s="702">
        <f t="shared" si="1"/>
        <v>100</v>
      </c>
      <c r="V8" s="701" t="s">
        <v>14</v>
      </c>
      <c r="W8" s="702">
        <f t="shared" si="2"/>
        <v>100</v>
      </c>
      <c r="X8" s="703"/>
      <c r="Y8" s="3736" t="s">
        <v>1683</v>
      </c>
      <c r="Z8" s="373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2025-7</v>
      </c>
      <c r="D46" s="1185">
        <f>EDATE(C46,-1)</f>
        <v>45809</v>
      </c>
      <c r="E46" s="1185">
        <f t="shared" ref="E46:O46" si="16">EDATE(D46,-1)</f>
        <v>45778</v>
      </c>
      <c r="F46" s="1185">
        <f t="shared" si="16"/>
        <v>45748</v>
      </c>
      <c r="G46" s="1185">
        <f t="shared" si="16"/>
        <v>45717</v>
      </c>
      <c r="H46" s="1185">
        <f t="shared" si="16"/>
        <v>45689</v>
      </c>
      <c r="I46" s="1185">
        <f t="shared" si="16"/>
        <v>45658</v>
      </c>
      <c r="J46" s="1185">
        <f t="shared" si="16"/>
        <v>45627</v>
      </c>
      <c r="K46" s="1185">
        <f t="shared" si="16"/>
        <v>45597</v>
      </c>
      <c r="L46" s="1185">
        <f t="shared" si="16"/>
        <v>45566</v>
      </c>
      <c r="M46" s="1185">
        <f t="shared" si="16"/>
        <v>45536</v>
      </c>
      <c r="N46" s="1185">
        <f t="shared" si="16"/>
        <v>45505</v>
      </c>
      <c r="O46" s="1185">
        <f t="shared" si="16"/>
        <v>45474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30">
      <c r="A5" s="358"/>
      <c r="B5" s="359"/>
      <c r="C5" s="3734" t="s">
        <v>1673</v>
      </c>
      <c r="D5" s="3735"/>
      <c r="E5" s="3741" t="s">
        <v>1674</v>
      </c>
      <c r="F5" s="3742"/>
      <c r="G5" s="3734" t="s">
        <v>1675</v>
      </c>
      <c r="H5" s="3735"/>
      <c r="I5" s="3734" t="s">
        <v>1676</v>
      </c>
      <c r="J5" s="3735"/>
      <c r="K5" s="559"/>
      <c r="L5" s="2715"/>
      <c r="M5" s="2716"/>
      <c r="N5" s="2716"/>
      <c r="O5" s="2716"/>
      <c r="P5" s="3721"/>
      <c r="Q5" s="3722"/>
      <c r="R5" s="3727"/>
      <c r="S5" s="3728"/>
      <c r="T5" s="3727"/>
      <c r="U5" s="3728"/>
      <c r="V5" s="3731"/>
      <c r="W5" s="3731"/>
      <c r="X5" s="1355"/>
      <c r="Y5" s="3727"/>
      <c r="Z5" s="3728"/>
      <c r="AA5" s="3713"/>
      <c r="AB5" s="3713"/>
      <c r="AC5" s="3713"/>
    </row>
    <row r="6" spans="1:30" ht="15" thickBot="1">
      <c r="A6" s="360"/>
      <c r="B6" s="361"/>
      <c r="C6" s="3732" t="s">
        <v>1677</v>
      </c>
      <c r="D6" s="3733"/>
      <c r="E6" s="3739" t="s">
        <v>1677</v>
      </c>
      <c r="F6" s="3740"/>
      <c r="G6" s="3732" t="s">
        <v>1677</v>
      </c>
      <c r="H6" s="3733"/>
      <c r="I6" s="3732" t="s">
        <v>1677</v>
      </c>
      <c r="J6" s="3733"/>
      <c r="K6" s="559" t="s">
        <v>1678</v>
      </c>
      <c r="L6" s="2715"/>
      <c r="M6" s="2716"/>
      <c r="N6" s="2716"/>
      <c r="O6" s="2716"/>
      <c r="P6" s="3723"/>
      <c r="Q6" s="3724"/>
      <c r="R6" s="3727"/>
      <c r="S6" s="3728"/>
      <c r="T6" s="3729"/>
      <c r="U6" s="3730"/>
      <c r="V6" s="3731"/>
      <c r="W6" s="3731"/>
      <c r="X6" s="1355"/>
      <c r="Y6" s="3729"/>
      <c r="Z6" s="3730"/>
      <c r="AA6" s="3714"/>
      <c r="AB6" s="3714"/>
      <c r="AC6" s="3714"/>
    </row>
    <row r="7" spans="1:30" s="108" customFormat="1" ht="15" thickBot="1">
      <c r="A7" s="362" t="s">
        <v>1679</v>
      </c>
      <c r="B7" s="363"/>
      <c r="C7" s="364">
        <f>'数据-取费表'!B2</f>
        <v>45859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6" t="s">
        <v>1683</v>
      </c>
      <c r="Q8" s="3737"/>
      <c r="R8" s="701" t="s">
        <v>14</v>
      </c>
      <c r="S8" s="702">
        <f t="shared" si="0"/>
        <v>0</v>
      </c>
      <c r="T8" s="701" t="s">
        <v>14</v>
      </c>
      <c r="U8" s="702">
        <f t="shared" si="1"/>
        <v>0</v>
      </c>
      <c r="V8" s="701" t="s">
        <v>14</v>
      </c>
      <c r="W8" s="702">
        <f t="shared" si="2"/>
        <v>0</v>
      </c>
      <c r="X8" s="703"/>
      <c r="Y8" s="3736" t="s">
        <v>1683</v>
      </c>
      <c r="Z8" s="373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731">
        <f>E46</f>
        <v>0</v>
      </c>
      <c r="S46" s="3731"/>
      <c r="T46" s="3731">
        <f>G46</f>
        <v>0</v>
      </c>
      <c r="U46" s="3731"/>
      <c r="V46" s="3731">
        <f>I46</f>
        <v>0</v>
      </c>
      <c r="W46" s="373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61" t="e">
        <f>ROUND(IF(D47="简单平均",AVERAGE(R47:W47),R47*F47+T47*H47+V47*J47),0)</f>
        <v>#DIV/0!</v>
      </c>
      <c r="S48" s="3761"/>
      <c r="T48" s="3761"/>
      <c r="U48" s="3761"/>
      <c r="V48" s="3761"/>
      <c r="W48" s="37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5" t="s">
        <v>1887</v>
      </c>
      <c r="H55" s="376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46810</v>
      </c>
      <c r="F56" s="886" t="e">
        <f t="shared" ref="F56:F64" si="15">ROUND(B56*E56/10000,0)</f>
        <v>#DIV/0!</v>
      </c>
      <c r="G56" s="3711"/>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SUMIF(修正!A59:A70,H62,修正!G59:G70)</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46810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c r="A5" s="358"/>
      <c r="B5" s="359"/>
      <c r="C5" s="3734" t="s">
        <v>1673</v>
      </c>
      <c r="D5" s="3735"/>
      <c r="E5" s="3741" t="s">
        <v>1674</v>
      </c>
      <c r="F5" s="3742"/>
      <c r="G5" s="3734" t="s">
        <v>1675</v>
      </c>
      <c r="H5" s="3735"/>
      <c r="I5" s="3734" t="s">
        <v>1676</v>
      </c>
      <c r="J5" s="3735"/>
      <c r="K5" s="559"/>
      <c r="L5" s="2715"/>
      <c r="M5" s="2716"/>
      <c r="N5" s="2716"/>
      <c r="O5" s="2716"/>
      <c r="P5" s="3721"/>
      <c r="Q5" s="3722"/>
      <c r="R5" s="3727"/>
      <c r="S5" s="3728"/>
      <c r="T5" s="3727"/>
      <c r="U5" s="3728"/>
      <c r="V5" s="3731"/>
      <c r="W5" s="3731"/>
      <c r="X5" s="1355"/>
      <c r="Y5" s="3727"/>
      <c r="Z5" s="3728"/>
      <c r="AA5" s="3713"/>
      <c r="AB5" s="3713"/>
      <c r="AC5" s="3713"/>
    </row>
    <row r="6" spans="1:29" ht="15" thickBot="1">
      <c r="A6" s="360"/>
      <c r="B6" s="361"/>
      <c r="C6" s="3763" t="s">
        <v>1919</v>
      </c>
      <c r="D6" s="3764"/>
      <c r="E6" s="3765" t="s">
        <v>1919</v>
      </c>
      <c r="F6" s="3766"/>
      <c r="G6" s="3763" t="s">
        <v>1919</v>
      </c>
      <c r="H6" s="3764"/>
      <c r="I6" s="3763" t="s">
        <v>1919</v>
      </c>
      <c r="J6" s="3764"/>
      <c r="K6" s="559" t="s">
        <v>1678</v>
      </c>
      <c r="L6" s="2715"/>
      <c r="M6" s="2716"/>
      <c r="N6" s="2716"/>
      <c r="O6" s="2716"/>
      <c r="P6" s="3723"/>
      <c r="Q6" s="3724"/>
      <c r="R6" s="3727"/>
      <c r="S6" s="3728"/>
      <c r="T6" s="3729"/>
      <c r="U6" s="3730"/>
      <c r="V6" s="3731"/>
      <c r="W6" s="3731"/>
      <c r="X6" s="1355"/>
      <c r="Y6" s="3729"/>
      <c r="Z6" s="3730"/>
      <c r="AA6" s="3714"/>
      <c r="AB6" s="3714"/>
      <c r="AC6" s="3714"/>
    </row>
    <row r="7" spans="1:29" s="108" customFormat="1" ht="15" thickBot="1">
      <c r="A7" s="362" t="s">
        <v>1679</v>
      </c>
      <c r="B7" s="363"/>
      <c r="C7" s="364">
        <f>'数据-取费表'!B2</f>
        <v>45859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6" t="s">
        <v>1683</v>
      </c>
      <c r="Q8" s="3737"/>
      <c r="R8" s="701" t="s">
        <v>14</v>
      </c>
      <c r="S8" s="702">
        <f t="shared" si="0"/>
        <v>0</v>
      </c>
      <c r="T8" s="701" t="s">
        <v>14</v>
      </c>
      <c r="U8" s="702">
        <f t="shared" si="1"/>
        <v>0</v>
      </c>
      <c r="V8" s="701" t="s">
        <v>14</v>
      </c>
      <c r="W8" s="702">
        <f t="shared" si="2"/>
        <v>0</v>
      </c>
      <c r="X8" s="703"/>
      <c r="Y8" s="3736" t="s">
        <v>1683</v>
      </c>
      <c r="Z8" s="373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731">
        <f>E41</f>
        <v>0</v>
      </c>
      <c r="S41" s="3731"/>
      <c r="T41" s="3731">
        <f>G41</f>
        <v>0</v>
      </c>
      <c r="U41" s="3731"/>
      <c r="V41" s="3731">
        <f>I41</f>
        <v>0</v>
      </c>
      <c r="W41" s="373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61" t="e">
        <f>ROUND(IF(D42="简单平均",AVERAGE(R42:W42),R42*F42+T42*H42+V42*J42),0)</f>
        <v>#DIV/0!</v>
      </c>
      <c r="S43" s="3761"/>
      <c r="T43" s="3761"/>
      <c r="U43" s="3761"/>
      <c r="V43" s="3761"/>
      <c r="W43" s="37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5" t="s">
        <v>1887</v>
      </c>
      <c r="H50" s="376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46810</v>
      </c>
      <c r="F51" s="639" t="e">
        <f t="shared" ref="F51:F60" si="15">ROUND(B51*E51/10000,0)</f>
        <v>#DIV/0!</v>
      </c>
      <c r="G51" s="3711"/>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SUMIF(修正!A59:A70,H58,修正!G59:G70)</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19949.16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120157</v>
      </c>
      <c r="C2" s="2145" t="s">
        <v>2074</v>
      </c>
      <c r="D2" s="2145" t="s">
        <v>2075</v>
      </c>
      <c r="E2" s="2612">
        <f ca="1">SUMIF(E6:E13,"&lt;&gt;#ref!",E6:E13)</f>
        <v>46810</v>
      </c>
      <c r="F2" s="2793"/>
      <c r="G2" s="2793"/>
      <c r="H2" s="2793"/>
      <c r="I2" s="2793"/>
      <c r="J2" s="2793"/>
      <c r="K2" s="2793"/>
      <c r="L2" s="2793"/>
      <c r="M2" s="2793"/>
      <c r="N2" s="2793"/>
      <c r="O2" s="2793"/>
      <c r="P2" s="2793"/>
    </row>
    <row r="3" spans="1:16" ht="15.6">
      <c r="A3" s="2145" t="s">
        <v>2076</v>
      </c>
      <c r="B3" s="2602">
        <f ca="1">ROUND(B2*10000/E2,0)</f>
        <v>25669</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120157</v>
      </c>
      <c r="C6" s="2145" t="s">
        <v>2074</v>
      </c>
      <c r="D6" s="2793"/>
      <c r="E6" s="2612">
        <f ca="1">SUMIF(INDIRECT("'"&amp;A6&amp;"'"&amp;"!C:C"),"建筑面积",INDIRECT("'"&amp;A6&amp;"'"&amp;"!D:D"))</f>
        <v>46810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8"/>
  <sheetViews>
    <sheetView workbookViewId="0">
      <selection activeCell="E16" sqref="E16"/>
    </sheetView>
  </sheetViews>
  <sheetFormatPr defaultRowHeight="14.4"/>
  <cols>
    <col min="1" max="1" width="20" customWidth="1"/>
    <col min="2" max="2" width="15.6640625" customWidth="1"/>
  </cols>
  <sheetData>
    <row r="1" spans="1:4">
      <c r="A1" s="3478" t="s">
        <v>3440</v>
      </c>
    </row>
    <row r="3" spans="1:4">
      <c r="A3" s="3479" t="s">
        <v>3441</v>
      </c>
      <c r="B3" s="3479" t="s">
        <v>3443</v>
      </c>
      <c r="C3" s="3479" t="s">
        <v>3444</v>
      </c>
      <c r="D3" s="3479" t="s">
        <v>3447</v>
      </c>
    </row>
    <row r="4" spans="1:4">
      <c r="A4" s="3773" t="s">
        <v>3442</v>
      </c>
      <c r="B4" s="3480">
        <v>87</v>
      </c>
      <c r="C4" s="3480">
        <v>8000</v>
      </c>
      <c r="D4" s="3480">
        <f>ROUND(C4/B4,0)</f>
        <v>92</v>
      </c>
    </row>
    <row r="5" spans="1:4">
      <c r="A5" s="3773"/>
      <c r="B5" s="3480">
        <v>87</v>
      </c>
      <c r="C5" s="3480">
        <v>7500</v>
      </c>
      <c r="D5" s="3480">
        <f t="shared" ref="D5:D28" si="0">ROUND(C5/B5,0)</f>
        <v>86</v>
      </c>
    </row>
    <row r="6" spans="1:4">
      <c r="A6" s="3773"/>
      <c r="B6" s="3480">
        <v>87</v>
      </c>
      <c r="C6" s="3480">
        <v>7700</v>
      </c>
      <c r="D6" s="3480">
        <f t="shared" si="0"/>
        <v>89</v>
      </c>
    </row>
    <row r="7" spans="1:4">
      <c r="A7" s="3773"/>
      <c r="B7" s="3480">
        <v>58</v>
      </c>
      <c r="C7" s="3480">
        <v>5900</v>
      </c>
      <c r="D7" s="3480">
        <f t="shared" si="0"/>
        <v>102</v>
      </c>
    </row>
    <row r="8" spans="1:4">
      <c r="A8" s="3773"/>
      <c r="B8" s="3480">
        <v>87</v>
      </c>
      <c r="C8" s="3480">
        <v>7600</v>
      </c>
      <c r="D8" s="3480">
        <f t="shared" si="0"/>
        <v>87</v>
      </c>
    </row>
    <row r="9" spans="1:4">
      <c r="A9" s="3773"/>
      <c r="B9" s="3480">
        <v>58.48</v>
      </c>
      <c r="C9" s="3480">
        <v>6560</v>
      </c>
      <c r="D9" s="3480">
        <f t="shared" si="0"/>
        <v>112</v>
      </c>
    </row>
    <row r="10" spans="1:4">
      <c r="A10" s="3773"/>
      <c r="B10" s="3480">
        <v>87</v>
      </c>
      <c r="C10" s="3480">
        <v>7500</v>
      </c>
      <c r="D10" s="3480">
        <f t="shared" si="0"/>
        <v>86</v>
      </c>
    </row>
    <row r="11" spans="1:4">
      <c r="A11" s="3773"/>
      <c r="B11" s="3480">
        <v>58.48</v>
      </c>
      <c r="C11" s="3480">
        <v>6200</v>
      </c>
      <c r="D11" s="3480">
        <f t="shared" si="0"/>
        <v>106</v>
      </c>
    </row>
    <row r="12" spans="1:4">
      <c r="A12" s="3773"/>
      <c r="B12" s="3480">
        <v>87</v>
      </c>
      <c r="C12" s="3480">
        <v>8000</v>
      </c>
      <c r="D12" s="3480">
        <f t="shared" si="0"/>
        <v>92</v>
      </c>
    </row>
    <row r="13" spans="1:4">
      <c r="A13" s="3773" t="s">
        <v>3445</v>
      </c>
      <c r="B13" s="3480">
        <v>58</v>
      </c>
      <c r="C13" s="3480">
        <v>5600</v>
      </c>
      <c r="D13" s="3480">
        <f t="shared" si="0"/>
        <v>97</v>
      </c>
    </row>
    <row r="14" spans="1:4">
      <c r="A14" s="3773"/>
      <c r="B14" s="3480">
        <v>58</v>
      </c>
      <c r="C14" s="3480">
        <v>5800</v>
      </c>
      <c r="D14" s="3480">
        <f t="shared" si="0"/>
        <v>100</v>
      </c>
    </row>
    <row r="15" spans="1:4">
      <c r="A15" s="3773"/>
      <c r="B15" s="3480">
        <v>58.35</v>
      </c>
      <c r="C15" s="3480">
        <v>6000</v>
      </c>
      <c r="D15" s="3480">
        <f t="shared" si="0"/>
        <v>103</v>
      </c>
    </row>
    <row r="16" spans="1:4">
      <c r="A16" s="3773"/>
      <c r="B16" s="3480">
        <v>87</v>
      </c>
      <c r="C16" s="3480">
        <v>7800</v>
      </c>
      <c r="D16" s="3480">
        <f t="shared" si="0"/>
        <v>90</v>
      </c>
    </row>
    <row r="17" spans="1:4">
      <c r="A17" s="3773"/>
      <c r="B17" s="3480">
        <v>57.87</v>
      </c>
      <c r="C17" s="3480">
        <v>5500</v>
      </c>
      <c r="D17" s="3480">
        <f t="shared" si="0"/>
        <v>95</v>
      </c>
    </row>
    <row r="18" spans="1:4">
      <c r="A18" s="3773"/>
      <c r="B18" s="3480">
        <v>86.95</v>
      </c>
      <c r="C18" s="3480">
        <v>7330</v>
      </c>
      <c r="D18" s="3480">
        <f t="shared" si="0"/>
        <v>84</v>
      </c>
    </row>
    <row r="19" spans="1:4">
      <c r="A19" s="3479"/>
      <c r="B19" s="3480"/>
      <c r="C19" s="3480"/>
      <c r="D19" s="3480">
        <f>AVERAGE(D4:D18)</f>
        <v>94.733333333333334</v>
      </c>
    </row>
    <row r="20" spans="1:4">
      <c r="A20" s="3773" t="s">
        <v>3448</v>
      </c>
      <c r="B20" s="3480">
        <v>148.07</v>
      </c>
      <c r="C20" s="3480">
        <v>20000</v>
      </c>
      <c r="D20" s="3480">
        <f t="shared" si="0"/>
        <v>135</v>
      </c>
    </row>
    <row r="21" spans="1:4">
      <c r="A21" s="3773"/>
      <c r="B21" s="3480">
        <v>162.71</v>
      </c>
      <c r="C21" s="3480">
        <v>25000</v>
      </c>
      <c r="D21" s="3480">
        <f t="shared" si="0"/>
        <v>154</v>
      </c>
    </row>
    <row r="22" spans="1:4">
      <c r="A22" s="3773" t="s">
        <v>3449</v>
      </c>
      <c r="B22" s="3480">
        <v>290</v>
      </c>
      <c r="C22" s="3480">
        <v>70000</v>
      </c>
      <c r="D22" s="3480">
        <f t="shared" si="0"/>
        <v>241</v>
      </c>
    </row>
    <row r="23" spans="1:4">
      <c r="A23" s="3773"/>
      <c r="B23" s="3480">
        <v>295</v>
      </c>
      <c r="C23" s="3480">
        <v>85000</v>
      </c>
      <c r="D23" s="3480">
        <f t="shared" si="0"/>
        <v>288</v>
      </c>
    </row>
    <row r="24" spans="1:4">
      <c r="A24" s="3773" t="s">
        <v>3446</v>
      </c>
      <c r="B24" s="3480">
        <v>174.27</v>
      </c>
      <c r="C24" s="3480">
        <v>32000</v>
      </c>
      <c r="D24" s="3480">
        <f t="shared" si="0"/>
        <v>184</v>
      </c>
    </row>
    <row r="25" spans="1:4">
      <c r="A25" s="3773"/>
      <c r="B25" s="3480">
        <v>186</v>
      </c>
      <c r="C25" s="3480">
        <v>32000</v>
      </c>
      <c r="D25" s="3480">
        <f t="shared" si="0"/>
        <v>172</v>
      </c>
    </row>
    <row r="26" spans="1:4">
      <c r="A26" s="3773"/>
      <c r="B26" s="3480">
        <v>146</v>
      </c>
      <c r="C26" s="3480">
        <v>27000</v>
      </c>
      <c r="D26" s="3480">
        <f t="shared" si="0"/>
        <v>185</v>
      </c>
    </row>
    <row r="27" spans="1:4">
      <c r="A27" s="3773"/>
      <c r="B27" s="3480">
        <v>150</v>
      </c>
      <c r="C27" s="3480">
        <v>30000</v>
      </c>
      <c r="D27" s="3480">
        <f t="shared" si="0"/>
        <v>200</v>
      </c>
    </row>
    <row r="28" spans="1:4">
      <c r="A28" s="3773"/>
      <c r="B28" s="3480">
        <v>147.71</v>
      </c>
      <c r="C28" s="3480">
        <v>36000</v>
      </c>
      <c r="D28" s="3480">
        <f t="shared" si="0"/>
        <v>244</v>
      </c>
    </row>
  </sheetData>
  <mergeCells count="5">
    <mergeCell ref="A4:A12"/>
    <mergeCell ref="A13:A18"/>
    <mergeCell ref="A24:A28"/>
    <mergeCell ref="A22:A23"/>
    <mergeCell ref="A20:A21"/>
  </mergeCells>
  <phoneticPr fontId="134" type="noConversion"/>
  <hyperlinks>
    <hyperlink ref="A1"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3406</v>
      </c>
      <c r="C1" s="198"/>
      <c r="D1" s="198"/>
      <c r="E1" s="198"/>
      <c r="F1" s="198"/>
      <c r="G1" s="1126">
        <f>MATCH(B1,'数据-取费表'!A6:A16,0)+5</f>
        <v>6</v>
      </c>
    </row>
    <row r="2" spans="1:9" s="200" customFormat="1" ht="18" customHeight="1">
      <c r="A2" s="201" t="s">
        <v>1462</v>
      </c>
      <c r="B2" s="202">
        <f ca="1">IF(D2="——",C52,C52-E2)</f>
        <v>133718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28566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93615</v>
      </c>
      <c r="D5" s="211" t="s">
        <v>1469</v>
      </c>
      <c r="E5" s="212" t="s">
        <v>1470</v>
      </c>
      <c r="F5" s="212" t="s">
        <v>1471</v>
      </c>
      <c r="G5" s="213"/>
    </row>
    <row r="6" spans="1:9" s="214" customFormat="1" ht="13.5" customHeight="1">
      <c r="A6" s="778" t="s">
        <v>1472</v>
      </c>
      <c r="B6" s="215" t="s">
        <v>1473</v>
      </c>
      <c r="C6" s="216">
        <f>ROUND(基准地价修正!C33*0.75*基准地价修正!D33/10000,0)</f>
        <v>90117</v>
      </c>
      <c r="D6" s="217"/>
      <c r="E6" s="218"/>
      <c r="F6" s="218"/>
      <c r="G6" s="219"/>
    </row>
    <row r="7" spans="1:9" s="214" customFormat="1" ht="13.5" customHeight="1">
      <c r="A7" s="778" t="s">
        <v>1474</v>
      </c>
      <c r="B7" s="215" t="s">
        <v>1475</v>
      </c>
      <c r="C7" s="220">
        <f>ROUND(C6*F7,0)</f>
        <v>2749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749</v>
      </c>
      <c r="D8" s="222"/>
      <c r="E8" s="220"/>
      <c r="F8" s="221"/>
      <c r="G8" s="1856" t="s">
        <v>3433</v>
      </c>
    </row>
    <row r="9" spans="1:9" s="214" customFormat="1" ht="13.5" customHeight="1">
      <c r="A9" s="779" t="s">
        <v>355</v>
      </c>
      <c r="B9" s="224" t="s">
        <v>1478</v>
      </c>
      <c r="C9" s="225">
        <f ca="1">ROUND(D9*E9/10000,0)</f>
        <v>749</v>
      </c>
      <c r="D9" s="845">
        <f ca="1">IF(B1="",'数据-汇总表'!E5,IF(INDIRECT("'数据-取费表'!c"&amp;$G$1)="住宅",INDIRECT("'数据-取费表'!k"&amp;$G$1),0))</f>
        <v>46810</v>
      </c>
      <c r="E9" s="225">
        <f>'数据-取费表'!B27</f>
        <v>160</v>
      </c>
      <c r="F9" s="221"/>
      <c r="G9" s="1857" t="s">
        <v>3434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46810</v>
      </c>
      <c r="E19" s="211">
        <f>'数据-取费表'!B31</f>
        <v>200</v>
      </c>
      <c r="F19" s="231"/>
      <c r="G19" s="1856" t="s">
        <v>3435</v>
      </c>
    </row>
    <row r="20" spans="1:7" s="214" customFormat="1" ht="13.5" customHeight="1">
      <c r="A20" s="255" t="s">
        <v>1493</v>
      </c>
      <c r="B20" s="210" t="s">
        <v>1494</v>
      </c>
      <c r="C20" s="232">
        <f ca="1">ROUND((C5+C19)*F20,0)</f>
        <v>1872</v>
      </c>
      <c r="D20" s="232"/>
      <c r="E20" s="232"/>
      <c r="F20" s="233">
        <f>'数据-取费表'!B37</f>
        <v>0.02</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5757</v>
      </c>
      <c r="D22" s="235">
        <f ca="1">C26</f>
        <v>0</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5701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56</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6.4">
      <c r="A27" s="255" t="s">
        <v>1512</v>
      </c>
      <c r="B27" s="244" t="s">
        <v>1513</v>
      </c>
      <c r="C27" s="245">
        <f ca="1">C28</f>
        <v>2865</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ROUND((C5+C19+C20)*F27*'数据-取费表'!B21/'数据-取费表'!B20,0)</f>
        <v>2865</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104109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27385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21065</v>
      </c>
      <c r="D34" s="217"/>
      <c r="E34" s="220"/>
      <c r="F34" s="257">
        <f ca="1">IF('数据-取费表'!B24=0,1,IF(B1="",'数据-取费表'!N16,INDIRECT("'数据-取费表'!n"&amp;$G$1)))</f>
        <v>1</v>
      </c>
      <c r="G34" s="219" t="s">
        <v>1526</v>
      </c>
    </row>
    <row r="35" spans="1:7" ht="13.5" customHeight="1">
      <c r="A35" s="780" t="s">
        <v>351</v>
      </c>
      <c r="B35" s="215" t="s">
        <v>1527</v>
      </c>
      <c r="C35" s="220">
        <f ca="1">ROUND(C34*F35,0)</f>
        <v>1053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2107</v>
      </c>
      <c r="D36" s="220"/>
      <c r="E36" s="220"/>
      <c r="F36" s="259">
        <f>'数据-取费表'!B34</f>
        <v>0.1</v>
      </c>
      <c r="G36" s="260" t="s">
        <v>1530</v>
      </c>
    </row>
    <row r="37" spans="1:7" s="258" customFormat="1" ht="13.5" customHeight="1">
      <c r="A37" s="780" t="s">
        <v>353</v>
      </c>
      <c r="B37" s="215" t="s">
        <v>1531</v>
      </c>
      <c r="C37" s="3481">
        <f ca="1">ROUND(C34*12%,0)</f>
        <v>2528</v>
      </c>
      <c r="D37" s="217">
        <f ca="1">D19</f>
        <v>46810</v>
      </c>
      <c r="E37" s="249">
        <f>'数据-取费表'!B35</f>
        <v>200</v>
      </c>
      <c r="F37" s="259"/>
      <c r="G37" s="261" t="s">
        <v>1532</v>
      </c>
    </row>
    <row r="38" spans="1:7" ht="13.5" customHeight="1">
      <c r="A38" s="780" t="s">
        <v>354</v>
      </c>
      <c r="B38" s="215" t="s">
        <v>1533</v>
      </c>
      <c r="C38" s="220">
        <f ca="1">ROUND(C34*F38,0)</f>
        <v>632</v>
      </c>
      <c r="D38" s="220"/>
      <c r="E38" s="220"/>
      <c r="F38" s="259">
        <f>'数据-取费表'!B36</f>
        <v>0.03</v>
      </c>
      <c r="G38" s="219" t="s">
        <v>1528</v>
      </c>
    </row>
    <row r="39" spans="1:7" s="214" customFormat="1" ht="13.5" customHeight="1">
      <c r="A39" s="255" t="s">
        <v>1534</v>
      </c>
      <c r="B39" s="210" t="s">
        <v>1535</v>
      </c>
      <c r="C39" s="232">
        <f ca="1">ROUND(C33*F20,0)</f>
        <v>548</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838</v>
      </c>
      <c r="D41" s="235">
        <f ca="1">C44</f>
        <v>0</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822</v>
      </c>
      <c r="D42" s="238"/>
      <c r="E42" s="238"/>
      <c r="F42" s="239"/>
      <c r="G42" s="3668" t="s">
        <v>1544</v>
      </c>
    </row>
    <row r="43" spans="1:7" ht="13.5" customHeight="1">
      <c r="A43" s="780" t="s">
        <v>347</v>
      </c>
      <c r="B43" s="215" t="s">
        <v>1545</v>
      </c>
      <c r="C43" s="238">
        <f ca="1">ROUND(IF('数据-取费表'!B22&lt;=1,C39*F22*'数据-取费表'!B21/2,C39*(POWER((1+F22),'数据-取费表'!B21/2)-1)),0)</f>
        <v>16</v>
      </c>
      <c r="D43" s="238"/>
      <c r="E43" s="238"/>
      <c r="F43" s="239"/>
      <c r="G43" s="3669"/>
    </row>
    <row r="44" spans="1:7" ht="13.5" customHeight="1">
      <c r="A44" s="780" t="s">
        <v>348</v>
      </c>
      <c r="B44" s="215" t="s">
        <v>1546</v>
      </c>
      <c r="C44" s="238">
        <f ca="1">ROUND(IF('数据-取费表'!B22&lt;=1,C40*F22*'数据-取费表'!B21/2,C40*(POWER((1+F22),'数据-取费表'!B21/2)-1)),4)</f>
        <v>0</v>
      </c>
      <c r="D44" s="238"/>
      <c r="E44" s="238"/>
      <c r="F44" s="239"/>
      <c r="G44" s="3670"/>
    </row>
    <row r="45" spans="1:7" s="214" customFormat="1" ht="13.5" customHeight="1">
      <c r="A45" s="255" t="s">
        <v>1547</v>
      </c>
      <c r="B45" s="244" t="s">
        <v>1513</v>
      </c>
      <c r="C45" s="245">
        <f ca="1">C46</f>
        <v>838</v>
      </c>
      <c r="D45" s="235">
        <f ca="1">C47</f>
        <v>0</v>
      </c>
      <c r="E45" s="236" t="s">
        <v>1539</v>
      </c>
      <c r="F45" s="246">
        <f ca="1">F27</f>
        <v>0.03</v>
      </c>
      <c r="G45" s="247" t="s">
        <v>1548</v>
      </c>
    </row>
    <row r="46" spans="1:7" s="214" customFormat="1" ht="13.5" customHeight="1">
      <c r="A46" s="780" t="s">
        <v>346</v>
      </c>
      <c r="B46" s="248" t="s">
        <v>1549</v>
      </c>
      <c r="C46" s="249">
        <f ca="1">ROUND((C33+C39)*F27,0)</f>
        <v>838</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f ca="1">ROUND((C33+C39+C41+C45)/(1-C40-D41-D45-C48),0)</f>
        <v>29609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29609</v>
      </c>
      <c r="D51" s="232"/>
      <c r="E51" s="232"/>
      <c r="F51" s="264"/>
      <c r="G51" s="234" t="s">
        <v>1560</v>
      </c>
    </row>
    <row r="52" spans="1:7" s="208" customFormat="1" ht="16.8" thickBot="1">
      <c r="A52" s="265" t="s">
        <v>1561</v>
      </c>
      <c r="B52" s="266"/>
      <c r="C52" s="267">
        <f ca="1">C31+C51</f>
        <v>133718</v>
      </c>
      <c r="D52" s="266"/>
      <c r="E52" s="266"/>
      <c r="F52" s="266"/>
      <c r="G52" s="268"/>
    </row>
    <row r="55" spans="1:7" ht="15">
      <c r="B55" s="270" t="s">
        <v>1562</v>
      </c>
      <c r="C55" s="271"/>
    </row>
    <row r="56" spans="1:7">
      <c r="B56" s="273" t="s">
        <v>802</v>
      </c>
      <c r="C56" s="275">
        <f ca="1">1-C57</f>
        <v>0.77900000000000003</v>
      </c>
    </row>
    <row r="57" spans="1:7">
      <c r="B57" s="273" t="s">
        <v>803</v>
      </c>
      <c r="C57" s="274">
        <f ca="1">ROUND(C51/C52,3)</f>
        <v>0.221</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7" sqref="E3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46810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120157</v>
      </c>
      <c r="C2" s="1999" t="s">
        <v>1935</v>
      </c>
      <c r="D2" s="2000" t="s">
        <v>1936</v>
      </c>
      <c r="E2" s="3422" t="s">
        <v>3406</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39798</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25669</v>
      </c>
      <c r="C3" s="1999" t="s">
        <v>1941</v>
      </c>
      <c r="D3" s="2000" t="s">
        <v>1942</v>
      </c>
      <c r="E3" s="3420" t="s">
        <v>3415</v>
      </c>
      <c r="F3" s="2004" t="s">
        <v>3422</v>
      </c>
      <c r="G3" s="752">
        <f>IF(F3="宗地容积率",'数据-汇总表'!I4,IF(F3="估价对象容积率",'数据-汇总表'!I6,'数据-汇总表'!I7))</f>
        <v>2.9</v>
      </c>
      <c r="H3" s="170" t="s">
        <v>1943</v>
      </c>
      <c r="I3" s="775"/>
      <c r="J3" s="2002" t="s">
        <v>1944</v>
      </c>
      <c r="K3" s="1119"/>
      <c r="L3" s="2003" t="s">
        <v>1945</v>
      </c>
      <c r="M3" s="864">
        <f>SUMPRODUCT((区片价!B30:B54=I2)*(区片价!C3:G3=E2)*(区片价!C30:G54))</f>
        <v>22610</v>
      </c>
      <c r="N3" s="866">
        <f>SUMPRODUCT((因素修正幅度!B30:B54=I2)*(因素修正幅度!C3:G3=E2)*(因素修正幅度!C30:G54))</f>
        <v>8.2000000000000003E-2</v>
      </c>
      <c r="O3" s="1119"/>
      <c r="P3" s="1119"/>
      <c r="Q3" s="1119"/>
      <c r="R3" s="1212">
        <v>2</v>
      </c>
      <c r="S3" s="3361">
        <f>ROUND(SUMPRODUCT((B106:B110=R3)*(C105:N105=G2)*(C106:N110)),4)</f>
        <v>1.1838</v>
      </c>
      <c r="T3" s="3361">
        <f t="shared" si="0"/>
        <v>31369</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26512</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23741</v>
      </c>
      <c r="D5" s="1339">
        <f>ROUND(C6*C17+C20,0)</f>
        <v>22610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23382</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22610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22471</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2.9</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8" t="s">
        <v>1960</v>
      </c>
      <c r="X8" s="37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8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1.05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3424</v>
      </c>
      <c r="D15" s="2044" t="s">
        <v>3424</v>
      </c>
      <c r="E15" s="2045" t="s">
        <v>3423</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5" t="s">
        <v>3254</v>
      </c>
      <c r="B20" s="167" t="s">
        <v>1994</v>
      </c>
      <c r="C20" s="3325">
        <f>ROUND(IF(F21="与级别开发程度一致",0,(G21-E21)/C21),0)</f>
        <v>0</v>
      </c>
      <c r="D20" s="3341" t="s">
        <v>1998</v>
      </c>
      <c r="E20" s="3342"/>
      <c r="F20" s="3791" t="s">
        <v>1995</v>
      </c>
      <c r="G20" s="37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8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2054" t="s">
        <v>2002</v>
      </c>
      <c r="E23" s="761">
        <v>44197</v>
      </c>
      <c r="F23" s="2054" t="s">
        <v>2003</v>
      </c>
      <c r="G23" s="762">
        <f>'数据-取费表'!B2</f>
        <v>45859</v>
      </c>
      <c r="H23" s="3343" t="s">
        <v>3256</v>
      </c>
      <c r="I23" s="3344" t="str">
        <f>IF(H23="季度增幅（自定义）",SUMIF(N25:N28,E2,O25:O28),"")</f>
        <v/>
      </c>
      <c r="J23" s="3446" t="s">
        <v>3255</v>
      </c>
      <c r="K23" s="1125"/>
      <c r="L23" s="2055" t="s">
        <v>2004</v>
      </c>
      <c r="M23" s="1328">
        <f>ROUND(SUMIF(地价!B2:G2,E2,地价!B16:G16),0)</f>
        <v>687</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存贷款利率!E28/100</f>
        <v>4.3499999999999997E-2</v>
      </c>
      <c r="F24" s="2060" t="s">
        <v>1999</v>
      </c>
      <c r="G24" s="768">
        <f>SUMIF(M30:Q30,E2,M33:Q33)</f>
        <v>0.05</v>
      </c>
      <c r="H24" s="2060" t="s">
        <v>2008</v>
      </c>
      <c r="I24" s="769">
        <f>SUMIF('数据-取费表'!C6:C15,E2,'数据-取费表'!F6:F15)/COUNTIF('数据-取费表'!C6:C15,E2)</f>
        <v>70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0.96870000000000001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0.96870000000000001</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0.96870000000000001</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0.96870000000000001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120157</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25669</v>
      </c>
      <c r="D33" s="2098">
        <v>46810</v>
      </c>
      <c r="E33" s="773">
        <f>ROUND(C33*D33/10000,0)</f>
        <v>120157</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6417</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2036</v>
      </c>
      <c r="C37" s="175">
        <f>ROUND(D5*C22*C23*C24*C28*F37,0)</f>
        <v>15142</v>
      </c>
      <c r="D37" s="2098"/>
      <c r="E37" s="171">
        <f>ROUND(C37*D37/10000,0)</f>
        <v>0</v>
      </c>
      <c r="F37" s="171">
        <f>SUMIF(修正!A59:A70,G2,修正!B59:B70)</f>
        <v>0.6</v>
      </c>
      <c r="G37" s="171">
        <f>ROUND(IF(E2="工业",C37*$M$42,C37*$M$41),0)</f>
        <v>3786</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2037</v>
      </c>
      <c r="C38" s="175">
        <f>ROUND(D5*C22*C23*C24*C28*F38,0)</f>
        <v>7571</v>
      </c>
      <c r="D38" s="2098"/>
      <c r="E38" s="171">
        <f t="shared" ref="E38:E42" si="4">ROUND(C38*D38/10000,0)</f>
        <v>0</v>
      </c>
      <c r="F38" s="171">
        <f>SUMIF(修正!A59:A70,G2,修正!C59:C70)</f>
        <v>0.3</v>
      </c>
      <c r="G38" s="171">
        <f>ROUND(IF(E2="工业",C38*$M$42,C38*$M$41),0)</f>
        <v>1893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0"/>
      <c r="B39" s="2041" t="s">
        <v>3259</v>
      </c>
      <c r="C39" s="175">
        <f>ROUND(D5*C22*C23*C24*C28*F39,0)</f>
        <v>6309</v>
      </c>
      <c r="D39" s="2098"/>
      <c r="E39" s="171">
        <f t="shared" si="4"/>
        <v>0</v>
      </c>
      <c r="F39" s="171">
        <f>SUMIF(修正!A59:A70,G2,修正!D59:D70)</f>
        <v>0.25</v>
      </c>
      <c r="G39" s="171">
        <f>ROUND(IF(E2="工业",C39*$M$42,C39*$M$41),0)</f>
        <v>1577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6309</v>
      </c>
      <c r="D40" s="2098"/>
      <c r="E40" s="171">
        <f t="shared" si="4"/>
        <v>0</v>
      </c>
      <c r="F40" s="175">
        <f>SUMIF(修正!A59:A70,G2,修正!E59:E70)</f>
        <v>0.25</v>
      </c>
      <c r="G40" s="171">
        <f>ROUND(IF(E2="工业",C40*$M$42,C40*$M$41),0)</f>
        <v>1577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1.0442</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3431</v>
      </c>
      <c r="D72" s="1065">
        <f t="shared" ref="D72:D80" si="17">SUMIF($J$71:$N$71,C72,J72:N72)</f>
        <v>8.2000000000000007E-3</v>
      </c>
      <c r="E72" s="744">
        <f>ROUND(SUM(D72:D80),4)</f>
        <v>4.4200000000000003E-2</v>
      </c>
      <c r="F72" s="1814">
        <f>IF(E2="住宅",SUMIF(L1:L12,G2,N1:N12),"——")</f>
        <v>8.2000000000000003E-2</v>
      </c>
      <c r="G72" s="1063">
        <f>H72</f>
        <v>8.2000000000000007E-3</v>
      </c>
      <c r="H72" s="1066">
        <f t="shared" ref="H72:H80" si="18">IFERROR(ROUNDDOWN($F$72*I72/2,4),"——")</f>
        <v>8.2000000000000007E-3</v>
      </c>
      <c r="I72" s="3367">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3431</v>
      </c>
      <c r="D73" s="1065">
        <f t="shared" si="17"/>
        <v>1.06E-2</v>
      </c>
      <c r="E73" s="747"/>
      <c r="F73" s="1814"/>
      <c r="G73" s="1063">
        <f t="shared" ref="G73:G80" si="22">H73</f>
        <v>1.06E-2</v>
      </c>
      <c r="H73" s="1066">
        <f t="shared" si="18"/>
        <v>1.06E-2</v>
      </c>
      <c r="I73" s="3367">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3431</v>
      </c>
      <c r="D74" s="1065">
        <f t="shared" si="17"/>
        <v>4.1000000000000003E-3</v>
      </c>
      <c r="E74" s="747"/>
      <c r="F74" s="1814"/>
      <c r="G74" s="1063">
        <f t="shared" si="22"/>
        <v>4.1000000000000003E-3</v>
      </c>
      <c r="H74" s="1066">
        <f t="shared" si="18"/>
        <v>4.1000000000000003E-3</v>
      </c>
      <c r="I74" s="3367">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3431</v>
      </c>
      <c r="D75" s="1065">
        <f t="shared" si="17"/>
        <v>2E-3</v>
      </c>
      <c r="E75" s="747"/>
      <c r="F75" s="1814"/>
      <c r="G75" s="1063">
        <f t="shared" si="22"/>
        <v>2E-3</v>
      </c>
      <c r="H75" s="1066">
        <f t="shared" si="18"/>
        <v>2E-3</v>
      </c>
      <c r="I75" s="3367">
        <v>0.05</v>
      </c>
      <c r="J75" s="1064">
        <f t="shared" si="19"/>
        <v>4.0000000000000001E-3</v>
      </c>
      <c r="K75" s="1064">
        <f t="shared" si="20"/>
        <v>2E-3</v>
      </c>
      <c r="L75" s="1064">
        <v>0</v>
      </c>
      <c r="M75" s="1064">
        <f t="shared" si="21"/>
        <v>-2E-3</v>
      </c>
      <c r="N75" s="1064">
        <f t="shared" si="21"/>
        <v>-4.0000000000000001E-3</v>
      </c>
      <c r="O75" s="1119"/>
      <c r="P75" s="1119"/>
      <c r="Q75" s="1997"/>
      <c r="Z75" s="1998"/>
      <c r="AA75" s="2053"/>
      <c r="AG75" s="1121"/>
      <c r="AK75" s="2053"/>
    </row>
    <row r="76" spans="1:37" ht="26.4">
      <c r="A76" s="2130" t="s">
        <v>2059</v>
      </c>
      <c r="B76" s="1326" t="str">
        <f>估价对象房地状况!C21</f>
        <v>估价对象所在区域公共配套设施齐备情况</v>
      </c>
      <c r="C76" s="2044" t="s">
        <v>3431</v>
      </c>
      <c r="D76" s="1065">
        <f t="shared" si="17"/>
        <v>3.2000000000000002E-3</v>
      </c>
      <c r="E76" s="747"/>
      <c r="F76" s="1814"/>
      <c r="G76" s="1063">
        <f t="shared" si="22"/>
        <v>3.2000000000000002E-3</v>
      </c>
      <c r="H76" s="1066">
        <f t="shared" si="18"/>
        <v>3.2000000000000002E-3</v>
      </c>
      <c r="I76" s="3367">
        <v>0.08</v>
      </c>
      <c r="J76" s="1064">
        <f t="shared" si="19"/>
        <v>6.4000000000000003E-3</v>
      </c>
      <c r="K76" s="1064">
        <f t="shared" si="20"/>
        <v>3.2000000000000002E-3</v>
      </c>
      <c r="L76" s="1064">
        <v>0</v>
      </c>
      <c r="M76" s="1064">
        <f t="shared" si="21"/>
        <v>-3.2000000000000002E-3</v>
      </c>
      <c r="N76" s="1064">
        <f t="shared" si="21"/>
        <v>-6.4000000000000003E-3</v>
      </c>
      <c r="O76" s="1119"/>
      <c r="P76" s="1119"/>
      <c r="Z76" s="1998"/>
      <c r="AA76" s="2053"/>
      <c r="AG76" s="1121"/>
      <c r="AK76" s="2053"/>
    </row>
    <row r="77" spans="1:37" ht="26.4">
      <c r="A77" s="2130" t="s">
        <v>2060</v>
      </c>
      <c r="B77" s="1326" t="str">
        <f>估价对象房地状况!C22</f>
        <v>估价对象所在区域基础设施水平</v>
      </c>
      <c r="C77" s="2044" t="s">
        <v>3432</v>
      </c>
      <c r="D77" s="1065">
        <f t="shared" si="17"/>
        <v>7.1999999999999998E-3</v>
      </c>
      <c r="E77" s="747"/>
      <c r="F77" s="1814"/>
      <c r="G77" s="1063">
        <f t="shared" si="22"/>
        <v>3.5999999999999999E-3</v>
      </c>
      <c r="H77" s="1066">
        <f t="shared" si="18"/>
        <v>3.5999999999999999E-3</v>
      </c>
      <c r="I77" s="3367">
        <v>0.09</v>
      </c>
      <c r="J77" s="1064">
        <f t="shared" si="19"/>
        <v>7.1999999999999998E-3</v>
      </c>
      <c r="K77" s="1064">
        <f t="shared" si="20"/>
        <v>3.5999999999999999E-3</v>
      </c>
      <c r="L77" s="1064">
        <v>0</v>
      </c>
      <c r="M77" s="1064">
        <f t="shared" si="21"/>
        <v>-3.5999999999999999E-3</v>
      </c>
      <c r="N77" s="1064">
        <f t="shared" si="21"/>
        <v>-7.1999999999999998E-3</v>
      </c>
      <c r="O77" s="1119"/>
      <c r="P77" s="1119"/>
      <c r="Z77" s="1998"/>
      <c r="AA77" s="2053"/>
      <c r="AG77" s="1121"/>
      <c r="AK77" s="2053"/>
    </row>
    <row r="78" spans="1:37" ht="36">
      <c r="A78" s="2130" t="s">
        <v>2057</v>
      </c>
      <c r="B78" s="2136" t="s">
        <v>2058</v>
      </c>
      <c r="C78" s="2044" t="s">
        <v>3431</v>
      </c>
      <c r="D78" s="1065">
        <f t="shared" si="17"/>
        <v>2E-3</v>
      </c>
      <c r="E78" s="747"/>
      <c r="F78" s="1814"/>
      <c r="G78" s="1063">
        <f t="shared" si="22"/>
        <v>2E-3</v>
      </c>
      <c r="H78" s="1066">
        <f t="shared" si="18"/>
        <v>2E-3</v>
      </c>
      <c r="I78" s="3367">
        <v>0.05</v>
      </c>
      <c r="J78" s="1064">
        <f t="shared" si="19"/>
        <v>4.0000000000000001E-3</v>
      </c>
      <c r="K78" s="1064">
        <f t="shared" si="20"/>
        <v>2E-3</v>
      </c>
      <c r="L78" s="1064">
        <v>0</v>
      </c>
      <c r="M78" s="1064">
        <f t="shared" si="21"/>
        <v>-2E-3</v>
      </c>
      <c r="N78" s="1064">
        <f t="shared" si="21"/>
        <v>-4.0000000000000001E-3</v>
      </c>
      <c r="O78" s="1997"/>
      <c r="P78" s="1997"/>
      <c r="Z78" s="1998"/>
      <c r="AA78" s="2053"/>
      <c r="AG78" s="1121"/>
      <c r="AK78" s="2053"/>
    </row>
    <row r="79" spans="1:37" ht="39.6">
      <c r="A79" s="2130" t="s">
        <v>2061</v>
      </c>
      <c r="B79" s="2133" t="str">
        <f>估价对象房地状况!C20</f>
        <v>区域自然环境：；人文环境；综合评价环境状况一般</v>
      </c>
      <c r="C79" s="2044" t="s">
        <v>3431</v>
      </c>
      <c r="D79" s="1065">
        <f t="shared" si="17"/>
        <v>4.8999999999999998E-3</v>
      </c>
      <c r="E79" s="747"/>
      <c r="F79" s="1814"/>
      <c r="G79" s="1063">
        <f t="shared" si="22"/>
        <v>4.8999999999999998E-3</v>
      </c>
      <c r="H79" s="1066">
        <f t="shared" si="18"/>
        <v>4.8999999999999998E-3</v>
      </c>
      <c r="I79" s="3367">
        <v>0.12</v>
      </c>
      <c r="J79" s="1064">
        <f t="shared" si="19"/>
        <v>9.7999999999999997E-3</v>
      </c>
      <c r="K79" s="1064">
        <f t="shared" si="20"/>
        <v>4.8999999999999998E-3</v>
      </c>
      <c r="L79" s="1064">
        <v>0</v>
      </c>
      <c r="M79" s="1064">
        <f t="shared" si="21"/>
        <v>-4.8999999999999998E-3</v>
      </c>
      <c r="N79" s="1064">
        <f t="shared" si="21"/>
        <v>-9.7999999999999997E-3</v>
      </c>
      <c r="Z79" s="1998"/>
      <c r="AA79" s="2053"/>
      <c r="AG79" s="1121"/>
      <c r="AK79" s="2053"/>
    </row>
    <row r="80" spans="1:37" ht="36.6" thickBot="1">
      <c r="A80" s="2138" t="s">
        <v>2068</v>
      </c>
      <c r="B80" s="2142"/>
      <c r="C80" s="2044" t="s">
        <v>3431</v>
      </c>
      <c r="D80" s="1065">
        <f t="shared" si="17"/>
        <v>2E-3</v>
      </c>
      <c r="E80" s="748"/>
      <c r="F80" s="1814"/>
      <c r="G80" s="1063">
        <f t="shared" si="22"/>
        <v>2E-3</v>
      </c>
      <c r="H80" s="1066">
        <f t="shared" si="18"/>
        <v>2E-3</v>
      </c>
      <c r="I80" s="3368">
        <v>0.05</v>
      </c>
      <c r="J80" s="1064">
        <f t="shared" si="19"/>
        <v>4.0000000000000001E-3</v>
      </c>
      <c r="K80" s="1064">
        <f t="shared" si="20"/>
        <v>2E-3</v>
      </c>
      <c r="L80" s="1064">
        <v>0</v>
      </c>
      <c r="M80" s="1064">
        <f t="shared" si="21"/>
        <v>-2E-3</v>
      </c>
      <c r="N80" s="1064">
        <f t="shared" si="21"/>
        <v>-4.0000000000000001E-3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48">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3.8">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6.4">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6.4">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36">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40.200000000000003"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7" t="s">
        <v>3294</v>
      </c>
      <c r="B103" s="3787"/>
      <c r="C103" s="3787"/>
      <c r="D103" s="3787"/>
      <c r="E103" s="3787"/>
      <c r="F103" s="3787"/>
      <c r="G103" s="3787"/>
      <c r="H103" s="3787"/>
      <c r="I103" s="3787"/>
      <c r="J103" s="3787"/>
      <c r="K103" s="3390"/>
      <c r="L103" s="3390"/>
      <c r="M103" s="3390"/>
      <c r="N103" s="3390"/>
    </row>
    <row r="104" spans="1:14">
      <c r="A104" s="3788" t="s">
        <v>3295</v>
      </c>
      <c r="B104" s="3788" t="s">
        <v>3296</v>
      </c>
      <c r="C104" s="3391" t="s">
        <v>3297</v>
      </c>
      <c r="D104" s="3392"/>
      <c r="E104" s="3392"/>
      <c r="F104" s="3392"/>
      <c r="G104" s="3392"/>
      <c r="H104" s="3392"/>
      <c r="I104" s="3392"/>
      <c r="J104" s="3393"/>
      <c r="K104" s="3394"/>
      <c r="L104" s="3394"/>
      <c r="M104" s="3394"/>
      <c r="N104" s="3394"/>
    </row>
    <row r="105" spans="1:14">
      <c r="A105" s="3788"/>
      <c r="B105" s="378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5"/>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7" t="s">
        <v>3311</v>
      </c>
      <c r="B113" s="3777"/>
      <c r="C113" s="3777"/>
      <c r="D113" s="3777"/>
      <c r="E113" s="3777"/>
      <c r="F113" s="3777"/>
      <c r="G113" s="3777"/>
      <c r="H113" s="3777"/>
      <c r="I113" s="3777"/>
      <c r="J113" s="37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2.9</v>
      </c>
      <c r="C116" s="3400" t="s">
        <v>3313</v>
      </c>
      <c r="D116" s="3401">
        <f>SUMPRODUCT((A118:A122=F116)*(B117:M117=H116)*B118:M122)</f>
        <v>0.89500000000000002</v>
      </c>
      <c r="E116" s="2000" t="s">
        <v>3314</v>
      </c>
      <c r="F116" s="3402" t="str">
        <f>E2</f>
        <v>住宅</v>
      </c>
      <c r="G116" s="2000" t="s">
        <v>3315</v>
      </c>
      <c r="H116" s="3402" t="str">
        <f>G2</f>
        <v>三级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6">I118</f>
        <v>0.7964</v>
      </c>
      <c r="K118" s="3388">
        <f t="shared" si="36"/>
        <v>0.7964</v>
      </c>
      <c r="L118" s="3388">
        <f t="shared" si="36"/>
        <v>0.7964</v>
      </c>
      <c r="M118" s="3411">
        <f t="shared" si="36"/>
        <v>0.7964</v>
      </c>
      <c r="N118" s="3398"/>
    </row>
    <row r="119" spans="1:14">
      <c r="A119" s="3410" t="s">
        <v>3329</v>
      </c>
      <c r="B119" s="3388">
        <f>ROUND(0.993-0.0112*B116,4)</f>
        <v>0.96050000000000002</v>
      </c>
      <c r="C119" s="3388">
        <f>B119</f>
        <v>0.96050000000000002</v>
      </c>
      <c r="D119" s="3388">
        <f>ROUND(0.9415-0.0142*B116,4)</f>
        <v>0.90029999999999999</v>
      </c>
      <c r="E119" s="3388">
        <f t="shared" ref="E119:H120" si="37">D119</f>
        <v>0.90029999999999999</v>
      </c>
      <c r="F119" s="3388">
        <f t="shared" si="37"/>
        <v>0.90029999999999999</v>
      </c>
      <c r="G119" s="3388">
        <f t="shared" si="37"/>
        <v>0.90029999999999999</v>
      </c>
      <c r="H119" s="3388">
        <f t="shared" si="37"/>
        <v>0.90029999999999999</v>
      </c>
      <c r="I119" s="3388">
        <f>ROUND(0.838-0.0182*B116,4)</f>
        <v>0.78520000000000001</v>
      </c>
      <c r="J119" s="3388">
        <f t="shared" si="36"/>
        <v>0.78520000000000001</v>
      </c>
      <c r="K119" s="3388">
        <f t="shared" si="36"/>
        <v>0.78520000000000001</v>
      </c>
      <c r="L119" s="3388">
        <f t="shared" si="36"/>
        <v>0.78520000000000001</v>
      </c>
      <c r="M119" s="3411">
        <f t="shared" si="36"/>
        <v>0.78520000000000001</v>
      </c>
      <c r="N119" s="3398"/>
    </row>
    <row r="120" spans="1:14">
      <c r="A120" s="3410" t="s">
        <v>3330</v>
      </c>
      <c r="B120" s="3388">
        <f>ROUND(0.9448-0.0115*B116,4)</f>
        <v>0.91149999999999998</v>
      </c>
      <c r="C120" s="3388">
        <f>B120</f>
        <v>0.91149999999999998</v>
      </c>
      <c r="D120" s="3388">
        <f>ROUND(0.937-0.0145*B116,4)</f>
        <v>0.89500000000000002</v>
      </c>
      <c r="E120" s="3388">
        <f t="shared" si="37"/>
        <v>0.89500000000000002</v>
      </c>
      <c r="F120" s="3388">
        <f t="shared" si="37"/>
        <v>0.89500000000000002</v>
      </c>
      <c r="G120" s="3388">
        <f t="shared" si="37"/>
        <v>0.89500000000000002</v>
      </c>
      <c r="H120" s="3388">
        <f t="shared" si="37"/>
        <v>0.89500000000000002</v>
      </c>
      <c r="I120" s="3388">
        <f>ROUND(0.7965-0.0185*B116,4)</f>
        <v>0.7429</v>
      </c>
      <c r="J120" s="3388">
        <f t="shared" si="36"/>
        <v>0.7429</v>
      </c>
      <c r="K120" s="3388">
        <f t="shared" si="36"/>
        <v>0.7429</v>
      </c>
      <c r="L120" s="3388">
        <f t="shared" si="36"/>
        <v>0.7429</v>
      </c>
      <c r="M120" s="3411">
        <f t="shared" si="36"/>
        <v>0.7429</v>
      </c>
      <c r="N120" s="3398"/>
    </row>
    <row r="121" spans="1:14" ht="13.8" thickBot="1">
      <c r="A121" s="3412" t="s">
        <v>3331</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6"/>
        <v>0.53539999999999999</v>
      </c>
      <c r="K121" s="3413">
        <f t="shared" si="36"/>
        <v>0.53539999999999999</v>
      </c>
      <c r="L121" s="3413">
        <f t="shared" si="36"/>
        <v>0.53539999999999999</v>
      </c>
      <c r="M121" s="3414">
        <f t="shared" si="36"/>
        <v>0.53539999999999999</v>
      </c>
      <c r="N121" s="3398"/>
    </row>
    <row r="122" spans="1:14">
      <c r="A122" s="3415" t="s">
        <v>2612</v>
      </c>
      <c r="B122" s="3388">
        <f>ROUND(0.9404-0.0106*B116,4)</f>
        <v>0.90969999999999995</v>
      </c>
      <c r="C122" s="3388">
        <f>B122</f>
        <v>0.90969999999999995</v>
      </c>
      <c r="D122" s="3388">
        <f>ROUND(0.8955-0.0135*B116,4)</f>
        <v>0.85640000000000005</v>
      </c>
      <c r="E122" s="3388">
        <f t="shared" ref="E122:H122" si="38">D122</f>
        <v>0.85640000000000005</v>
      </c>
      <c r="F122" s="3388">
        <f t="shared" si="38"/>
        <v>0.85640000000000005</v>
      </c>
      <c r="G122" s="3388">
        <f t="shared" si="38"/>
        <v>0.85640000000000005</v>
      </c>
      <c r="H122" s="3388">
        <f t="shared" si="38"/>
        <v>0.85640000000000005</v>
      </c>
      <c r="I122" s="3388">
        <f>ROUND(0.7632-0.0166*B116,4)</f>
        <v>0.71509999999999996</v>
      </c>
      <c r="J122" s="3388">
        <f t="shared" si="36"/>
        <v>0.71509999999999996</v>
      </c>
      <c r="K122" s="3388">
        <f t="shared" si="36"/>
        <v>0.71509999999999996</v>
      </c>
      <c r="L122" s="3388">
        <f t="shared" si="36"/>
        <v>0.71509999999999996</v>
      </c>
      <c r="M122" s="3411">
        <f t="shared" si="36"/>
        <v>0.71509999999999996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4" t="s">
        <v>2607</v>
      </c>
      <c r="B20" s="3797" t="s">
        <v>2628</v>
      </c>
      <c r="C20" s="3477" t="s">
        <v>2439</v>
      </c>
      <c r="D20" s="3477"/>
      <c r="E20" s="3105">
        <v>1</v>
      </c>
      <c r="F20" s="3106" t="s">
        <v>2440</v>
      </c>
      <c r="G20" s="3106"/>
    </row>
    <row r="21" spans="1:13" ht="19.5" customHeight="1">
      <c r="A21" s="3805"/>
      <c r="B21" s="3793"/>
      <c r="C21" s="3467" t="s">
        <v>2441</v>
      </c>
      <c r="D21" s="3467"/>
      <c r="E21" s="3109">
        <v>1</v>
      </c>
      <c r="F21" s="3106" t="s">
        <v>2442</v>
      </c>
      <c r="G21" s="3106"/>
    </row>
    <row r="22" spans="1:13" ht="19.5" customHeight="1">
      <c r="A22" s="3805"/>
      <c r="B22" s="3793"/>
      <c r="C22" s="3467" t="s">
        <v>2443</v>
      </c>
      <c r="D22" s="3467"/>
      <c r="E22" s="3109">
        <v>0.9</v>
      </c>
      <c r="F22" s="3106" t="s">
        <v>2444</v>
      </c>
      <c r="G22" s="3106"/>
    </row>
    <row r="23" spans="1:13" ht="19.5" customHeight="1">
      <c r="A23" s="3805"/>
      <c r="B23" s="3793"/>
      <c r="C23" s="3467" t="s">
        <v>2445</v>
      </c>
      <c r="D23" s="3467"/>
      <c r="E23" s="3109">
        <v>0.9</v>
      </c>
      <c r="F23" s="3106" t="s">
        <v>2446</v>
      </c>
      <c r="G23" s="3106"/>
    </row>
    <row r="24" spans="1:13" ht="19.5" customHeight="1">
      <c r="A24" s="3805"/>
      <c r="B24" s="3793"/>
      <c r="C24" s="3467" t="s">
        <v>2447</v>
      </c>
      <c r="D24" s="3467"/>
      <c r="E24" s="3109">
        <v>0.8</v>
      </c>
      <c r="F24" s="3106" t="s">
        <v>2448</v>
      </c>
      <c r="G24" s="3106"/>
    </row>
    <row r="25" spans="1:13" ht="19.5" customHeight="1">
      <c r="A25" s="3805"/>
      <c r="B25" s="3793"/>
      <c r="C25" s="3467" t="s">
        <v>2449</v>
      </c>
      <c r="D25" s="3467"/>
      <c r="E25" s="3109">
        <v>0.8</v>
      </c>
      <c r="F25" s="3106"/>
      <c r="G25" s="3106"/>
    </row>
    <row r="26" spans="1:13" ht="19.5" customHeight="1">
      <c r="A26" s="3805"/>
      <c r="B26" s="3793"/>
      <c r="C26" s="3470" t="s">
        <v>3412</v>
      </c>
      <c r="D26" s="3470"/>
      <c r="E26" s="3471">
        <v>0.43</v>
      </c>
      <c r="F26" s="3106"/>
      <c r="G26" s="3106"/>
    </row>
    <row r="27" spans="1:13" ht="19.5" customHeight="1" thickBot="1">
      <c r="A27" s="3806"/>
      <c r="B27" s="3798"/>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9" t="s">
        <v>2631</v>
      </c>
      <c r="B29" s="3802" t="s">
        <v>2612</v>
      </c>
      <c r="C29" s="3103" t="s">
        <v>2452</v>
      </c>
      <c r="D29" s="3104"/>
      <c r="E29" s="3105">
        <v>1</v>
      </c>
      <c r="F29" s="3106" t="s">
        <v>2453</v>
      </c>
      <c r="G29" s="3106"/>
    </row>
    <row r="30" spans="1:13" ht="19.5" customHeight="1">
      <c r="A30" s="3800"/>
      <c r="B30" s="3796"/>
      <c r="C30" s="3107" t="s">
        <v>2454</v>
      </c>
      <c r="D30" s="3108"/>
      <c r="E30" s="3109">
        <v>1</v>
      </c>
      <c r="F30" s="3106" t="s">
        <v>2455</v>
      </c>
      <c r="G30" s="3106"/>
    </row>
    <row r="31" spans="1:13" ht="19.5" customHeight="1">
      <c r="A31" s="3800"/>
      <c r="B31" s="3796"/>
      <c r="C31" s="3107" t="s">
        <v>2456</v>
      </c>
      <c r="D31" s="3108"/>
      <c r="E31" s="3109">
        <v>0.8</v>
      </c>
      <c r="F31" s="3106" t="s">
        <v>2457</v>
      </c>
      <c r="G31" s="3106"/>
    </row>
    <row r="32" spans="1:13" ht="19.5" customHeight="1">
      <c r="A32" s="3800"/>
      <c r="B32" s="3796"/>
      <c r="C32" s="3107" t="s">
        <v>2458</v>
      </c>
      <c r="D32" s="3108"/>
      <c r="E32" s="3109">
        <v>0.8</v>
      </c>
      <c r="F32" s="3106" t="s">
        <v>2459</v>
      </c>
      <c r="G32" s="3106"/>
    </row>
    <row r="33" spans="1:7" ht="19.5" customHeight="1">
      <c r="A33" s="3800"/>
      <c r="B33" s="3796"/>
      <c r="C33" s="3107" t="s">
        <v>2460</v>
      </c>
      <c r="D33" s="3108"/>
      <c r="E33" s="3109">
        <v>0.8</v>
      </c>
      <c r="F33" s="3106" t="s">
        <v>2461</v>
      </c>
      <c r="G33" s="3106"/>
    </row>
    <row r="34" spans="1:7" ht="19.5" customHeight="1">
      <c r="A34" s="3800"/>
      <c r="B34" s="3796"/>
      <c r="C34" s="3107" t="s">
        <v>2462</v>
      </c>
      <c r="D34" s="3108"/>
      <c r="E34" s="3109">
        <v>0.7</v>
      </c>
      <c r="F34" s="3106" t="s">
        <v>2463</v>
      </c>
      <c r="G34" s="3106"/>
    </row>
    <row r="35" spans="1:7" ht="19.5" customHeight="1">
      <c r="A35" s="3800"/>
      <c r="B35" s="3796"/>
      <c r="C35" s="3107" t="s">
        <v>2464</v>
      </c>
      <c r="D35" s="3108"/>
      <c r="E35" s="3109">
        <v>0.8</v>
      </c>
      <c r="F35" s="3106" t="s">
        <v>2465</v>
      </c>
      <c r="G35" s="3106"/>
    </row>
    <row r="36" spans="1:7" ht="19.5" customHeight="1">
      <c r="A36" s="3800"/>
      <c r="B36" s="3796"/>
      <c r="C36" s="3107" t="s">
        <v>2466</v>
      </c>
      <c r="D36" s="3108"/>
      <c r="E36" s="3109">
        <v>0.6</v>
      </c>
      <c r="F36" s="3106" t="s">
        <v>2467</v>
      </c>
      <c r="G36" s="3106"/>
    </row>
    <row r="37" spans="1:7" ht="19.5" customHeight="1">
      <c r="A37" s="3800"/>
      <c r="B37" s="3796"/>
      <c r="C37" s="3107" t="s">
        <v>2468</v>
      </c>
      <c r="D37" s="3108"/>
      <c r="E37" s="3109">
        <v>0.2</v>
      </c>
      <c r="F37" s="3106" t="s">
        <v>2469</v>
      </c>
      <c r="G37" s="3106"/>
    </row>
    <row r="38" spans="1:7" ht="19.5" customHeight="1">
      <c r="A38" s="3800"/>
      <c r="B38" s="3796"/>
      <c r="C38" s="3107" t="s">
        <v>2470</v>
      </c>
      <c r="D38" s="3108"/>
      <c r="E38" s="3109">
        <v>0.2</v>
      </c>
      <c r="F38" s="3106" t="s">
        <v>2471</v>
      </c>
      <c r="G38" s="3106"/>
    </row>
    <row r="39" spans="1:7" ht="19.5" customHeight="1">
      <c r="A39" s="3800"/>
      <c r="B39" s="3794" t="s">
        <v>2632</v>
      </c>
      <c r="C39" s="3107" t="s">
        <v>2472</v>
      </c>
      <c r="D39" s="3108"/>
      <c r="E39" s="3109">
        <v>0.6</v>
      </c>
      <c r="F39" s="3106" t="s">
        <v>2473</v>
      </c>
      <c r="G39" s="3106"/>
    </row>
    <row r="40" spans="1:7" ht="19.5" customHeight="1">
      <c r="A40" s="3800"/>
      <c r="B40" s="3796"/>
      <c r="C40" s="3107" t="s">
        <v>2474</v>
      </c>
      <c r="D40" s="3108"/>
      <c r="E40" s="3109">
        <v>0.6</v>
      </c>
      <c r="F40" s="3106" t="s">
        <v>2475</v>
      </c>
      <c r="G40" s="3106"/>
    </row>
    <row r="41" spans="1:7" ht="19.5" customHeight="1" thickBot="1">
      <c r="A41" s="3801"/>
      <c r="B41" s="3803"/>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4" t="s">
        <v>2610</v>
      </c>
      <c r="B43" s="3802" t="s">
        <v>2634</v>
      </c>
      <c r="C43" s="3103" t="s">
        <v>2479</v>
      </c>
      <c r="D43" s="3104"/>
      <c r="E43" s="3105">
        <v>1</v>
      </c>
      <c r="F43" s="3106" t="s">
        <v>2480</v>
      </c>
      <c r="G43" s="3106"/>
    </row>
    <row r="44" spans="1:7" ht="19.5" customHeight="1">
      <c r="A44" s="3805"/>
      <c r="B44" s="3796"/>
      <c r="C44" s="3107" t="s">
        <v>2481</v>
      </c>
      <c r="D44" s="3108"/>
      <c r="E44" s="3109">
        <v>1</v>
      </c>
      <c r="F44" s="3106" t="s">
        <v>2482</v>
      </c>
      <c r="G44" s="3106"/>
    </row>
    <row r="45" spans="1:7" ht="19.5" customHeight="1">
      <c r="A45" s="3805"/>
      <c r="B45" s="3795"/>
      <c r="C45" s="3107" t="s">
        <v>2483</v>
      </c>
      <c r="D45" s="3108"/>
      <c r="E45" s="3109">
        <v>1.5</v>
      </c>
      <c r="F45" s="3106" t="s">
        <v>2484</v>
      </c>
      <c r="G45" s="3106"/>
    </row>
    <row r="46" spans="1:7" ht="19.5" customHeight="1">
      <c r="A46" s="3805"/>
      <c r="B46" s="3118" t="s">
        <v>2635</v>
      </c>
      <c r="C46" s="3107" t="s">
        <v>2636</v>
      </c>
      <c r="D46" s="3108"/>
      <c r="E46" s="3109">
        <v>2</v>
      </c>
      <c r="F46" s="3106" t="s">
        <v>2485</v>
      </c>
      <c r="G46" s="3106"/>
    </row>
    <row r="47" spans="1:7" ht="19.5" customHeight="1">
      <c r="A47" s="3805"/>
      <c r="B47" s="3794" t="s">
        <v>2637</v>
      </c>
      <c r="C47" s="3107" t="s">
        <v>2486</v>
      </c>
      <c r="D47" s="3108"/>
      <c r="E47" s="3109">
        <v>1</v>
      </c>
      <c r="F47" s="3106" t="s">
        <v>2487</v>
      </c>
      <c r="G47" s="3106"/>
    </row>
    <row r="48" spans="1:7" ht="19.5" customHeight="1">
      <c r="A48" s="3805"/>
      <c r="B48" s="3796"/>
      <c r="C48" s="3107" t="s">
        <v>2488</v>
      </c>
      <c r="D48" s="3108"/>
      <c r="E48" s="3109">
        <v>1</v>
      </c>
      <c r="F48" s="3106" t="s">
        <v>2489</v>
      </c>
      <c r="G48" s="3106"/>
    </row>
    <row r="49" spans="1:7" ht="19.5" customHeight="1">
      <c r="A49" s="3805"/>
      <c r="B49" s="3796"/>
      <c r="C49" s="3107" t="s">
        <v>2490</v>
      </c>
      <c r="D49" s="3108"/>
      <c r="E49" s="3109">
        <v>1</v>
      </c>
      <c r="F49" s="3106" t="s">
        <v>2491</v>
      </c>
      <c r="G49" s="3106"/>
    </row>
    <row r="50" spans="1:7" ht="19.5" customHeight="1">
      <c r="A50" s="3805"/>
      <c r="B50" s="3796"/>
      <c r="C50" s="3107" t="s">
        <v>2492</v>
      </c>
      <c r="D50" s="3108"/>
      <c r="E50" s="3109">
        <v>1</v>
      </c>
      <c r="F50" s="3106" t="s">
        <v>2493</v>
      </c>
      <c r="G50" s="3106"/>
    </row>
    <row r="51" spans="1:7" ht="19.5" customHeight="1">
      <c r="A51" s="3805"/>
      <c r="B51" s="3796"/>
      <c r="C51" s="3107" t="s">
        <v>2494</v>
      </c>
      <c r="D51" s="3108"/>
      <c r="E51" s="3109">
        <v>1</v>
      </c>
      <c r="F51" s="3106" t="s">
        <v>2495</v>
      </c>
      <c r="G51" s="3106"/>
    </row>
    <row r="52" spans="1:7" ht="19.5" customHeight="1">
      <c r="A52" s="3805"/>
      <c r="B52" s="3796"/>
      <c r="C52" s="3107" t="s">
        <v>2496</v>
      </c>
      <c r="D52" s="3108"/>
      <c r="E52" s="3109">
        <v>1</v>
      </c>
      <c r="F52" s="3106" t="s">
        <v>2497</v>
      </c>
      <c r="G52" s="3106"/>
    </row>
    <row r="53" spans="1:7" ht="19.5" customHeight="1" thickBot="1">
      <c r="A53" s="3806"/>
      <c r="B53" s="3803"/>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794" t="s">
        <v>2651</v>
      </c>
      <c r="C75" s="3092" t="s">
        <v>2652</v>
      </c>
      <c r="D75" s="3092" t="s">
        <v>2653</v>
      </c>
      <c r="E75" s="3118">
        <v>0.2</v>
      </c>
      <c r="F75" s="3118">
        <v>25</v>
      </c>
    </row>
    <row r="76" spans="1:7" ht="24">
      <c r="A76" s="3118">
        <v>2</v>
      </c>
      <c r="B76" s="3796"/>
      <c r="C76" s="3092" t="s">
        <v>2654</v>
      </c>
      <c r="D76" s="3092" t="s">
        <v>2655</v>
      </c>
      <c r="E76" s="3118">
        <v>0.2</v>
      </c>
      <c r="F76" s="3118">
        <v>25</v>
      </c>
    </row>
    <row r="77" spans="1:7" ht="24">
      <c r="A77" s="3118">
        <v>3</v>
      </c>
      <c r="B77" s="3796"/>
      <c r="C77" s="3092" t="s">
        <v>2656</v>
      </c>
      <c r="D77" s="3092" t="s">
        <v>2657</v>
      </c>
      <c r="E77" s="3118">
        <v>0.2</v>
      </c>
      <c r="F77" s="3118">
        <v>25</v>
      </c>
    </row>
    <row r="78" spans="1:7" ht="14.4">
      <c r="A78" s="3118">
        <v>4</v>
      </c>
      <c r="B78" s="3796"/>
      <c r="C78" s="3092" t="s">
        <v>2658</v>
      </c>
      <c r="D78" s="3092" t="s">
        <v>2659</v>
      </c>
      <c r="E78" s="3118">
        <v>0.15</v>
      </c>
      <c r="F78" s="3118">
        <v>20</v>
      </c>
    </row>
    <row r="79" spans="1:7" ht="24">
      <c r="A79" s="3118">
        <v>5</v>
      </c>
      <c r="B79" s="3796"/>
      <c r="C79" s="3092" t="s">
        <v>2660</v>
      </c>
      <c r="D79" s="3092" t="s">
        <v>2661</v>
      </c>
      <c r="E79" s="3118">
        <v>0.15</v>
      </c>
      <c r="F79" s="3118">
        <v>20</v>
      </c>
    </row>
    <row r="80" spans="1:7" ht="24">
      <c r="A80" s="3118">
        <v>6</v>
      </c>
      <c r="B80" s="3796"/>
      <c r="C80" s="3092" t="s">
        <v>2662</v>
      </c>
      <c r="D80" s="3092" t="s">
        <v>2663</v>
      </c>
      <c r="E80" s="3118">
        <v>0.15</v>
      </c>
      <c r="F80" s="3118">
        <v>20</v>
      </c>
    </row>
    <row r="81" spans="1:6" ht="24">
      <c r="A81" s="3118">
        <v>7</v>
      </c>
      <c r="B81" s="3796"/>
      <c r="C81" s="3092" t="s">
        <v>2664</v>
      </c>
      <c r="D81" s="3092" t="s">
        <v>2665</v>
      </c>
      <c r="E81" s="3118">
        <v>0.15</v>
      </c>
      <c r="F81" s="3118">
        <v>20</v>
      </c>
    </row>
    <row r="82" spans="1:6" ht="24">
      <c r="A82" s="3118">
        <v>8</v>
      </c>
      <c r="B82" s="3796"/>
      <c r="C82" s="3092" t="s">
        <v>2666</v>
      </c>
      <c r="D82" s="3092" t="s">
        <v>2667</v>
      </c>
      <c r="E82" s="3118">
        <v>0.1</v>
      </c>
      <c r="F82" s="3118">
        <v>15</v>
      </c>
    </row>
    <row r="83" spans="1:6" ht="24">
      <c r="A83" s="3118">
        <v>9</v>
      </c>
      <c r="B83" s="3796"/>
      <c r="C83" s="3092" t="s">
        <v>2668</v>
      </c>
      <c r="D83" s="3092" t="s">
        <v>2669</v>
      </c>
      <c r="E83" s="3118">
        <v>0.1</v>
      </c>
      <c r="F83" s="3118">
        <v>15</v>
      </c>
    </row>
    <row r="84" spans="1:6" ht="24">
      <c r="A84" s="3118">
        <v>10</v>
      </c>
      <c r="B84" s="3796"/>
      <c r="C84" s="3092" t="s">
        <v>2670</v>
      </c>
      <c r="D84" s="3092" t="s">
        <v>2671</v>
      </c>
      <c r="E84" s="3118">
        <v>0.1</v>
      </c>
      <c r="F84" s="3118">
        <v>15</v>
      </c>
    </row>
    <row r="85" spans="1:6" ht="24">
      <c r="A85" s="3118">
        <v>11</v>
      </c>
      <c r="B85" s="3796"/>
      <c r="C85" s="3092" t="s">
        <v>2672</v>
      </c>
      <c r="D85" s="3092" t="s">
        <v>2673</v>
      </c>
      <c r="E85" s="3118">
        <v>0.1</v>
      </c>
      <c r="F85" s="3118">
        <v>15</v>
      </c>
    </row>
    <row r="86" spans="1:6" ht="24">
      <c r="A86" s="3118">
        <v>12</v>
      </c>
      <c r="B86" s="3796"/>
      <c r="C86" s="3092" t="s">
        <v>2674</v>
      </c>
      <c r="D86" s="3092" t="s">
        <v>2675</v>
      </c>
      <c r="E86" s="3118">
        <v>0.1</v>
      </c>
      <c r="F86" s="3118">
        <v>15</v>
      </c>
    </row>
    <row r="87" spans="1:6" ht="24">
      <c r="A87" s="3118">
        <v>13</v>
      </c>
      <c r="B87" s="3796"/>
      <c r="C87" s="3092" t="s">
        <v>2676</v>
      </c>
      <c r="D87" s="3092" t="s">
        <v>2677</v>
      </c>
      <c r="E87" s="3118">
        <v>0.1</v>
      </c>
      <c r="F87" s="3118">
        <v>15</v>
      </c>
    </row>
    <row r="88" spans="1:6" ht="24">
      <c r="A88" s="3118">
        <v>14</v>
      </c>
      <c r="B88" s="3796"/>
      <c r="C88" s="3092" t="s">
        <v>2678</v>
      </c>
      <c r="D88" s="3092" t="s">
        <v>2679</v>
      </c>
      <c r="E88" s="3118">
        <v>0.1</v>
      </c>
      <c r="F88" s="3118">
        <v>15</v>
      </c>
    </row>
    <row r="89" spans="1:6" ht="24">
      <c r="A89" s="3118">
        <v>15</v>
      </c>
      <c r="B89" s="3796"/>
      <c r="C89" s="3092" t="s">
        <v>2680</v>
      </c>
      <c r="D89" s="3092" t="s">
        <v>2681</v>
      </c>
      <c r="E89" s="3118">
        <v>0.1</v>
      </c>
      <c r="F89" s="3118">
        <v>15</v>
      </c>
    </row>
    <row r="90" spans="1:6" ht="24">
      <c r="A90" s="3118">
        <v>16</v>
      </c>
      <c r="B90" s="3796"/>
      <c r="C90" s="3092" t="s">
        <v>2682</v>
      </c>
      <c r="D90" s="3092" t="s">
        <v>2683</v>
      </c>
      <c r="E90" s="3118">
        <v>0.1</v>
      </c>
      <c r="F90" s="3118">
        <v>15</v>
      </c>
    </row>
    <row r="91" spans="1:6" ht="24">
      <c r="A91" s="3118">
        <v>17</v>
      </c>
      <c r="B91" s="3795"/>
      <c r="C91" s="3092" t="s">
        <v>2684</v>
      </c>
      <c r="D91" s="3092" t="s">
        <v>2685</v>
      </c>
      <c r="E91" s="3118">
        <v>0.1</v>
      </c>
      <c r="F91" s="3118">
        <v>15</v>
      </c>
    </row>
    <row r="92" spans="1:6" ht="14.4">
      <c r="A92" s="3118">
        <v>18</v>
      </c>
      <c r="B92" s="3794" t="s">
        <v>2686</v>
      </c>
      <c r="C92" s="3092" t="s">
        <v>2687</v>
      </c>
      <c r="D92" s="3092" t="s">
        <v>2688</v>
      </c>
      <c r="E92" s="3118">
        <v>0.2</v>
      </c>
      <c r="F92" s="3118">
        <v>25</v>
      </c>
    </row>
    <row r="93" spans="1:6" ht="24">
      <c r="A93" s="3118">
        <v>19</v>
      </c>
      <c r="B93" s="3796"/>
      <c r="C93" s="3092" t="s">
        <v>2689</v>
      </c>
      <c r="D93" s="3092" t="s">
        <v>2690</v>
      </c>
      <c r="E93" s="3118">
        <v>0.2</v>
      </c>
      <c r="F93" s="3118">
        <v>25</v>
      </c>
    </row>
    <row r="94" spans="1:6" ht="14.4">
      <c r="A94" s="3118">
        <v>20</v>
      </c>
      <c r="B94" s="3796"/>
      <c r="C94" s="3092" t="s">
        <v>2691</v>
      </c>
      <c r="D94" s="3092" t="s">
        <v>2692</v>
      </c>
      <c r="E94" s="3118">
        <v>0.15</v>
      </c>
      <c r="F94" s="3118">
        <v>20</v>
      </c>
    </row>
    <row r="95" spans="1:6" ht="24">
      <c r="A95" s="3118">
        <v>21</v>
      </c>
      <c r="B95" s="3796"/>
      <c r="C95" s="3092" t="s">
        <v>2693</v>
      </c>
      <c r="D95" s="3092" t="s">
        <v>2694</v>
      </c>
      <c r="E95" s="3118">
        <v>0.15</v>
      </c>
      <c r="F95" s="3118">
        <v>20</v>
      </c>
    </row>
    <row r="96" spans="1:6" ht="24">
      <c r="A96" s="3118">
        <v>22</v>
      </c>
      <c r="B96" s="3796"/>
      <c r="C96" s="3092" t="s">
        <v>2695</v>
      </c>
      <c r="D96" s="3092" t="s">
        <v>2696</v>
      </c>
      <c r="E96" s="3118">
        <v>0.15</v>
      </c>
      <c r="F96" s="3118">
        <v>20</v>
      </c>
    </row>
    <row r="97" spans="1:6" ht="36">
      <c r="A97" s="3118">
        <v>23</v>
      </c>
      <c r="B97" s="3796"/>
      <c r="C97" s="3092" t="s">
        <v>2697</v>
      </c>
      <c r="D97" s="3092" t="s">
        <v>2698</v>
      </c>
      <c r="E97" s="3118">
        <v>0.15</v>
      </c>
      <c r="F97" s="3118">
        <v>20</v>
      </c>
    </row>
    <row r="98" spans="1:6" ht="24">
      <c r="A98" s="3118">
        <v>24</v>
      </c>
      <c r="B98" s="3796"/>
      <c r="C98" s="3092" t="s">
        <v>2699</v>
      </c>
      <c r="D98" s="3092" t="s">
        <v>2700</v>
      </c>
      <c r="E98" s="3118">
        <v>0.1</v>
      </c>
      <c r="F98" s="3118">
        <v>15</v>
      </c>
    </row>
    <row r="99" spans="1:6" ht="24">
      <c r="A99" s="3118">
        <v>25</v>
      </c>
      <c r="B99" s="3796"/>
      <c r="C99" s="3092" t="s">
        <v>2701</v>
      </c>
      <c r="D99" s="3092" t="s">
        <v>2702</v>
      </c>
      <c r="E99" s="3118">
        <v>0.1</v>
      </c>
      <c r="F99" s="3118">
        <v>15</v>
      </c>
    </row>
    <row r="100" spans="1:6" ht="24">
      <c r="A100" s="3118">
        <v>26</v>
      </c>
      <c r="B100" s="3796"/>
      <c r="C100" s="3092" t="s">
        <v>2703</v>
      </c>
      <c r="D100" s="3092" t="s">
        <v>2704</v>
      </c>
      <c r="E100" s="3118">
        <v>0.1</v>
      </c>
      <c r="F100" s="3118">
        <v>15</v>
      </c>
    </row>
    <row r="101" spans="1:6" ht="24">
      <c r="A101" s="3118">
        <v>27</v>
      </c>
      <c r="B101" s="3796"/>
      <c r="C101" s="3092" t="s">
        <v>2705</v>
      </c>
      <c r="D101" s="3092" t="s">
        <v>2706</v>
      </c>
      <c r="E101" s="3118">
        <v>0.1</v>
      </c>
      <c r="F101" s="3118">
        <v>15</v>
      </c>
    </row>
    <row r="102" spans="1:6" ht="24">
      <c r="A102" s="3118">
        <v>28</v>
      </c>
      <c r="B102" s="3796"/>
      <c r="C102" s="3092" t="s">
        <v>2707</v>
      </c>
      <c r="D102" s="3092" t="s">
        <v>2708</v>
      </c>
      <c r="E102" s="3118">
        <v>0.1</v>
      </c>
      <c r="F102" s="3118">
        <v>15</v>
      </c>
    </row>
    <row r="103" spans="1:6" ht="24">
      <c r="A103" s="3118">
        <v>29</v>
      </c>
      <c r="B103" s="3796"/>
      <c r="C103" s="3092" t="s">
        <v>2709</v>
      </c>
      <c r="D103" s="3092" t="s">
        <v>2710</v>
      </c>
      <c r="E103" s="3118">
        <v>0.1</v>
      </c>
      <c r="F103" s="3118">
        <v>15</v>
      </c>
    </row>
    <row r="104" spans="1:6" ht="24">
      <c r="A104" s="3118">
        <v>30</v>
      </c>
      <c r="B104" s="3796"/>
      <c r="C104" s="3092" t="s">
        <v>2711</v>
      </c>
      <c r="D104" s="3092" t="s">
        <v>2712</v>
      </c>
      <c r="E104" s="3118">
        <v>0.1</v>
      </c>
      <c r="F104" s="3118">
        <v>15</v>
      </c>
    </row>
    <row r="105" spans="1:6" ht="24">
      <c r="A105" s="3118">
        <v>31</v>
      </c>
      <c r="B105" s="3796"/>
      <c r="C105" s="3092" t="s">
        <v>2713</v>
      </c>
      <c r="D105" s="3092" t="s">
        <v>2714</v>
      </c>
      <c r="E105" s="3118">
        <v>0.1</v>
      </c>
      <c r="F105" s="3118">
        <v>15</v>
      </c>
    </row>
    <row r="106" spans="1:6" ht="24">
      <c r="A106" s="3118">
        <v>32</v>
      </c>
      <c r="B106" s="3796"/>
      <c r="C106" s="3092" t="s">
        <v>2715</v>
      </c>
      <c r="D106" s="3092" t="s">
        <v>2716</v>
      </c>
      <c r="E106" s="3118">
        <v>0.1</v>
      </c>
      <c r="F106" s="3118">
        <v>15</v>
      </c>
    </row>
    <row r="107" spans="1:6" ht="24">
      <c r="A107" s="3118">
        <v>33</v>
      </c>
      <c r="B107" s="3796"/>
      <c r="C107" s="3092" t="s">
        <v>2717</v>
      </c>
      <c r="D107" s="3092" t="s">
        <v>2718</v>
      </c>
      <c r="E107" s="3118">
        <v>0.1</v>
      </c>
      <c r="F107" s="3118">
        <v>15</v>
      </c>
    </row>
    <row r="108" spans="1:6" ht="24">
      <c r="A108" s="3118">
        <v>34</v>
      </c>
      <c r="B108" s="3795"/>
      <c r="C108" s="3092" t="s">
        <v>2719</v>
      </c>
      <c r="D108" s="3092" t="s">
        <v>2720</v>
      </c>
      <c r="E108" s="3118">
        <v>0.1</v>
      </c>
      <c r="F108" s="3118">
        <v>15</v>
      </c>
    </row>
    <row r="109" spans="1:6" ht="36">
      <c r="A109" s="3118">
        <v>35</v>
      </c>
      <c r="B109" s="3794" t="s">
        <v>2721</v>
      </c>
      <c r="C109" s="3118" t="s">
        <v>2722</v>
      </c>
      <c r="D109" s="3092" t="s">
        <v>2723</v>
      </c>
      <c r="E109" s="3118">
        <v>0.15</v>
      </c>
      <c r="F109" s="3118">
        <v>20</v>
      </c>
    </row>
    <row r="110" spans="1:6" ht="24">
      <c r="A110" s="3118">
        <v>36</v>
      </c>
      <c r="B110" s="3796"/>
      <c r="C110" s="3118" t="s">
        <v>2724</v>
      </c>
      <c r="D110" s="3092" t="s">
        <v>2725</v>
      </c>
      <c r="E110" s="3118">
        <v>0.15</v>
      </c>
      <c r="F110" s="3118">
        <v>20</v>
      </c>
    </row>
    <row r="111" spans="1:6" ht="24">
      <c r="A111" s="3118">
        <v>37</v>
      </c>
      <c r="B111" s="3796"/>
      <c r="C111" s="3118" t="s">
        <v>2726</v>
      </c>
      <c r="D111" s="3092" t="s">
        <v>2727</v>
      </c>
      <c r="E111" s="3118">
        <v>0.15</v>
      </c>
      <c r="F111" s="3118">
        <v>20</v>
      </c>
    </row>
    <row r="112" spans="1:6" ht="24">
      <c r="A112" s="3118">
        <v>38</v>
      </c>
      <c r="B112" s="3796"/>
      <c r="C112" s="3118" t="s">
        <v>2728</v>
      </c>
      <c r="D112" s="3092" t="s">
        <v>2729</v>
      </c>
      <c r="E112" s="3118">
        <v>0.1</v>
      </c>
      <c r="F112" s="3118">
        <v>15</v>
      </c>
    </row>
    <row r="113" spans="1:6" ht="24">
      <c r="A113" s="3118">
        <v>39</v>
      </c>
      <c r="B113" s="3796"/>
      <c r="C113" s="3118" t="s">
        <v>2730</v>
      </c>
      <c r="D113" s="3092" t="s">
        <v>2731</v>
      </c>
      <c r="E113" s="3118">
        <v>0.1</v>
      </c>
      <c r="F113" s="3118">
        <v>15</v>
      </c>
    </row>
    <row r="114" spans="1:6" ht="24">
      <c r="A114" s="3118">
        <v>40</v>
      </c>
      <c r="B114" s="3795"/>
      <c r="C114" s="3118" t="s">
        <v>2732</v>
      </c>
      <c r="D114" s="3092" t="s">
        <v>2733</v>
      </c>
      <c r="E114" s="3118">
        <v>0.1</v>
      </c>
      <c r="F114" s="3118">
        <v>15</v>
      </c>
    </row>
    <row r="115" spans="1:6" ht="24">
      <c r="A115" s="3118">
        <v>41</v>
      </c>
      <c r="B115" s="3793" t="s">
        <v>2734</v>
      </c>
      <c r="C115" s="3118" t="s">
        <v>2735</v>
      </c>
      <c r="D115" s="3092" t="s">
        <v>2736</v>
      </c>
      <c r="E115" s="3118">
        <v>0.1</v>
      </c>
      <c r="F115" s="3118">
        <v>15</v>
      </c>
    </row>
    <row r="116" spans="1:6" ht="24">
      <c r="A116" s="3118">
        <v>42</v>
      </c>
      <c r="B116" s="3793"/>
      <c r="C116" s="3118" t="s">
        <v>2737</v>
      </c>
      <c r="D116" s="3092" t="s">
        <v>2738</v>
      </c>
      <c r="E116" s="3118">
        <v>0.1</v>
      </c>
      <c r="F116" s="3118">
        <v>15</v>
      </c>
    </row>
    <row r="117" spans="1:6" ht="24">
      <c r="A117" s="3118">
        <v>43</v>
      </c>
      <c r="B117" s="3793"/>
      <c r="C117" s="3118" t="s">
        <v>2739</v>
      </c>
      <c r="D117" s="3092" t="s">
        <v>2740</v>
      </c>
      <c r="E117" s="3118">
        <v>0.1</v>
      </c>
      <c r="F117" s="3118">
        <v>15</v>
      </c>
    </row>
    <row r="118" spans="1:6" ht="24">
      <c r="A118" s="3118">
        <v>44</v>
      </c>
      <c r="B118" s="3794" t="s">
        <v>2741</v>
      </c>
      <c r="C118" s="3118" t="s">
        <v>2742</v>
      </c>
      <c r="D118" s="3092" t="s">
        <v>2743</v>
      </c>
      <c r="E118" s="3118">
        <v>0.1</v>
      </c>
      <c r="F118" s="3118">
        <v>15</v>
      </c>
    </row>
    <row r="119" spans="1:6" ht="24">
      <c r="A119" s="3118">
        <v>45</v>
      </c>
      <c r="B119" s="3795"/>
      <c r="C119" s="3092" t="s">
        <v>2744</v>
      </c>
      <c r="D119" s="3092" t="s">
        <v>2745</v>
      </c>
      <c r="E119" s="3118">
        <v>0.1</v>
      </c>
      <c r="F119" s="3118">
        <v>15</v>
      </c>
    </row>
    <row r="120" spans="1:6" ht="24">
      <c r="A120" s="3118">
        <v>46</v>
      </c>
      <c r="B120" s="3794" t="s">
        <v>2746</v>
      </c>
      <c r="C120" s="3118" t="s">
        <v>2747</v>
      </c>
      <c r="D120" s="3092" t="s">
        <v>2748</v>
      </c>
      <c r="E120" s="3118">
        <v>0.1</v>
      </c>
      <c r="F120" s="3118">
        <v>15</v>
      </c>
    </row>
    <row r="121" spans="1:6" ht="24">
      <c r="A121" s="3118">
        <v>47</v>
      </c>
      <c r="B121" s="3795"/>
      <c r="C121" s="3118" t="s">
        <v>2749</v>
      </c>
      <c r="D121" s="3092" t="s">
        <v>2750</v>
      </c>
      <c r="E121" s="3118">
        <v>0.1</v>
      </c>
      <c r="F121" s="3118">
        <v>15</v>
      </c>
    </row>
    <row r="122" spans="1:6" ht="24">
      <c r="A122" s="3118">
        <v>48</v>
      </c>
      <c r="B122" s="3794" t="s">
        <v>2751</v>
      </c>
      <c r="C122" s="3118" t="s">
        <v>2752</v>
      </c>
      <c r="D122" s="3092" t="s">
        <v>2753</v>
      </c>
      <c r="E122" s="3118">
        <v>0.1</v>
      </c>
      <c r="F122" s="3118">
        <v>15</v>
      </c>
    </row>
    <row r="123" spans="1:6" ht="24">
      <c r="A123" s="3118">
        <v>49</v>
      </c>
      <c r="B123" s="3795"/>
      <c r="C123" s="3118" t="s">
        <v>2754</v>
      </c>
      <c r="D123" s="3092" t="s">
        <v>2755</v>
      </c>
      <c r="E123" s="3118">
        <v>0.1</v>
      </c>
      <c r="F123" s="3118">
        <v>15</v>
      </c>
    </row>
    <row r="124" spans="1:6" ht="24">
      <c r="A124" s="3118">
        <v>50</v>
      </c>
      <c r="B124" s="3793" t="s">
        <v>2756</v>
      </c>
      <c r="C124" s="3118" t="s">
        <v>2757</v>
      </c>
      <c r="D124" s="3092" t="s">
        <v>2758</v>
      </c>
      <c r="E124" s="3118">
        <v>0.1</v>
      </c>
      <c r="F124" s="3118">
        <v>15</v>
      </c>
    </row>
    <row r="125" spans="1:6" ht="24">
      <c r="A125" s="3118">
        <v>51</v>
      </c>
      <c r="B125" s="3793"/>
      <c r="C125" s="3118" t="s">
        <v>2759</v>
      </c>
      <c r="D125" s="3092" t="s">
        <v>2760</v>
      </c>
      <c r="E125" s="3118">
        <v>0.1</v>
      </c>
      <c r="F125" s="3118">
        <v>15</v>
      </c>
    </row>
    <row r="126" spans="1:6" ht="24">
      <c r="A126" s="3118">
        <v>52</v>
      </c>
      <c r="B126" s="3793" t="s">
        <v>2761</v>
      </c>
      <c r="C126" s="3118" t="s">
        <v>2762</v>
      </c>
      <c r="D126" s="3092" t="s">
        <v>2763</v>
      </c>
      <c r="E126" s="3118">
        <v>0.1</v>
      </c>
      <c r="F126" s="3118">
        <v>15</v>
      </c>
    </row>
    <row r="127" spans="1:6" ht="24">
      <c r="A127" s="3118">
        <v>53</v>
      </c>
      <c r="B127" s="3793"/>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793" t="s">
        <v>2769</v>
      </c>
      <c r="C129" s="3118" t="s">
        <v>2770</v>
      </c>
      <c r="D129" s="3092" t="s">
        <v>2771</v>
      </c>
      <c r="E129" s="3118">
        <v>0.1</v>
      </c>
      <c r="F129" s="3118">
        <v>15</v>
      </c>
    </row>
    <row r="130" spans="1:6" ht="24">
      <c r="A130" s="3118">
        <v>56</v>
      </c>
      <c r="B130" s="3793"/>
      <c r="C130" s="3118" t="s">
        <v>2772</v>
      </c>
      <c r="D130" s="3092" t="s">
        <v>2773</v>
      </c>
      <c r="E130" s="3118">
        <v>0.1</v>
      </c>
      <c r="F130" s="3118">
        <v>15</v>
      </c>
    </row>
    <row r="131" spans="1:6" ht="24">
      <c r="A131" s="3118">
        <v>57</v>
      </c>
      <c r="B131" s="3793"/>
      <c r="C131" s="3118" t="s">
        <v>2774</v>
      </c>
      <c r="D131" s="3092" t="s">
        <v>2775</v>
      </c>
      <c r="E131" s="3118">
        <v>0.1</v>
      </c>
      <c r="F131" s="3118">
        <v>15</v>
      </c>
    </row>
    <row r="132" spans="1:6" ht="24">
      <c r="A132" s="3118">
        <v>58</v>
      </c>
      <c r="B132" s="3793" t="s">
        <v>2776</v>
      </c>
      <c r="C132" s="3118" t="s">
        <v>2777</v>
      </c>
      <c r="D132" s="3092" t="s">
        <v>2778</v>
      </c>
      <c r="E132" s="3118">
        <v>0.1</v>
      </c>
      <c r="F132" s="3118">
        <v>15</v>
      </c>
    </row>
    <row r="133" spans="1:6" ht="24">
      <c r="A133" s="3118">
        <v>59</v>
      </c>
      <c r="B133" s="3793"/>
      <c r="C133" s="3118" t="s">
        <v>2779</v>
      </c>
      <c r="D133" s="3092" t="s">
        <v>2780</v>
      </c>
      <c r="E133" s="3118">
        <v>0.1</v>
      </c>
      <c r="F133" s="3118">
        <v>15</v>
      </c>
    </row>
    <row r="134" spans="1:6" ht="24">
      <c r="A134" s="3118">
        <v>60</v>
      </c>
      <c r="B134" s="3794" t="s">
        <v>2781</v>
      </c>
      <c r="C134" s="3118" t="s">
        <v>2782</v>
      </c>
      <c r="D134" s="3092" t="s">
        <v>2783</v>
      </c>
      <c r="E134" s="3118">
        <v>0.1</v>
      </c>
      <c r="F134" s="3118">
        <v>15</v>
      </c>
    </row>
    <row r="135" spans="1:6" ht="24">
      <c r="A135" s="3118">
        <v>61</v>
      </c>
      <c r="B135" s="3795"/>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793" t="s">
        <v>2789</v>
      </c>
      <c r="C137" s="3118" t="s">
        <v>2790</v>
      </c>
      <c r="D137" s="3092" t="s">
        <v>2791</v>
      </c>
      <c r="E137" s="3118">
        <v>0.1</v>
      </c>
      <c r="F137" s="3118">
        <v>15</v>
      </c>
    </row>
    <row r="138" spans="1:6" ht="24">
      <c r="A138" s="3118">
        <v>64</v>
      </c>
      <c r="B138" s="3793"/>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0.96950000000000003</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0.92220000000000002</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0"/>
      <c r="C2" s="3490"/>
      <c r="D2" s="3490"/>
      <c r="E2" s="3490"/>
    </row>
    <row r="3" spans="1:5" ht="17.399999999999999">
      <c r="A3" s="3491" t="str">
        <f>IF(项目基本情况!B9="房地产市场价值","估价结果一览表（市场价值不需“结果表-1”）","估价结果一览表")</f>
        <v>估价结果一览表（市场价值不需“结果表-1”）</v>
      </c>
      <c r="B3" s="3491"/>
      <c r="C3" s="3491"/>
      <c r="D3" s="3491"/>
      <c r="E3" s="3491"/>
    </row>
    <row r="4" spans="1:5" ht="18" thickBot="1">
      <c r="A4" s="1493"/>
      <c r="B4" s="3489" t="s">
        <v>917</v>
      </c>
      <c r="C4" s="3489"/>
      <c r="D4" s="3489"/>
      <c r="E4" s="1493"/>
    </row>
    <row r="5" spans="1:5" ht="16.2" thickTop="1">
      <c r="A5" s="1491"/>
      <c r="B5" s="3487" t="s">
        <v>909</v>
      </c>
      <c r="C5" s="1494" t="s">
        <v>910</v>
      </c>
      <c r="D5" s="850" t="e">
        <f ca="1">结果表!H101</f>
        <v>#REF!</v>
      </c>
      <c r="E5" s="1491"/>
    </row>
    <row r="6" spans="1:5" ht="15.6">
      <c r="A6" s="1491"/>
      <c r="B6" s="3487"/>
      <c r="C6" s="1494" t="s">
        <v>911</v>
      </c>
      <c r="D6" s="850" t="e">
        <f ca="1">NUMBERSTRING(INT(D5*10000),2)&amp;"元整"</f>
        <v>#REF!</v>
      </c>
      <c r="E6" s="1491"/>
    </row>
    <row r="7" spans="1:5" ht="15.6">
      <c r="A7" s="1491"/>
      <c r="B7" s="3492"/>
      <c r="C7" s="1495" t="s">
        <v>912</v>
      </c>
      <c r="D7" s="851" t="e">
        <f ca="1">结果表!H102</f>
        <v>#REF!</v>
      </c>
      <c r="E7" s="1491"/>
    </row>
    <row r="8" spans="1:5" ht="15.6">
      <c r="A8" s="1491"/>
      <c r="B8" s="3493" t="str">
        <f>结果表!E103</f>
        <v>2.估价师知悉的法定优先受偿款</v>
      </c>
      <c r="C8" s="1496" t="s">
        <v>913</v>
      </c>
      <c r="D8" s="851">
        <f>结果表!H103</f>
        <v>0</v>
      </c>
      <c r="E8" s="1491"/>
    </row>
    <row r="9" spans="1:5" ht="15.6">
      <c r="A9" s="1491"/>
      <c r="B9" s="349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6" t="str">
        <f>结果表!E107</f>
        <v>3.房地产抵押价值</v>
      </c>
      <c r="C13" s="1499" t="s">
        <v>910</v>
      </c>
      <c r="D13" s="853" t="e">
        <f ca="1">结果表!H107</f>
        <v>#REF!</v>
      </c>
      <c r="E13" s="1491"/>
    </row>
    <row r="14" spans="1:5" ht="15.6">
      <c r="A14" s="1491"/>
      <c r="B14" s="3487"/>
      <c r="C14" s="1494" t="s">
        <v>911</v>
      </c>
      <c r="D14" s="850" t="e">
        <f ca="1">NUMBERSTRING(INT(D13*10000),2)&amp;"元整"</f>
        <v>#REF!</v>
      </c>
      <c r="E14" s="1491"/>
    </row>
    <row r="15" spans="1:5" ht="15.6">
      <c r="A15" s="1491"/>
      <c r="B15" s="3492"/>
      <c r="C15" s="1495" t="s">
        <v>921</v>
      </c>
      <c r="D15" s="859" t="e">
        <f ca="1">结果表!H108</f>
        <v>#REF!</v>
      </c>
      <c r="E15" s="1491"/>
    </row>
    <row r="16" spans="1:5" ht="15.6">
      <c r="A16" s="1491"/>
      <c r="B16" s="3493" t="str">
        <f>结果表!E109</f>
        <v>——</v>
      </c>
      <c r="C16" s="1499" t="s">
        <v>922</v>
      </c>
      <c r="D16" s="1500" t="str">
        <f>结果表!H109</f>
        <v>——</v>
      </c>
      <c r="E16" s="1491"/>
    </row>
    <row r="17" spans="1:5" ht="15.6">
      <c r="A17" s="1491"/>
      <c r="B17" s="3494"/>
      <c r="C17" s="1494" t="s">
        <v>923</v>
      </c>
      <c r="D17" s="850" t="e">
        <f>NUMBERSTRING(INT(D16*10000),2)&amp;"元整"</f>
        <v>#VALUE!</v>
      </c>
      <c r="E17" s="1491"/>
    </row>
    <row r="18" spans="1:5" ht="15.6">
      <c r="A18" s="1491"/>
      <c r="B18" s="3495"/>
      <c r="C18" s="1495" t="s">
        <v>912</v>
      </c>
      <c r="D18" s="859" t="str">
        <f>结果表!H110</f>
        <v>——</v>
      </c>
      <c r="E18" s="1491"/>
    </row>
    <row r="19" spans="1:5" ht="15.6">
      <c r="A19" s="1491"/>
      <c r="B19" s="3486" t="str">
        <f>结果表!E111</f>
        <v>——</v>
      </c>
      <c r="C19" s="1499" t="s">
        <v>910</v>
      </c>
      <c r="D19" s="851" t="str">
        <f>结果表!H111</f>
        <v>——</v>
      </c>
      <c r="E19" s="1491"/>
    </row>
    <row r="20" spans="1:5" ht="15.6">
      <c r="A20" s="1491"/>
      <c r="B20" s="3487"/>
      <c r="C20" s="1494" t="s">
        <v>923</v>
      </c>
      <c r="D20" s="850" t="e">
        <f>NUMBERSTRING(INT(D19*10000),2)&amp;"元整"</f>
        <v>#VALUE!</v>
      </c>
      <c r="E20" s="1491"/>
    </row>
    <row r="21" spans="1:5" ht="16.2" thickBot="1">
      <c r="A21" s="1491"/>
      <c r="B21" s="348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51848</v>
      </c>
      <c r="C2" s="2" t="s">
        <v>106</v>
      </c>
      <c r="D2" s="199"/>
      <c r="E2" s="199"/>
      <c r="F2" s="199"/>
      <c r="G2" s="199"/>
    </row>
    <row r="3" spans="1:7" s="200" customFormat="1" ht="18" customHeight="1" thickBot="1">
      <c r="A3" s="203" t="s">
        <v>58</v>
      </c>
      <c r="B3" s="204">
        <f ca="1">ROUND(B2*10000/'数据-汇总表'!E3,0)</f>
        <v>11076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749</v>
      </c>
      <c r="D9" s="845">
        <f>'数据-汇总表'!E5</f>
        <v>46810</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936</v>
      </c>
      <c r="D19" s="849">
        <f>'数据-汇总表'!E3</f>
        <v>46810</v>
      </c>
      <c r="E19" s="211">
        <f>'数据-取费表'!B31</f>
        <v>200</v>
      </c>
      <c r="F19" s="231"/>
      <c r="G19" s="1" t="s">
        <v>436</v>
      </c>
    </row>
    <row r="20" spans="1:7" s="214" customFormat="1" ht="13.5" customHeight="1">
      <c r="A20" s="777" t="s">
        <v>419</v>
      </c>
      <c r="B20" s="210" t="s">
        <v>77</v>
      </c>
      <c r="C20" s="232">
        <f>ROUND((C5+C19)*F20,0)</f>
        <v>431</v>
      </c>
      <c r="D20" s="232"/>
      <c r="E20" s="232"/>
      <c r="F20" s="233">
        <f>'数据-取费表'!B37</f>
        <v>0.02</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1325</v>
      </c>
      <c r="D22" s="235">
        <f ca="1">C26</f>
        <v>0</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57</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6.4">
      <c r="A27" s="777" t="s">
        <v>342</v>
      </c>
      <c r="B27" s="244" t="s">
        <v>85</v>
      </c>
      <c r="C27" s="245">
        <f>C28</f>
        <v>659</v>
      </c>
      <c r="D27" s="235">
        <f>C29</f>
        <v>0</v>
      </c>
      <c r="E27" s="236" t="s">
        <v>99</v>
      </c>
      <c r="F27" s="246">
        <f>'数据-取费表'!Q16</f>
        <v>0.03</v>
      </c>
      <c r="G27" s="247" t="s">
        <v>431</v>
      </c>
    </row>
    <row r="28" spans="1:7" s="214" customFormat="1" ht="13.5" customHeight="1">
      <c r="A28" s="780" t="s">
        <v>349</v>
      </c>
      <c r="B28" s="248" t="s">
        <v>424</v>
      </c>
      <c r="C28" s="249">
        <f>ROUND((C5+C19+C20)*F27*'数据-取费表'!B21/'数据-取费表'!B20,0)</f>
        <v>659</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23961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25793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21065</v>
      </c>
      <c r="D34" s="217"/>
      <c r="E34" s="220"/>
      <c r="F34" s="257">
        <f>IF('数据-取费表'!B24=0,1,'数据-取费表'!N16)</f>
        <v>1</v>
      </c>
      <c r="G34" s="219" t="s">
        <v>89</v>
      </c>
    </row>
    <row r="35" spans="1:7" ht="13.5" customHeight="1">
      <c r="A35" s="780" t="s">
        <v>351</v>
      </c>
      <c r="B35" s="215" t="s">
        <v>33</v>
      </c>
      <c r="C35" s="220">
        <f>ROUND(C34*F35,0)</f>
        <v>1053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2107</v>
      </c>
      <c r="D36" s="220"/>
      <c r="E36" s="220"/>
      <c r="F36" s="259">
        <f>'数据-取费表'!B34</f>
        <v>0.1</v>
      </c>
      <c r="G36" s="260" t="s">
        <v>35</v>
      </c>
    </row>
    <row r="37" spans="1:7" s="258" customFormat="1" ht="13.5" customHeight="1">
      <c r="A37" s="780" t="s">
        <v>353</v>
      </c>
      <c r="B37" s="215" t="s">
        <v>91</v>
      </c>
      <c r="C37" s="249">
        <f>ROUND(E37*D37*F34/10000,0)</f>
        <v>936</v>
      </c>
      <c r="D37" s="217">
        <f>'数据-汇总表'!E3</f>
        <v>46810</v>
      </c>
      <c r="E37" s="249">
        <f>'数据-取费表'!B35</f>
        <v>200</v>
      </c>
      <c r="F37" s="259"/>
      <c r="G37" s="261" t="s">
        <v>92</v>
      </c>
    </row>
    <row r="38" spans="1:7" ht="13.5" customHeight="1">
      <c r="A38" s="780" t="s">
        <v>354</v>
      </c>
      <c r="B38" s="215" t="s">
        <v>36</v>
      </c>
      <c r="C38" s="220">
        <f>ROUND(C34*F38,0)</f>
        <v>632</v>
      </c>
      <c r="D38" s="220"/>
      <c r="E38" s="220"/>
      <c r="F38" s="259">
        <f>'数据-取费表'!B36</f>
        <v>0.03</v>
      </c>
      <c r="G38" s="219" t="s">
        <v>90</v>
      </c>
    </row>
    <row r="39" spans="1:7" s="214" customFormat="1" ht="13.5" customHeight="1">
      <c r="A39" s="777" t="s">
        <v>338</v>
      </c>
      <c r="B39" s="210" t="s">
        <v>77</v>
      </c>
      <c r="C39" s="232">
        <f>ROUND(C33*F20,0)</f>
        <v>516</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789</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774</v>
      </c>
      <c r="D42" s="238"/>
      <c r="E42" s="238"/>
      <c r="F42" s="239"/>
      <c r="G42" s="3668" t="s">
        <v>94</v>
      </c>
    </row>
    <row r="43" spans="1:7" ht="13.5" customHeight="1">
      <c r="A43" s="780" t="s">
        <v>347</v>
      </c>
      <c r="B43" s="215" t="s">
        <v>426</v>
      </c>
      <c r="C43" s="238">
        <f ca="1">ROUND(IF('数据-取费表'!B22&lt;=1,C39*F22*'数据-取费表'!B21/2,C39*(POWER((1+F22),'数据-取费表'!B21/2)-1)),0)</f>
        <v>15</v>
      </c>
      <c r="D43" s="238"/>
      <c r="E43" s="238"/>
      <c r="F43" s="239"/>
      <c r="G43" s="3669"/>
    </row>
    <row r="44" spans="1:7" ht="13.5" customHeight="1">
      <c r="A44" s="780" t="s">
        <v>348</v>
      </c>
      <c r="B44" s="215" t="s">
        <v>428</v>
      </c>
      <c r="C44" s="238">
        <f ca="1">ROUND(IF('数据-取费表'!B22&lt;=1,C40*F22*'数据-取费表'!B21/2,C40*(POWER((1+F22),'数据-取费表'!B21/2)-1)),4)</f>
        <v>0</v>
      </c>
      <c r="D44" s="238"/>
      <c r="E44" s="238"/>
      <c r="F44" s="239"/>
      <c r="G44" s="3670"/>
    </row>
    <row r="45" spans="1:7" s="214" customFormat="1" ht="13.5" customHeight="1">
      <c r="A45" s="777" t="s">
        <v>341</v>
      </c>
      <c r="B45" s="244" t="s">
        <v>85</v>
      </c>
      <c r="C45" s="245">
        <f>C46</f>
        <v>789</v>
      </c>
      <c r="D45" s="235">
        <f>C47</f>
        <v>0</v>
      </c>
      <c r="E45" s="236" t="s">
        <v>102</v>
      </c>
      <c r="F45" s="246"/>
      <c r="G45" s="247" t="s">
        <v>434</v>
      </c>
    </row>
    <row r="46" spans="1:7" s="214" customFormat="1" ht="13.5" customHeight="1">
      <c r="A46" s="780" t="s">
        <v>349</v>
      </c>
      <c r="B46" s="248" t="s">
        <v>427</v>
      </c>
      <c r="C46" s="249">
        <f>ROUND((C33+C39)*F27,0)</f>
        <v>789</v>
      </c>
      <c r="D46" s="263"/>
      <c r="E46" s="236"/>
      <c r="F46" s="246"/>
      <c r="G46" s="247"/>
    </row>
    <row r="47" spans="1:7" s="214" customFormat="1" ht="13.5" customHeight="1">
      <c r="A47" s="780" t="s">
        <v>347</v>
      </c>
      <c r="B47" s="248" t="s">
        <v>429</v>
      </c>
      <c r="C47" s="238">
        <f>ROUND(C40*F27,4)</f>
        <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27887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27887</v>
      </c>
      <c r="D51" s="232"/>
      <c r="E51" s="232"/>
      <c r="F51" s="264"/>
      <c r="G51" s="234" t="s">
        <v>37</v>
      </c>
    </row>
    <row r="52" spans="1:7" s="208" customFormat="1" ht="16.8" thickBot="1">
      <c r="A52" s="265" t="s">
        <v>38</v>
      </c>
      <c r="B52" s="266"/>
      <c r="C52" s="267">
        <f ca="1">C31+C51</f>
        <v>51848</v>
      </c>
      <c r="D52" s="266"/>
      <c r="E52" s="266"/>
      <c r="F52" s="266"/>
      <c r="G52" s="268"/>
    </row>
    <row r="55" spans="1:7" ht="15">
      <c r="B55" s="270" t="s">
        <v>39</v>
      </c>
      <c r="C55" s="271"/>
    </row>
    <row r="56" spans="1:7">
      <c r="B56" s="273" t="s">
        <v>40</v>
      </c>
      <c r="C56" s="274">
        <f ca="1">ROUND(C51/C52,3)</f>
        <v>0.53800000000000003</v>
      </c>
    </row>
    <row r="57" spans="1:7">
      <c r="B57" s="273" t="s">
        <v>41</v>
      </c>
      <c r="C57" s="275">
        <f ca="1">1-C56</f>
        <v>0.46199999999999997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7" t="s">
        <v>3181</v>
      </c>
      <c r="B1" s="380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8" t="s">
        <v>3232</v>
      </c>
      <c r="B1" s="3808"/>
      <c r="C1" s="3808"/>
      <c r="D1" s="3808"/>
      <c r="E1" s="3808"/>
      <c r="F1" s="380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3221">
        <f>基准地价修正!G23</f>
        <v>45859</v>
      </c>
      <c r="B1" s="3210" t="s">
        <v>3378</v>
      </c>
      <c r="C1" s="3211"/>
      <c r="D1" s="3211"/>
      <c r="E1" s="3211"/>
      <c r="F1" s="3211"/>
      <c r="G1" s="3211"/>
      <c r="H1" s="3211"/>
      <c r="I1" s="3211"/>
      <c r="J1" s="3165"/>
      <c r="K1" s="3211" t="s">
        <v>454</v>
      </c>
      <c r="L1" s="3211"/>
      <c r="M1" s="3211"/>
      <c r="N1" s="3211"/>
      <c r="O1" s="3211"/>
      <c r="P1" s="3211"/>
      <c r="Q1" s="3165"/>
      <c r="R1" s="3810" t="s">
        <v>456</v>
      </c>
      <c r="S1" s="3811"/>
      <c r="T1" s="3811"/>
      <c r="U1" s="3811"/>
      <c r="V1" s="3811"/>
      <c r="W1" s="3811"/>
      <c r="X1" s="3165"/>
      <c r="Y1" s="3810" t="s">
        <v>457</v>
      </c>
      <c r="Z1" s="3811"/>
      <c r="AA1" s="3811"/>
      <c r="AB1" s="3811"/>
      <c r="AC1" s="3811"/>
      <c r="AD1" s="3811"/>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10" t="s">
        <v>2827</v>
      </c>
      <c r="S29" s="3811"/>
      <c r="T29" s="3811"/>
      <c r="U29" s="3811"/>
      <c r="V29" s="3811"/>
      <c r="W29" s="3811"/>
      <c r="X29" s="3165"/>
      <c r="Y29" s="3810" t="s">
        <v>2828</v>
      </c>
      <c r="Z29" s="3811"/>
      <c r="AA29" s="3811"/>
      <c r="AB29" s="3811"/>
      <c r="AC29" s="3811"/>
      <c r="AD29" s="3811"/>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5" t="s">
        <v>2839</v>
      </c>
      <c r="B1" s="3825"/>
      <c r="C1" s="3825"/>
      <c r="D1" s="3825"/>
      <c r="E1" s="3825"/>
      <c r="F1" s="3825"/>
      <c r="G1" s="382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45859</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3" t="str">
        <f>IF(项目基本情况!B9="房地产市场价值","估价结果一览表","结果表-2")</f>
        <v>估价结果一览表</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房地产市场价值</v>
      </c>
      <c r="I2" s="3504"/>
    </row>
    <row r="3" spans="1:9" ht="15.6">
      <c r="A3" s="3499"/>
      <c r="B3" s="3499"/>
      <c r="C3" s="3499"/>
      <c r="D3" s="854" t="s">
        <v>925</v>
      </c>
      <c r="E3" s="854" t="s">
        <v>931</v>
      </c>
      <c r="F3" s="854" t="s">
        <v>925</v>
      </c>
      <c r="G3" s="854" t="s">
        <v>926</v>
      </c>
      <c r="H3" s="854" t="s">
        <v>925</v>
      </c>
      <c r="I3" s="854" t="s">
        <v>926</v>
      </c>
    </row>
    <row r="4" spans="1:9" ht="15">
      <c r="A4" s="1505" t="str">
        <f>项目基本情况!S2</f>
        <v>北京市房地产</v>
      </c>
      <c r="B4" s="854">
        <f>项目基本情况!C17</f>
        <v>46810</v>
      </c>
      <c r="C4" s="854">
        <f>项目基本情况!C18</f>
        <v>19949.16</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9" t="s">
        <v>927</v>
      </c>
      <c r="B5" s="3499"/>
      <c r="C5" s="3499"/>
      <c r="D5" s="3499" t="e">
        <f ca="1">结果表!D119</f>
        <v>#REF!</v>
      </c>
      <c r="E5" s="3499"/>
      <c r="F5" s="3499" t="e">
        <f ca="1">结果表!F119</f>
        <v>#REF!</v>
      </c>
      <c r="G5" s="3499"/>
      <c r="H5" s="3499" t="e">
        <f ca="1">结果表!H119</f>
        <v>#REF!</v>
      </c>
      <c r="I5" s="3499"/>
    </row>
    <row r="6" spans="1:9" ht="15.6">
      <c r="A6" s="3498" t="str">
        <f>结果表!A120</f>
        <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6">
      <c r="A8" s="3498" t="str">
        <f>结果表!A122</f>
        <v/>
      </c>
      <c r="B8" s="3498"/>
      <c r="C8" s="3498"/>
      <c r="D8" s="3498" t="e">
        <f ca="1">结果表!D122</f>
        <v>#REF!</v>
      </c>
      <c r="E8" s="3498"/>
      <c r="F8" s="3498"/>
      <c r="G8" s="3498"/>
      <c r="H8" s="3498"/>
      <c r="I8" s="3498"/>
    </row>
    <row r="9" spans="1:9" ht="15">
      <c r="A9" s="3499" t="s">
        <v>927</v>
      </c>
      <c r="B9" s="3499"/>
      <c r="C9" s="3499"/>
      <c r="D9" s="3499" t="e">
        <f ca="1">结果表!D123</f>
        <v>#REF!</v>
      </c>
      <c r="E9" s="3499"/>
      <c r="F9" s="3499"/>
      <c r="G9" s="3499"/>
      <c r="H9" s="3499"/>
      <c r="I9" s="3499"/>
    </row>
    <row r="10" spans="1:9" ht="15.6">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6">
      <c r="A12" s="3498" t="str">
        <f>结果表!A126</f>
        <v/>
      </c>
      <c r="B12" s="3498"/>
      <c r="C12" s="3498"/>
      <c r="D12" s="3498" t="str">
        <f>结果表!D126</f>
        <v>——</v>
      </c>
      <c r="E12" s="3498"/>
      <c r="F12" s="3498"/>
      <c r="G12" s="3498"/>
      <c r="H12" s="3498"/>
      <c r="I12" s="3498"/>
    </row>
    <row r="13" spans="1:9" ht="15.6" thickBot="1">
      <c r="A13" s="3496" t="s">
        <v>927</v>
      </c>
      <c r="B13" s="3496"/>
      <c r="C13" s="3496"/>
      <c r="D13" s="3496" t="e">
        <f>结果表!D127</f>
        <v>#VALUE!</v>
      </c>
      <c r="E13" s="3496"/>
      <c r="F13" s="3496"/>
      <c r="G13" s="3496"/>
      <c r="H13" s="3496"/>
      <c r="I13" s="3496"/>
    </row>
    <row r="14" spans="1:9" ht="14.4" thickTop="1">
      <c r="A14" s="3497" t="s">
        <v>932</v>
      </c>
      <c r="B14" s="3497"/>
      <c r="C14" s="3497"/>
      <c r="D14" s="3497"/>
      <c r="E14" s="3497"/>
      <c r="F14" s="3497"/>
      <c r="G14" s="3497"/>
      <c r="H14" s="3497"/>
      <c r="I14" s="349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1" t="s">
        <v>949</v>
      </c>
      <c r="B1" s="3511"/>
      <c r="C1" s="3511"/>
      <c r="D1" s="3511"/>
    </row>
    <row r="2" spans="1:4" ht="17.399999999999999">
      <c r="A2" s="3512" t="s">
        <v>933</v>
      </c>
      <c r="B2" s="3512"/>
      <c r="C2" s="3512"/>
      <c r="D2" s="351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2" t="s">
        <v>939</v>
      </c>
      <c r="B6" s="3512"/>
      <c r="C6" s="3512"/>
      <c r="D6" s="351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3" t="s">
        <v>942</v>
      </c>
      <c r="B11" s="3505"/>
      <c r="C11" s="3505"/>
      <c r="D11" s="3505"/>
    </row>
    <row r="12" spans="1:4" ht="15.6">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5" t="str">
        <f>IF(项目基本情况!B8="抵押","3.抵押双方在办理抵押登记手续时，应使用本公司出具的正式《房地产评估报告》，特提醒报告使用者注意。","——")</f>
        <v>——</v>
      </c>
      <c r="B13" s="3510"/>
      <c r="C13" s="3510"/>
      <c r="D13" s="3510"/>
    </row>
    <row r="14" spans="1:4" ht="15.75" customHeight="1">
      <c r="A14" s="3505" t="str">
        <f>IF(项目基本情况!B8="抵押","4.本次评估估价师所知悉的法定优先受偿款情况说明如下：","——")</f>
        <v>——</v>
      </c>
      <c r="B14" s="3510"/>
      <c r="C14" s="3510"/>
      <c r="D14" s="3510"/>
    </row>
    <row r="15" spans="1:4" ht="42" customHeight="1">
      <c r="A15" s="3505" t="str">
        <f>IF(项目基本情况!B8="抵押","（1）"&amp;CONCATENATE(项目基本情况!L20,项目基本情况!L21,项目基本情况!L22),"——")</f>
        <v>——</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38" sqref="C38"/>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9" t="s">
        <v>956</v>
      </c>
      <c r="B15" s="3514" t="s">
        <v>109</v>
      </c>
      <c r="C15" s="3515"/>
    </row>
    <row r="16" spans="1:7" ht="14.4">
      <c r="A16" s="3520"/>
      <c r="B16" s="3514" t="s">
        <v>42</v>
      </c>
      <c r="C16" s="3515"/>
    </row>
    <row r="17" spans="1:3" ht="14.4">
      <c r="A17" s="3520"/>
      <c r="B17" s="3517" t="s">
        <v>957</v>
      </c>
      <c r="C17" s="1532" t="s">
        <v>956</v>
      </c>
    </row>
    <row r="18" spans="1:3" ht="14.4">
      <c r="A18" s="3520"/>
      <c r="B18" s="3517"/>
      <c r="C18" s="1532" t="s">
        <v>958</v>
      </c>
    </row>
    <row r="19" spans="1:3" ht="14.4">
      <c r="A19" s="3520"/>
      <c r="B19" s="3517"/>
      <c r="C19" s="1532" t="s">
        <v>959</v>
      </c>
    </row>
    <row r="20" spans="1:3" ht="14.4">
      <c r="A20" s="3521"/>
      <c r="B20" s="3516" t="s">
        <v>960</v>
      </c>
      <c r="C20" s="3515"/>
    </row>
    <row r="21" spans="1:3" ht="14.4">
      <c r="A21" s="1533" t="s">
        <v>961</v>
      </c>
      <c r="B21" s="1534"/>
      <c r="C21" s="1535"/>
    </row>
    <row r="22" spans="1:3" ht="14.4">
      <c r="A22" s="3518" t="s">
        <v>962</v>
      </c>
      <c r="B22" s="3516" t="s">
        <v>963</v>
      </c>
      <c r="C22" s="3515"/>
    </row>
    <row r="23" spans="1:3" ht="14.4">
      <c r="A23" s="3518"/>
      <c r="B23" s="3516" t="s">
        <v>964</v>
      </c>
      <c r="C23" s="3515"/>
    </row>
    <row r="24" spans="1:3" ht="14.4">
      <c r="A24" s="3518"/>
      <c r="B24" s="3516" t="s">
        <v>965</v>
      </c>
      <c r="C24" s="3515"/>
    </row>
    <row r="25" spans="1:3" ht="14.4">
      <c r="A25" s="3518"/>
      <c r="B25" s="3517" t="s">
        <v>966</v>
      </c>
      <c r="C25" s="1532" t="s">
        <v>967</v>
      </c>
    </row>
    <row r="26" spans="1:3" ht="14.4">
      <c r="A26" s="3518"/>
      <c r="B26" s="3517"/>
      <c r="C26" s="1532" t="s">
        <v>968</v>
      </c>
    </row>
    <row r="27" spans="1:3" ht="14.4">
      <c r="A27" s="3518"/>
      <c r="B27" s="3517"/>
      <c r="C27" s="1532" t="s">
        <v>969</v>
      </c>
    </row>
    <row r="28" spans="1:3" ht="14.4">
      <c r="A28" s="3518"/>
      <c r="B28" s="3517"/>
      <c r="C28" s="1532" t="s">
        <v>970</v>
      </c>
    </row>
    <row r="29" spans="1:3" ht="14.4">
      <c r="A29" s="3518"/>
      <c r="B29" s="3517"/>
      <c r="C29" s="1532" t="s">
        <v>971</v>
      </c>
    </row>
    <row r="30" spans="1:3" ht="14.4">
      <c r="A30" s="3518"/>
      <c r="B30" s="3517"/>
      <c r="C30" s="1532" t="s">
        <v>972</v>
      </c>
    </row>
    <row r="31" spans="1:3" ht="14.4">
      <c r="A31" s="3518"/>
      <c r="B31" s="3517"/>
      <c r="C31" s="1532" t="s">
        <v>973</v>
      </c>
    </row>
    <row r="32" spans="1:3" ht="14.4">
      <c r="A32" s="3518"/>
      <c r="B32" s="3517"/>
      <c r="C32" s="1532" t="s">
        <v>974</v>
      </c>
    </row>
    <row r="33" spans="1:3" ht="14.4">
      <c r="A33" s="3518"/>
      <c r="B33" s="351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43"/>
      <c r="E18" s="3524" t="s">
        <v>2162</v>
      </c>
      <c r="F18" s="3523"/>
      <c r="G18" s="352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成本法</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2025-07-25T05:35:07Z</dcterms:modified>
</cp:coreProperties>
</file>