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<sst xmlns="http://schemas.openxmlformats.org/spreadsheetml/2006/main" count="8440" uniqueCount="2927">
  <si>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</si>
  <si>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</si>
  <si>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</si>
  <si>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</si>
  <si>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</si>
  <si>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</si>
  <si>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</si>
  <si>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</si>
  <si>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</si>
  <si>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</si>
  <si>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</si>
  <si>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</si>
  <si>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</si>
  <si>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</si>
  <si>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</si>
  <si>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</si>
  <si>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</si>
  <si>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</si>
  <si>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</si>
  <si>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</si>
  <si>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</si>
  <si>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</si>
  <si>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</si>
  <si>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</si>
  <si>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</si>
  <si>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</si>
  <si>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</si>
  <si>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</si>
  <si>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</si>
  <si>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</si>
  <si>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</si>
  <si>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</si>
  <si>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</si>
  <si>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</si>
  <si>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</si>
  <si>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</si>
  <si>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</si>
  <si>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</si>
  <si>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</si>
  <si>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</si>
  <si>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</si>
  <si>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</si>
  <si>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</si>
  <si>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</si>
  <si>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</si>
  <si>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</si>
  <si>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</si>
  <si>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</si>
  <si>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</si>
  <si>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</si>
  <si>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</si>
  <si>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</si>
  <si>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</si>
  <si>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</si>
  <si>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</si>
  <si>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</si>
  <si>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</si>
  <si>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</si>
  <si>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</si>
  <si>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</si>
  <si>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</si>
  <si>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</si>
  <si>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</si>
  <si>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</si>
  <si>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</si>
  <si>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</si>
  <si>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</si>
  <si>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</si>
  <si>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</si>
  <si>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</si>
  <si>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</si>
  <si>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</si>
  <si>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</si>
  <si>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</si>
  <si>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</si>
  <si>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</si>
  <si>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</si>
  <si>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</si>
  <si>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</si>
  <si>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</si>
  <si>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</si>
  <si>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</si>
  <si>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</si>
  <si>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</si>
  <si>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</si>
  <si>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</si>
  <si>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</si>
  <si>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</si>
  <si>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</si>
  <si>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</si>
  <si>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</si>
  <si>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</si>
  <si>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</si>
  <si>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</si>
  <si>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</si>
  <si>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</si>
  <si>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</si>
  <si>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</si>
  <si>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</si>
  <si>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</si>
  <si>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</si>
  <si>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</si>
  <si>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</si>
  <si>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</si>
  <si>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</si>
  <si>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</si>
  <si>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</si>
  <si>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</si>
  <si>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</si>
  <si>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</si>
  <si>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</si>
  <si>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</si>
  <si>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</si>
  <si>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</si>
  <si>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</si>
  <si>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</si>
  <si>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</si>
  <si>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</si>
  <si>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</si>
  <si>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</si>
  <si>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</si>
  <si>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</si>
  <si>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</si>
  <si>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</si>
  <si>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</si>
  <si>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</si>
  <si>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</si>
  <si>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</si>
  <si>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</si>
  <si>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</si>
  <si>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</si>
  <si>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</si>
  <si>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</si>
  <si>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</si>
  <si>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</si>
  <si>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</si>
  <si>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</si>
  <si>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</si>
  <si>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</si>
  <si>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</si>
  <si>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</si>
  <si>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</si>
  <si>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</si>
  <si>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</si>
  <si>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</si>
  <si>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</si>
  <si>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</si>
  <si>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</si>
  <si>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</si>
  <si>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</si>
  <si>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</si>
  <si>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</si>
  <si>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</si>
  <si>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</si>
  <si>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</si>
  <si>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</si>
  <si>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</si>
  <si>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</si>
  <si>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</si>
  <si>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</si>
  <si>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</si>
  <si>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</si>
  <si>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</si>
  <si>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</si>
  <si>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</si>
  <si>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</si>
  <si>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</si>
  <si>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</si>
  <si>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</si>
  <si>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</si>
  <si>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</si>
  <si>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</si>
  <si>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</si>
  <si>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</si>
  <si>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</si>
  <si>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</si>
  <si>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</si>
  <si>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</si>
  <si>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</si>
  <si>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</si>
  <si>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</si>
  <si>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</si>
  <si>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</si>
  <si>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</si>
  <si>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</si>
  <si>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</si>
  <si>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</si>
  <si>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</si>
  <si>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</si>
  <si>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</si>
  <si>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</si>
  <si>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</si>
  <si>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</si>
  <si>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</si>
  <si>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</si>
  <si>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</si>
  <si>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</si>
  <si>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</si>
  <si>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</si>
  <si>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</si>
  <si>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</si>
  <si>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</si>
  <si>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</si>
  <si>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</si>
  <si>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</si>
  <si>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</si>
  <si>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</si>
  <si>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</si>
  <si>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</si>
  <si>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</si>
  <si>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</si>
  <si>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</si>
  <si>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</si>
  <si>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</si>
  <si>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</si>
  <si>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</si>
  <si>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</si>
  <si>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</si>
  <si>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</si>
  <si>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</si>
  <si>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</si>
  <si>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</si>
  <si>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</si>
  <si>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</si>
  <si>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</si>
  <si>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</si>
  <si>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</si>
  <si>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</si>
  <si>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</si>
  <si>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</si>
  <si>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</si>
  <si>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</si>
  <si>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</si>
  <si>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</si>
  <si>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</si>
  <si>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</si>
  <si>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</si>
  <si>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</si>
  <si>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</si>
  <si>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</si>
  <si>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</si>
  <si>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</si>
  <si>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</si>
  <si>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</si>
  <si>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</si>
  <si>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</si>
  <si>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</si>
  <si>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</si>
  <si>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</si>
  <si>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</si>
  <si>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</si>
  <si>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</si>
  <si>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</si>
  <si>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</si>
  <si>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</si>
  <si>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</si>
  <si>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</si>
  <si>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</si>
  <si>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</si>
  <si>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</si>
  <si>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</si>
  <si>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</si>
  <si>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</si>
  <si>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</si>
  <si>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</si>
  <si>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</si>
  <si>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</si>
  <si>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</si>
  <si>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</si>
  <si>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</si>
  <si>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</si>
  <si>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</si>
  <si>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</si>
  <si>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</si>
  <si>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</si>
  <si>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</si>
  <si>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</si>
  <si>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</si>
  <si>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</si>
  <si>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</si>
  <si>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</si>
  <si>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</si>
  <si>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</si>
  <si>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</si>
  <si>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</si>
  <si>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</si>
  <si>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</si>
  <si>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</si>
  <si>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</si>
  <si>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</si>
  <si>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</si>
  <si>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</si>
  <si>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</si>
  <si>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</si>
  <si>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</si>
  <si>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</si>
  <si>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</si>
  <si>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</si>
  <si>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</si>
  <si>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</si>
  <si>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</si>
  <si>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</si>
  <si>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</si>
  <si>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</si>
  <si>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</si>
  <si>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</si>
  <si>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</si>
  <si>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</si>
  <si>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</si>
  <si>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</si>
  <si>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</si>
  <si>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</si>
  <si>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</si>
  <si>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</si>
  <si>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</si>
  <si>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</si>
  <si>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</si>
  <si>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</si>
  <si>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</si>
  <si>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</si>
  <si>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</si>
  <si>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</si>
  <si>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</si>
  <si>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</si>
  <si>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</si>
  <si>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</si>
  <si>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</si>
  <si>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</si>
  <si>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</si>
  <si>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</si>
  <si>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</si>
  <si>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</si>
  <si>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</si>
  <si>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</si>
  <si>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</si>
  <si>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</si>
  <si>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</si>
  <si>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</si>
  <si>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</si>
  <si>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</si>
  <si>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</si>
  <si>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</si>
  <si>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</si>
  <si>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</si>
  <si>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</si>
  <si>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</si>
  <si>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</si>
  <si>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</si>
  <si>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</si>
  <si>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</si>
  <si>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</si>
  <si>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</si>
  <si>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</si>
  <si>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</si>
  <si>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</si>
  <si>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</si>
  <si>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</si>
  <si>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</si>
  <si>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</si>
  <si>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</si>
  <si>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</si>
  <si>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</si>
  <si>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</si>
  <si>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</si>
  <si>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</si>
  <si>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</si>
  <si>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</si>
  <si>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</si>
  <si>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</si>
  <si>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</si>
  <si>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</si>
  <si>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</si>
  <si>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</si>
  <si>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</si>
  <si>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</si>
  <si>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</si>
  <si>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</si>
  <si>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</si>
  <si>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</si>
  <si>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</si>
  <si>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</si>
  <si>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</si>
  <si>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</si>
  <si>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</si>
  <si>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</si>
  <si>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</si>
  <si>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</si>
  <si>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</si>
  <si>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</si>
  <si>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</si>
  <si>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</si>
  <si>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</si>
  <si>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</si>
  <si>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</si>
  <si>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</si>
  <si>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</si>
  <si>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</si>
  <si>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</si>
  <si>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</si>
  <si>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</si>
  <si>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</si>
  <si>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</si>
  <si>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</si>
  <si>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</si>
  <si>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</si>
  <si>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</si>
  <si>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</si>
  <si>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</si>
  <si>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</si>
  <si>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</si>
  <si>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</si>
  <si>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</si>
  <si>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</si>
  <si>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</si>
  <si>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</si>
  <si>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</si>
  <si>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</si>
  <si>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</si>
  <si>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</si>
  <si>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</si>
  <si>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</si>
  <si>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</si>
  <si>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</si>
  <si>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</si>
  <si>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</si>
  <si>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</si>
  <si>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</si>
  <si>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</si>
  <si>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</si>
  <si>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</si>
  <si>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</si>
  <si>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</si>
  <si>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</si>
  <si>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</si>
  <si>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</si>
  <si>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</si>
  <si>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</si>
  <si>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</si>
  <si>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</si>
  <si>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</si>
  <si>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</si>
  <si>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</si>
  <si>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</si>
  <si>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</si>
  <si>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</si>
  <si>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</si>
  <si>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</si>
  <si>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</si>
  <si>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</si>
  <si>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</si>
  <si>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</si>
  <si>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</si>
  <si>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</si>
  <si>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</si>
  <si>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</si>
  <si>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</si>
  <si>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</si>
  <si>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</si>
  <si>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</si>
  <si>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</si>
  <si>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</si>
  <si>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</si>
  <si>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</si>
  <si>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</si>
  <si>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</si>
  <si>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</si>
  <si>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</si>
  <si>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</si>
  <si>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</si>
  <si>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</si>
  <si>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</si>
  <si>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</si>
  <si>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</si>
  <si>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</si>
  <si>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</si>
  <si>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</si>
  <si>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</si>
  <si>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</si>
  <si>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</si>
  <si>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</si>
  <si>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</si>
  <si>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</si>
  <si>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</si>
  <si>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</si>
  <si>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</si>
  <si>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</si>
  <si>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</si>
  <si>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</si>
  <si>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</si>
  <si>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</si>
  <si>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</si>
  <si>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</si>
  <si>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</si>
  <si>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</si>
  <si>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</si>
  <si>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</si>
  <si>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</si>
  <si>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</si>
  <si>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</si>
  <si>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</si>
  <si>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</si>
  <si>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</si>
  <si>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</si>
  <si>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</si>
  <si>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</si>
  <si>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</si>
  <si>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</si>
  <si>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</si>
  <si>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</si>
  <si>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</si>
  <si>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</si>
  <si>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</si>
  <si>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</si>
  <si>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</si>
  <si>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</si>
  <si>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</si>
  <si>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</si>
  <si>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</si>
  <si>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</si>
  <si>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</si>
  <si>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</si>
  <si>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</si>
  <si>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</si>
  <si>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</si>
  <si>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</si>
  <si>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</si>
  <si>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</si>
  <si>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</si>
  <si>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</si>
  <si>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</si>
  <si>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</si>
  <si>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</si>
  <si>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</si>
  <si>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</si>
  <si>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</si>
  <si>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</si>
  <si>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</si>
  <si>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</si>
  <si>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</si>
  <si>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</si>
  <si>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</si>
  <si>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</si>
  <si>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</si>
  <si>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</si>
  <si>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</si>
  <si>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</si>
  <si>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</si>
  <si>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</si>
  <si>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</si>
  <si>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</si>
  <si>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</si>
  <si>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</si>
  <si>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</si>
  <si>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</si>
  <si>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</si>
  <si>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</si>
  <si>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</si>
  <si>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</si>
  <si>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</si>
  <si>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</si>
  <si>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</si>
  <si>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</si>
  <si>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</si>
  <si>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</si>
  <si>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</si>
  <si>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</si>
  <si>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</si>
  <si>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</si>
  <si>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</si>
  <si>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</si>
  <si>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</si>
  <si>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</si>
  <si>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</si>
  <si>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</si>
  <si>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</si>
  <si>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</si>
  <si>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</si>
  <si>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</si>
  <si>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</si>
  <si>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</si>
  <si>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</si>
  <si>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</si>
  <si>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</si>
  <si>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</si>
  <si>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</si>
  <si>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</si>
  <si>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</si>
  <si>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</si>
  <si>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</si>
  <si>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</si>
  <si>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</si>
  <si>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</si>
  <si>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</si>
  <si>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</si>
  <si>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</si>
  <si>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</si>
  <si>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</si>
  <si>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</si>
  <si>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</si>
  <si>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</si>
  <si>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</si>
  <si>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</si>
  <si>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</si>
  <si>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</si>
  <si>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</si>
  <si>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</si>
  <si>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</si>
  <si>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</si>
  <si>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</si>
  <si>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</si>
  <si>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</si>
  <si>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</si>
  <si>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</si>
  <si>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</si>
  <si>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</si>
  <si>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</si>
  <si>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</si>
  <si>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</si>
  <si>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</si>
  <si>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</si>
  <si>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</si>
  <si>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</si>
  <si>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</si>
  <si>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</si>
  <si>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</si>
  <si>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</si>
  <si>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</si>
  <si>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</si>
  <si>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</si>
  <si>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</si>
  <si>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</si>
  <si>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</si>
  <si>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</si>
  <si>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</si>
  <si>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</si>
  <si>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</si>
  <si>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</si>
  <si>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</si>
  <si>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</si>
  <si>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</si>
  <si>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</si>
  <si>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</si>
  <si>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</si>
  <si>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</si>
  <si>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</si>
  <si>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</si>
  <si>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</si>
  <si>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</si>
  <si>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</si>
  <si>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</si>
  <si>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</si>
  <si>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</si>
  <si>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</si>
  <si>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</si>
  <si>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</si>
  <si>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</si>
  <si>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</si>
  <si>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</si>
  <si>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</si>
  <si>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</si>
  <si>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</si>
  <si>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</si>
  <si>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</si>
  <si>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</si>
  <si>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</si>
  <si>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</si>
  <si>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</si>
  <si>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</si>
  <si>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</si>
  <si>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</si>
  <si>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</si>
  <si>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</si>
  <si>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</si>
  <si>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</si>
  <si>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</si>
  <si>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</si>
  <si>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</si>
  <si>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</si>
  <si>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</si>
  <si>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</si>
  <si>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</si>
  <si>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</si>
  <si>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</si>
  <si>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</si>
  <si>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</si>
  <si>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</si>
  <si>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</si>
  <si>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</si>
  <si>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</si>
  <si>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</si>
  <si>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</si>
  <si>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</si>
  <si>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</si>
  <si>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</si>
  <si>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</si>
  <si>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</si>
  <si>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</si>
  <si>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</si>
  <si>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</si>
  <si>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</si>
  <si>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</si>
  <si>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</si>
  <si>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</si>
  <si>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</si>
  <si>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</si>
  <si>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</si>
  <si>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</si>
  <si>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</si>
  <si>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</si>
  <si>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</si>
  <si>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</si>
  <si>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</si>
  <si>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</si>
  <si>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</si>
  <si>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</si>
  <si>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</si>
  <si>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</si>
  <si>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</si>
  <si>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</si>
  <si>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</si>
  <si>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</si>
  <si>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</si>
  <si>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</si>
  <si>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</si>
  <si>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</si>
  <si>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</si>
  <si>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</si>
  <si>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</si>
  <si>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</si>
  <si>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</si>
  <si>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</si>
  <si>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</si>
  <si>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</si>
  <si>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</si>
  <si>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</si>
  <si>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</si>
  <si>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</si>
  <si>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</si>
  <si>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</si>
  <si>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</si>
  <si>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</si>
  <si>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</si>
  <si>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</si>
  <si>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</si>
  <si>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</si>
  <si>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</si>
  <si>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</si>
  <si>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</si>
  <si>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</si>
  <si>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</si>
  <si>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</si>
  <si>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</si>
  <si>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</si>
  <si>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</si>
  <si>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</si>
  <si>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</si>
  <si>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</si>
  <si>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</si>
  <si>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</si>
  <si>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</si>
  <si>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</si>
  <si>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</si>
  <si>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</si>
  <si>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</si>
  <si>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</si>
  <si>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</si>
  <si>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</si>
  <si>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</si>
  <si>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</si>
  <si>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</si>
  <si>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</si>
  <si>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</si>
  <si>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</si>
  <si>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</si>
  <si>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</si>
  <si>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</si>
  <si>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</si>
  <si>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</si>
  <si>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</si>
  <si>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</si>
  <si>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</si>
  <si>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</si>
  <si>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</si>
  <si>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</si>
  <si>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</si>
  <si>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</si>
  <si>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</si>
  <si>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</si>
  <si>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</si>
  <si>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</si>
  <si>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</si>
  <si>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</si>
  <si>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</si>
  <si>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</si>
  <si>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</si>
  <si>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</si>
  <si>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</si>
  <si>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</si>
  <si>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</si>
  <si>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</si>
  <si>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</si>
  <si>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</si>
  <si>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</si>
  <si>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</si>
  <si>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</si>
  <si>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</si>
  <si>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</si>
  <si>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</si>
  <si>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</si>
  <si>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</si>
  <si>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</si>
  <si>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</si>
  <si>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</si>
  <si>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</si>
  <si>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</si>
  <si>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</si>
  <si>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</si>
  <si>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</si>
  <si>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</si>
  <si>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</si>
  <si>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</si>
  <si>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</si>
  <si>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</si>
  <si>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</si>
  <si>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</si>
  <si>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</si>
  <si>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</si>
  <si>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</si>
  <si>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</si>
  <si>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</si>
  <si>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</si>
  <si>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</si>
  <si>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</si>
  <si>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</si>
  <si>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</si>
  <si>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</si>
  <si>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</si>
  <si>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</si>
  <si>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</si>
  <si>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</si>
  <si>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</si>
  <si>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</si>
  <si>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</si>
  <si>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</si>
  <si>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</si>
  <si>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</si>
  <si>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</si>
  <si>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</si>
  <si>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</si>
  <si>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</si>
  <si>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</si>
  <si>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</si>
  <si>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</si>
  <si>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</si>
  <si>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</si>
  <si>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</si>
  <si>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</si>
  <si>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</si>
  <si>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</si>
  <si>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</si>
  <si>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</si>
  <si>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</si>
  <si>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</si>
  <si>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</si>
  <si>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</si>
  <si>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</si>
  <si>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</si>
  <si>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</si>
  <si>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</si>
  <si>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</si>
  <si>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</si>
  <si>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</si>
  <si>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</si>
  <si>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</si>
  <si>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</si>
  <si>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</si>
  <si>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</si>
  <si>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</si>
  <si>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</si>
  <si>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</si>
  <si>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</si>
  <si>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</si>
  <si>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</si>
  <si>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</si>
  <si>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</si>
  <si>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</si>
  <si>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</si>
  <si>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</si>
  <si>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</si>
  <si>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</si>
  <si>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</si>
  <si>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</si>
  <si>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</si>
  <si>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</si>
  <si>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</si>
  <si>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</si>
  <si>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</si>
  <si>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</si>
  <si>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</si>
  <si>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</si>
  <si>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</si>
  <si>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</si>
  <si>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</si>
  <si>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</si>
  <si>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</si>
  <si>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</si>
  <si>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</si>
  <si>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</si>
  <si>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</si>
  <si>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</si>
  <si>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</si>
  <si>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</si>
  <si>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</si>
  <si>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</si>
  <si>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</si>
  <si>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</si>
  <si>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</si>
  <si>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</si>
  <si>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</si>
  <si>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</si>
  <si>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</si>
  <si>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</si>
  <si>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</si>
  <si>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</si>
  <si>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</si>
  <si>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</si>
  <si>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</si>
  <si>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</si>
  <si>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</si>
  <si>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</si>
  <si>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</si>
  <si>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</si>
  <si>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</si>
  <si>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</si>
  <si>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</si>
  <si>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</si>
  <si>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</si>
  <si>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</si>
  <si>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</si>
  <si>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</si>
  <si>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</si>
  <si>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</si>
  <si>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</si>
  <si>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</si>
  <si>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</si>
  <si>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</si>
  <si>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</si>
  <si>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</si>
  <si>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</si>
  <si>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</si>
  <si>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</si>
  <si>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</si>
  <si>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</si>
  <si>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</si>
  <si>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</si>
  <si>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</si>
  <si>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</si>
  <si>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</si>
  <si>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</si>
  <si>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</si>
  <si>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</si>
  <si>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</si>
  <si>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</si>
  <si>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</si>
  <si>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</si>
  <si>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</si>
  <si>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</si>
  <si>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</si>
  <si>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</si>
  <si>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</si>
  <si>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</si>
  <si>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</si>
  <si>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</si>
  <si>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</si>
  <si>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</si>
  <si>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</si>
  <si>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</si>
  <si>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</si>
  <si>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</si>
  <si>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</si>
  <si>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</si>
  <si>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</si>
  <si>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</si>
  <si>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</si>
  <si>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</si>
  <si>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</si>
  <si>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</si>
  <si>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</si>
  <si>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</si>
  <si>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</si>
  <si>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</si>
  <si>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</si>
  <si>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</si>
  <si>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</si>
  <si>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</si>
  <si>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</si>
  <si>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</si>
  <si>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</si>
  <si>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</si>
  <si>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</si>
  <si>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</si>
  <si>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</si>
  <si>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</si>
  <si>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</si>
  <si>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</si>
  <si>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</si>
  <si>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</si>
  <si>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</si>
  <si>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</si>
  <si>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</si>
  <si>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</si>
  <si>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</si>
  <si>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</si>
  <si>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</si>
  <si>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</si>
  <si>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</si>
  <si>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</si>
  <si>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</si>
  <si>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</si>
  <si>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</si>
  <si>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</si>
  <si>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</si>
  <si>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</si>
  <si>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</si>
  <si>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</si>
  <si>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</si>
  <si>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</si>
  <si>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</si>
  <si>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</si>
  <si>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</si>
  <si>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</si>
  <si>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</si>
  <si>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</si>
  <si>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</si>
  <si>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</si>
  <si>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</si>
  <si>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</si>
  <si>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</si>
  <si>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</si>
  <si>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</si>
  <si>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</si>
  <si>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</si>
  <si>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</si>
  <si>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</si>
  <si>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</si>
  <si>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</si>
  <si>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</si>
  <si>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</si>
  <si>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</si>
  <si>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</si>
  <si>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</si>
  <si>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</si>
  <si>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</si>
  <si>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</si>
  <si>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</si>
  <si>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</si>
  <si>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</si>
  <si>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</si>
  <si>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</si>
  <si>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</si>
  <si>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</si>
  <si>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</si>
  <si>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</si>
  <si>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</si>
  <si>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</si>
  <si>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</si>
  <si>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</si>
  <si>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</si>
  <si>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</si>
  <si>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</si>
  <si>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</si>
  <si>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</si>
  <si>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</si>
  <si>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</si>
  <si>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</si>
  <si>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</si>
  <si>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</si>
  <si>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</si>
  <si>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</si>
  <si>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</si>
  <si>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</si>
  <si>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</si>
  <si>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</si>
  <si>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</si>
  <si>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</si>
  <si>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</si>
  <si>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</si>
  <si>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</si>
  <si>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</si>
  <si>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</si>
  <si>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</si>
  <si>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</si>
  <si>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</si>
  <si>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</si>
  <si>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</si>
  <si>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</si>
  <si>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</si>
  <si>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</si>
  <si>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</si>
  <si>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</si>
  <si>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</si>
  <si>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</si>
  <si>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</si>
  <si>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</si>
  <si>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</si>
  <si>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</si>
  <si>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</si>
  <si>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</si>
  <si>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</si>
  <si>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</si>
  <si>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</si>
  <si>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</si>
  <si>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</si>
  <si>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</si>
  <si>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</si>
  <si>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</si>
  <si>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</si>
  <si>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</si>
  <si>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</si>
  <si>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</si>
  <si>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</si>
  <si>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</si>
  <si>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</si>
  <si>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</si>
  <si>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</si>
  <si>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</si>
  <si>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</si>
  <si>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</si>
  <si>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</si>
  <si>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</si>
  <si>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</si>
  <si>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</si>
  <si>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</si>
  <si>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</si>
  <si>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</si>
  <si>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</si>
  <si>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</si>
  <si>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</si>
  <si>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</si>
  <si>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</si>
  <si>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</si>
  <si>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</si>
  <si>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</si>
  <si>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</si>
  <si>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</si>
  <si>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</si>
  <si>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</si>
  <si>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</si>
  <si>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</si>
  <si>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</si>
  <si>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</si>
  <si>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</si>
  <si>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</si>
  <si>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</si>
  <si>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</si>
  <si>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</si>
  <si>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</si>
  <si>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</si>
  <si>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</si>
  <si>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</si>
  <si>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</si>
  <si>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</si>
  <si>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</si>
  <si>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</si>
  <si>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</si>
  <si>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</si>
  <si>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</si>
  <si>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</si>
  <si>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</si>
  <si>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</si>
  <si>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</si>
  <si>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</si>
  <si>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</si>
  <si>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</si>
  <si>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</si>
  <si>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</si>
  <si>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</si>
  <si>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</si>
  <si>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</si>
  <si>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</si>
  <si>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</si>
  <si>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</si>
  <si>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</si>
  <si>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</si>
  <si>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</si>
  <si>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</si>
  <si>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</si>
  <si>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</si>
  <si>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</si>
  <si>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</si>
  <si>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</si>
  <si>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</si>
  <si>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</si>
  <si>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</si>
  <si>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</si>
  <si>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</si>
  <si>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</si>
  <si>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</si>
  <si>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</si>
  <si>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</si>
  <si>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</si>
  <si>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</si>
  <si>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</si>
  <si>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</si>
  <si>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</si>
  <si>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</si>
  <si>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</si>
  <si>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</si>
  <si>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</si>
  <si>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</si>
  <si>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</si>
  <si>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</si>
  <si>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</si>
  <si>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</si>
  <si>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</si>
  <si>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</si>
  <si>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</si>
  <si>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</si>
  <si>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</si>
  <si>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</si>
  <si>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</si>
  <si>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</si>
  <si>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</si>
  <si>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</si>
  <si>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</si>
  <si>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</si>
  <si>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</si>
  <si>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</si>
  <si>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</si>
  <si>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</si>
  <si>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</si>
  <si>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</si>
  <si>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</si>
  <si>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</si>
  <si>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</si>
  <si>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</si>
  <si>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</si>
  <si>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</si>
  <si>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</si>
  <si>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</si>
  <si>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</si>
  <si>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</si>
  <si>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</si>
  <si>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</si>
  <si>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</si>
  <si>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</si>
  <si>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</si>
  <si>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</si>
  <si>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</si>
  <si>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</si>
  <si>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</si>
  <si>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</si>
  <si>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</si>
  <si>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</si>
  <si>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</si>
  <si>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</si>
  <si>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</si>
  <si>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</si>
  <si>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</si>
  <si>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</si>
  <si>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</si>
  <si>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</si>
  <si>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</si>
  <si>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</si>
  <si>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</si>
  <si>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</si>
  <si>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</si>
  <si>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</si>
  <si>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</si>
  <si>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</si>
  <si>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</si>
  <si>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</si>
  <si>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</si>
  <si>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</si>
  <si>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</si>
  <si>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</si>
  <si>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</si>
  <si>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</si>
  <si>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</si>
  <si>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</si>
  <si>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</si>
  <si>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</si>
  <si>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</si>
  <si>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</si>
  <si>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</si>
  <si>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</si>
  <si>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</si>
  <si>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</si>
  <si>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</si>
  <si>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</si>
  <si>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</si>
  <si>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</si>
  <si>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</si>
  <si>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</si>
  <si>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</si>
  <si>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</si>
  <si>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</si>
  <si>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</si>
  <si>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</si>
  <si>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</si>
  <si>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</si>
  <si>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</si>
  <si>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</si>
  <si>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</si>
  <si>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</si>
  <si>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</si>
  <si>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</si>
  <si>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</si>
  <si>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</si>
  <si>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</si>
  <si>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</si>
  <si>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</si>
  <si>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</si>
  <si>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</si>
  <si>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</si>
  <si>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</si>
  <si>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</si>
  <si>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</si>
  <si>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</si>
  <si>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</si>
  <si>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</si>
  <si>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</si>
  <si>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</si>
  <si>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</si>
  <si>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</si>
  <si>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</si>
  <si>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</si>
  <si>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</si>
  <si>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</si>
  <si>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</si>
  <si>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</si>
  <si>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</si>
  <si>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</si>
  <si>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</si>
  <si>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</si>
  <si>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</si>
  <si>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</si>
  <si>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</si>
  <si>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</si>
  <si>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</si>
  <si>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</si>
  <si>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</si>
  <si>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</si>
  <si>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</si>
  <si>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</si>
  <si>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</si>
  <si>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</si>
  <si>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</si>
  <si>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</si>
  <si>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</si>
  <si>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</si>
  <si>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</si>
  <si>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</si>
  <si>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</si>
  <si>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</si>
  <si>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</si>
  <si>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</si>
  <si>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</si>
  <si>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</si>
  <si>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</si>
  <si>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</si>
  <si>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</si>
  <si>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</si>
  <si>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</si>
  <si>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</si>
  <si>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</si>
  <si>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</si>
  <si>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</si>
  <si>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</si>
  <si>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</si>
  <si>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</si>
  <si>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</si>
  <si>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</si>
  <si>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</si>
  <si>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</si>
  <si>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</si>
  <si>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</si>
  <si>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</si>
  <si>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</si>
  <si>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</si>
  <si>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</si>
  <si>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</si>
  <si>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</si>
  <si>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</si>
  <si>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</si>
  <si>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</si>
  <si>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</si>
  <si>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</si>
  <si>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</si>
  <si>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</si>
  <si>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</si>
  <si>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</si>
  <si>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</si>
  <si>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</si>
  <si>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</si>
  <si>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</si>
  <si>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</si>
  <si>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</si>
  <si>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</si>
  <si>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</si>
  <si>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</si>
  <si>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</si>
  <si>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</si>
  <si>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</si>
  <si>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</si>
  <si>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</si>
  <si>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</si>
  <si>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</si>
  <si>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</si>
  <si>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</si>
  <si>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</si>
  <si>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</si>
  <si>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</si>
  <si>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</si>
  <si>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</si>
  <si>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</si>
  <si>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</si>
  <si>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</si>
  <si>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</si>
  <si>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</si>
  <si>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</si>
  <si>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</si>
  <si>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</si>
  <si>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</si>
  <si>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</si>
  <si>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</si>
  <si>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</si>
  <si>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</si>
  <si>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</si>
  <si>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</si>
  <si>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</si>
  <si>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</si>
  <si>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</si>
  <si>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</si>
  <si>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</si>
  <si>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</si>
  <si>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</si>
  <si>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</si>
  <si>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</si>
  <si>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</si>
  <si>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</si>
  <si>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</si>
  <si>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</si>
  <si>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</si>
  <si>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</si>
  <si>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</si>
  <si>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</si>
  <si>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</si>
  <si>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</si>
  <si>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</si>
  <si>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</si>
  <si>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</si>
  <si>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</si>
  <si>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</si>
  <si>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</si>
  <si>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</si>
  <si>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</si>
  <si>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</si>
  <si>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</si>
  <si>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</si>
  <si>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</si>
  <si>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</si>
  <si>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</si>
  <si>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</si>
  <si>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</si>
  <si>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</si>
  <si>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</si>
  <si>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</si>
  <si>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</si>
  <si>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</si>
  <si>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</si>
  <si>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</si>
  <si>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</si>
  <si>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</si>
  <si>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</si>
  <si>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</si>
  <si>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</si>
  <si>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</si>
  <si>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</si>
  <si>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</si>
  <si>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</si>
  <si>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</si>
  <si>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</si>
  <si>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</si>
  <si>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</si>
  <si>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</si>
  <si>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</si>
  <si>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</si>
  <si>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</si>
  <si>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</si>
  <si>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</si>
  <si>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</si>
  <si>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</si>
  <si>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</si>
  <si>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</si>
  <si>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</si>
  <si>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</si>
  <si>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</si>
  <si>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</si>
  <si>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</si>
  <si>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</si>
  <si>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</si>
  <si>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</si>
  <si>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</si>
  <si>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</si>
  <si>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</si>
  <si>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</si>
  <si>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</si>
  <si>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</si>
  <si>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</si>
  <si>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</si>
  <si>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</si>
  <si>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</si>
  <si>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</si>
  <si>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</si>
  <si>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</si>
  <si>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</si>
  <si>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</si>
  <si>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</si>
  <si>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</si>
  <si>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</si>
  <si>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</si>
  <si>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</si>
  <si>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</si>
  <si>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</si>
  <si>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</si>
  <si>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</si>
  <si>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</si>
  <si>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</si>
  <si>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</si>
  <si>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</si>
  <si>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</si>
  <si>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</si>
  <si>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</si>
  <si>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</si>
  <si>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</si>
  <si>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</si>
  <si>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</si>
  <si>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</si>
  <si>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</si>
  <si>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</si>
  <si>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</si>
  <si>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</si>
  <si>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</si>
  <si>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</si>
  <si>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</si>
  <si>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</si>
  <si>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</si>
  <si>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</si>
  <si>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</si>
  <si>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</si>
  <si>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</si>
  <si>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</si>
  <si>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</si>
  <si>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</si>
  <si>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</si>
  <si>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</si>
  <si>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</si>
  <si>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</si>
  <si>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</si>
  <si>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</si>
  <si>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</si>
  <si>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</si>
  <si>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</si>
  <si>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</si>
  <si>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</si>
  <si>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</si>
  <si>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</si>
  <si>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</si>
  <si>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</si>
  <si>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</si>
  <si>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</si>
  <si>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</si>
  <si>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</si>
  <si>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</si>
  <si>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</si>
  <si>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</si>
  <si>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</si>
  <si>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</si>
  <si>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</si>
  <si>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</si>
  <si>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</si>
  <si>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</si>
  <si>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</si>
  <si>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</si>
  <si>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</si>
  <si>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</si>
  <si>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</si>
  <si>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</si>
  <si>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</si>
  <si>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</si>
  <si>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</si>
  <si>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</si>
  <si>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</si>
  <si>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</si>
  <si>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</si>
  <si>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</si>
  <si>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</si>
  <si>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</si>
  <si>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</si>
  <si>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</si>
  <si>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</si>
  <si>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</si>
  <si>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</si>
  <si>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</si>
  <si>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</si>
  <si>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</si>
  <si>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</si>
  <si>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</si>
  <si>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</si>
  <si>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</si>
  <si>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</si>
  <si>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</si>
  <si>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</si>
  <si>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</si>
  <si>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</si>
  <si>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</si>
  <si>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</si>
  <si>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</si>
  <si>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</si>
  <si>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</si>
  <si>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</si>
  <si>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</si>
  <si>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</si>
  <si>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</si>
  <si>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</si>
  <si>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</si>
  <si>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</si>
  <si>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</si>
  <si>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</si>
  <si>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</si>
  <si>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</si>
  <si>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</si>
  <si>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</si>
  <si>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</si>
  <si>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</si>
  <si>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</si>
  <si>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</si>
  <si>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</si>
  <si>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</si>
  <si>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</si>
  <si>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</si>
  <si>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</si>
  <si>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</si>
  <si>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</si>
  <si>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</si>
  <si>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</si>
  <si>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</si>
  <si>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</si>
  <si>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</si>
  <si>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</si>
  <si>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</si>
  <si>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</si>
  <si>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</si>
  <si>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</si>
  <si>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</si>
  <si>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</si>
  <si>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</si>
  <si>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</si>
  <si>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</si>
  <si>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</si>
  <si>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</si>
  <si>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</si>
  <si>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</si>
  <si>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</si>
  <si>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</si>
  <si>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</si>
  <si>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</si>
  <si>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</si>
  <si>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</si>
  <si>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</si>
  <si>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</si>
  <si>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</si>
  <si>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</si>
  <si>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</si>
  <si>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</si>
  <si>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</si>
  <si>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</si>
  <si>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</si>
  <si>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</si>
  <si>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</si>
  <si>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</si>
  <si>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</si>
  <si>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</si>
  <si>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</si>
  <si>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</si>
  <si>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</si>
  <si>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</si>
  <si>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</si>
  <si>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</si>
  <si>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</si>
  <si>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</si>
  <si>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</si>
  <si>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</si>
  <si>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</si>
  <si>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</si>
  <si>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</si>
  <si>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</si>
  <si>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</si>
  <si>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</si>
  <si>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</si>
  <si>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</si>
  <si>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</si>
  <si>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</si>
  <si>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</si>
  <si>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</si>
  <si>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</si>
  <si>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</si>
  <si>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</si>
  <si>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</si>
  <si>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</si>
  <si>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</si>
  <si>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</si>
  <si>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</si>
  <si>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</si>
  <si>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</si>
  <si>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</si>
  <si>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</si>
  <si>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</si>
  <si>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</si>
  <si>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</si>
  <si>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</si>
  <si>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</si>
  <si>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</si>
  <si>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</si>
  <si>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</si>
  <si>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</si>
  <si>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</si>
  <si>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</si>
  <si>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</si>
  <si>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</si>
  <si>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</si>
  <si>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</si>
  <si>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</si>
  <si>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</si>
  <si>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</si>
  <si>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</si>
  <si>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</si>
  <si>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</si>
  <si>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</si>
  <si>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</si>
  <si>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</si>
  <si>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</si>
  <si>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</si>
  <si>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</si>
  <si>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</si>
  <si>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</si>
  <si>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</si>
  <si>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</si>
  <si>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</si>
  <si>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</si>
  <si>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</si>
  <si>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</si>
  <si>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</si>
  <si>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</si>
  <si>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</si>
  <si>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</si>
  <si>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</si>
  <si>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</si>
  <si>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</si>
  <si>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</si>
  <si>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</si>
  <si>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</si>
  <si>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</si>
  <si>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</si>
  <si>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</si>
  <si>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</si>
  <si>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</si>
  <si>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</si>
  <si>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</si>
  <si>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</si>
  <si>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</si>
  <si>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</si>
  <si>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</si>
  <si>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</si>
  <si>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</si>
  <si>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</si>
  <si>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</si>
  <si>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</si>
  <si>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</si>
  <si>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</si>
  <si>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</si>
  <si>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</si>
  <si>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</si>
  <si>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</si>
  <si>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</si>
  <si>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</si>
  <si>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</si>
  <si>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</si>
  <si>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</si>
  <si>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</si>
  <si>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</si>
  <si>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</si>
  <si>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</si>
  <si>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</si>
  <si>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</si>
  <si>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</si>
  <si>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</si>
  <si>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</si>
  <si>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</si>
  <si>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</si>
  <si>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</si>
  <si>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</si>
  <si>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</si>
  <si>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</si>
  <si>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</si>
  <si>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</si>
  <si>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</si>
  <si>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</si>
  <si>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</si>
  <si>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</si>
  <si>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</si>
  <si>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</si>
  <si>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</si>
  <si>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</si>
  <si>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</si>
  <si>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</si>
  <si>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</si>
  <si>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</si>
  <si>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</si>
  <si>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</si>
  <si>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</si>
  <si>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</si>
  <si>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</si>
  <si>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</si>
  <si>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</si>
  <si>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</si>
  <si>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</si>
  <si>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</si>
  <si>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</si>
  <si>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</si>
  <si>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</si>
  <si>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</si>
  <si>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</si>
  <si>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</si>
  <si>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</si>
  <si>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</si>
  <si>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</si>
  <si>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</si>
  <si>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</si>
  <si>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</si>
  <si>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</si>
  <si>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</si>
  <si>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</si>
  <si>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</si>
  <si>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</si>
  <si>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</si>
  <si>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1-2层</t>
  </si>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</sst>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b/>
      <sz val="11"/>
      <color theme="1"/>
      <name val="宋体"/>
      <charset val="134"/>
    </font>
    <font>
      <b/>
      <sz val="11"/>
      <color indexed="8"/>
      <name val="宋体"/>
      <charset val="134"/>
    </font>
    <font>
      <sz val="10"/>
      <color indexed="53"/>
      <name val="宋体"/>
      <charset val="134"/>
    </font>
    <font>
      <b/>
      <sz val="10"/>
      <color indexed="8"/>
      <name val="宋体"/>
      <charset val="134"/>
    </font>
    <font>
      <sz val="11"/>
      <color theme="1"/>
      <name val="宋体"/>
      <charset val="134"/>
    </font>
    <font>
      <b/>
      <sz val="14"/>
      <color theme="1"/>
      <name val="宋体"/>
      <charset val="134"/>
    </font>
    <font>
      <b/>
      <sz val="11"/>
      <color rgb="FFFF0000"/>
      <name val="宋体"/>
      <charset val="134"/>
    </font>
    <font>
      <sz val="10"/>
      <color theme="9" tint="-0.249977111117893"/>
      <name val="宋体"/>
      <charset val="134"/>
    </font>
    <font>
      <sz val="11"/>
      <color indexed="1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sz val="14"/>
      <color rgb="FF000000"/>
      <name val="宋体"/>
      <charset val="134"/>
    </font>
    <font>
      <b/>
      <sz val="11"/>
      <name val="宋体"/>
      <charset val="134"/>
    </font>
    <font>
      <b/>
      <vertAlign val="subscript"/>
      <sz val="10"/>
      <name val="楷体_GB2312"/>
      <charset val="134"/>
    </font>
    <font>
      <i/>
      <sz val="10"/>
      <name val="宋体"/>
      <charset val="134"/>
    </font>
    <font>
      <b/>
      <sz val="16"/>
      <color indexed="10"/>
      <name val="宋体"/>
      <charset val="134"/>
    </font>
    <font>
      <i/>
      <sz val="10"/>
      <name val="楷体_GB2312"/>
      <charset val="134"/>
    </font>
    <font>
      <sz val="14"/>
      <color rgb="FF000000"/>
      <name val="宋体"/>
      <charset val="134"/>
    </font>
    <font>
      <b/>
      <vertAlign val="subscript"/>
      <sz val="10"/>
      <name val="宋体"/>
      <charset val="134"/>
    </font>
    <font>
      <b/>
      <sz val="14"/>
      <color rgb="FFFF0000"/>
      <name val="宋体"/>
      <charset val="134"/>
    </font>
    <font>
      <sz val="12"/>
      <color theme="9" tint="-0.249977111117893"/>
      <name val="宋体"/>
      <charset val="134"/>
    </font>
    <font>
      <sz val="12"/>
      <color rgb="FF000000"/>
      <name val="宋体"/>
      <charset val="134"/>
    </font>
    <font>
      <vertAlign val="superscript"/>
      <sz val="10"/>
      <color theme="1"/>
      <name val="宋体"/>
      <charset val="134"/>
    </font>
    <font>
      <sz val="10"/>
      <color rgb="FF707070"/>
      <name val="宋体"/>
      <charset val="134"/>
    </font>
    <font>
      <b/>
      <sz val="12"/>
      <color indexed="8"/>
      <name val="宋体"/>
      <charset val="134"/>
    </font>
    <font>
      <sz val="9"/>
      <color indexed="8"/>
      <name val="宋体"/>
      <charset val="134"/>
    </font>
    <font>
      <sz val="12"/>
      <color indexed="8"/>
      <name val="宋体"/>
      <charset val="134"/>
    </font>
    <font>
      <sz val="14"/>
      <color theme="1"/>
      <name val="宋体"/>
      <charset val="134"/>
    </font>
    <font>
      <b/>
      <sz val="18"/>
      <color indexed="10"/>
      <name val="΢ȭхڬˎ̥"/>
      <charset val="134"/>
    </font>
    <font>
      <b/>
      <sz val="11"/>
      <color theme="9" tint="-0.249977111117893"/>
      <name val="Arial"/>
      <charset val="134"/>
    </font>
    <font>
      <b/>
      <sz val="11"/>
      <color theme="9" tint="-0.249977111117893"/>
      <name val="宋体"/>
      <charset val="134"/>
    </font>
    <font>
      <i/>
      <sz val="10"/>
      <color indexed="8"/>
      <name val="宋体"/>
      <charset val="134"/>
    </font>
    <font>
      <b/>
      <i/>
      <sz val="14"/>
      <color theme="3" tint="0.399853511154515"/>
      <name val="宋体"/>
      <charset val="134"/>
    </font>
    <font>
      <sz val="10"/>
      <color indexed="8"/>
      <name val="楷体_GB2312"/>
      <charset val="134"/>
    </font>
    <font>
      <sz val="8"/>
      <color indexed="8"/>
      <name val="宋体"/>
      <charset val="134"/>
    </font>
    <font>
      <b/>
      <sz val="11"/>
      <color indexed="10"/>
      <name val="宋体"/>
      <charset val="134"/>
    </font>
    <font>
      <b/>
      <sz val="9"/>
      <color rgb="FFFF0000"/>
      <name val="宋体"/>
      <charset val="134"/>
    </font>
    <font>
      <b/>
      <sz val="9"/>
      <name val="宋体"/>
      <charset val="134"/>
    </font>
    <font>
      <b/>
      <sz val="12"/>
      <color rgb="FF000000"/>
      <name val="宋体"/>
      <charset val="134"/>
    </font>
    <font>
      <i/>
      <sz val="14"/>
      <color theme="3" tint="0.399853511154515"/>
      <name val="宋体"/>
      <charset val="134"/>
    </font>
    <font>
      <sz val="8"/>
      <color indexed="8"/>
      <name val="仿宋_GB2312"/>
      <charset val="134"/>
    </font>
    <font>
      <b/>
      <sz val="10"/>
      <color indexed="10"/>
      <name val="宋体"/>
      <charset val="134"/>
    </font>
    <font>
      <sz val="9"/>
      <color indexed="8"/>
      <name val="仿宋_GB2312"/>
      <charset val="134"/>
    </font>
    <font>
      <b/>
      <i/>
      <sz val="10"/>
      <color rgb="FFFF0000"/>
      <name val="宋体"/>
      <charset val="134"/>
    </font>
    <font>
      <b/>
      <vertAlign val="subscript"/>
      <sz val="10"/>
      <name val="Arial"/>
      <charset val="134"/>
    </font>
    <font>
      <sz val="10"/>
      <color indexed="10"/>
      <name val="仿宋_GB2312"/>
      <charset val="134"/>
    </font>
    <font>
      <sz val="10"/>
      <color indexed="8"/>
      <name val="仿宋_GB2312"/>
      <charset val="134"/>
    </font>
    <font>
      <sz val="10"/>
      <color indexed="10"/>
      <name val="宋体"/>
      <charset val="134"/>
    </font>
    <font>
      <b/>
      <i/>
      <sz val="11"/>
      <color theme="3" tint="0.399853511154515"/>
      <name val="宋体"/>
      <charset val="134"/>
    </font>
    <font>
      <vertAlign val="superscript"/>
      <sz val="10"/>
      <color theme="1"/>
      <name val="Arial"/>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4"/>
      <color indexed="10"/>
      <name val="宋体"/>
      <charset val="134"/>
      <scheme val="minor"/>
    </font>
    <font>
      <b/>
      <sz val="18"/>
      <color theme="1"/>
      <name val="宋体"/>
      <charset val="134"/>
    </font>
    <font>
      <b/>
      <sz val="16"/>
      <color indexed="10"/>
      <name val="楷体_GB2312"/>
      <charset val="134"/>
    </font>
    <font>
      <b/>
      <sz val="10"/>
      <color indexed="10"/>
      <name val="楷体_GB2312"/>
      <charset val="134"/>
    </font>
    <font>
      <vertAlign val="superscript"/>
      <sz val="10"/>
      <color indexed="8"/>
      <name val="仿宋_GB2312"/>
      <charset val="134"/>
    </font>
    <font>
      <sz val="14"/>
      <color theme="9" tint="-0.249977111117893"/>
      <name val="宋体"/>
      <charset val="134"/>
    </font>
    <font>
      <vertAlign val="subscript"/>
      <sz val="10"/>
      <color indexed="8"/>
      <name val="宋体"/>
      <charset val="134"/>
    </font>
    <font>
      <sz val="11"/>
      <color indexed="53"/>
      <name val="宋体"/>
      <charset val="134"/>
    </font>
    <font>
      <i/>
      <sz val="11"/>
      <color theme="3" tint="0.399853511154515"/>
      <name val="宋体"/>
      <charset val="134"/>
    </font>
    <font>
      <sz val="11"/>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9"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0"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1" fillId="0" borderId="7" xfId="51" applyFont="1" applyBorder="1" applyAlignment="1">
      <alignment horizontal="center" vertical="center" wrapText="1"/>
    </xf>
    <xf numFmtId="9" fontId="91" fillId="0" borderId="7" xfId="51" applyNumberFormat="1" applyFont="1" applyBorder="1" applyAlignment="1">
      <alignment horizontal="center" vertical="center" wrapText="1"/>
    </xf>
    <xf numFmtId="179" fontId="91"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2" fillId="0" borderId="0" xfId="51" applyFont="1" applyAlignment="1">
      <alignment vertical="center" wrapText="1"/>
    </xf>
    <xf numFmtId="179" fontId="91" fillId="3" borderId="13" xfId="51" applyNumberFormat="1" applyFont="1" applyFill="1" applyBorder="1" applyAlignment="1">
      <alignment horizontal="center" vertical="center" wrapText="1"/>
    </xf>
    <xf numFmtId="179" fontId="91" fillId="3" borderId="15" xfId="51" applyNumberFormat="1" applyFont="1" applyFill="1" applyBorder="1" applyAlignment="1">
      <alignment horizontal="center" vertical="center" wrapText="1"/>
    </xf>
    <xf numFmtId="179" fontId="91" fillId="3" borderId="14" xfId="51" applyNumberFormat="1" applyFont="1" applyFill="1" applyBorder="1" applyAlignment="1">
      <alignment horizontal="center" vertical="center" wrapText="1"/>
    </xf>
    <xf numFmtId="185" fontId="91" fillId="0" borderId="7" xfId="51" applyNumberFormat="1" applyFont="1" applyBorder="1" applyAlignment="1">
      <alignment horizontal="center" vertical="center" wrapText="1"/>
    </xf>
    <xf numFmtId="0" fontId="92" fillId="0" borderId="0" xfId="51" applyFont="1" applyAlignment="1">
      <alignment horizontal="center" vertical="center" wrapText="1"/>
    </xf>
    <xf numFmtId="180" fontId="91"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3" fillId="0" borderId="7" xfId="51" applyFont="1" applyBorder="1" applyAlignment="1">
      <alignment horizontal="left" vertical="center" wrapText="1" shrinkToFit="1"/>
    </xf>
    <xf numFmtId="9" fontId="94" fillId="0" borderId="7" xfId="51" applyNumberFormat="1" applyFont="1" applyBorder="1" applyAlignment="1">
      <alignment horizontal="center" vertical="center" wrapText="1" shrinkToFit="1"/>
    </xf>
    <xf numFmtId="0" fontId="0" fillId="0" borderId="0" xfId="51" applyAlignment="1"/>
    <xf numFmtId="49" fontId="93"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5" fillId="3" borderId="7" xfId="51" applyNumberFormat="1" applyFont="1" applyFill="1" applyBorder="1" applyAlignment="1">
      <alignment horizontal="center" vertical="center" wrapText="1" shrinkToFit="1"/>
    </xf>
    <xf numFmtId="9" fontId="96"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7"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3"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5"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98"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99" fillId="0" borderId="0" xfId="51" applyFont="1" applyAlignment="1">
      <alignment vertical="center" wrapText="1"/>
    </xf>
    <xf numFmtId="0" fontId="0" fillId="0" borderId="0" xfId="51" applyAlignment="1">
      <alignment horizontal="left" vertical="center" wrapText="1" shrinkToFit="1"/>
    </xf>
    <xf numFmtId="2" fontId="0" fillId="0" borderId="0" xfId="51" applyNumberFormat="1" applyAlignment="1">
      <alignment horizontal="left" vertical="center" wrapText="1" shrinkToFit="1"/>
    </xf>
    <xf numFmtId="181" fontId="0" fillId="0" borderId="0" xfId="51" applyNumberFormat="1" applyAlignment="1">
      <alignment horizontal="left" vertical="center" wrapText="1" shrinkToFit="1"/>
    </xf>
    <xf numFmtId="181" fontId="99" fillId="0" borderId="0" xfId="51"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43"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4"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0"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0"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0" fontId="54" fillId="2" borderId="16" xfId="0" applyFont="1" applyFill="1" applyBorder="1" applyAlignment="1">
      <alignment vertical="top" wrapText="1"/>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4"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3"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0"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3" fontId="142" fillId="0" borderId="7" xfId="58" applyNumberFormat="1" applyFont="1" applyBorder="1" applyAlignment="1">
      <alignment horizontal="left" vertical="center"/>
    </xf>
    <xf numFmtId="193"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3"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101"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57" fillId="0" borderId="7" xfId="63" applyFont="1" applyBorder="1" applyAlignment="1">
      <alignment horizontal="left" vertical="center" wrapText="1"/>
    </xf>
    <xf numFmtId="0" fontId="101"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101" fillId="0" borderId="78" xfId="63" applyFont="1" applyBorder="1" applyAlignment="1">
      <alignment vertical="center" wrapText="1"/>
    </xf>
    <xf numFmtId="0" fontId="101" fillId="0" borderId="120"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24" xfId="64" applyFont="1" applyBorder="1" applyAlignment="1">
      <alignment vertical="center" wrapText="1"/>
    </xf>
    <xf numFmtId="0" fontId="137" fillId="0" borderId="124"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郑燚（注册号：1120070131)、吴薇（注册号：1419970001)</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估价对象为北京市房地产，为所有。根据《国有土地使用证》[]，估价对象（分摊）出让国有建设用地使用权面积为0平方米，建筑面积为349.48平方米。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估价对象为北京市房地产,属开发建设的，该项目尚在开发建设中。根据《国有土地使用证》[]，估价对象（分摊）出让国有建设用地使用权面积为0平方米，规划建筑面积为349.48平方米。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349.48</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t="str">
        <f>'预评函-4'!A4</f>
        <v>郑燚</v>
      </c>
    </row>
    <row r="71" spans="1:2">
      <c r="A71" s="3529" t="s">
        <v>71</v>
      </c>
      <c r="B71" s="3530">
        <f ca="1">'预评函-4'!B4</f>
        <v>1120070131</v>
      </c>
    </row>
    <row r="72" spans="1:2">
      <c r="A72" s="3529" t="s">
        <v>72</v>
      </c>
      <c r="B72" s="3536" t="str">
        <f>'预评函-4'!A5</f>
        <v>吴薇</v>
      </c>
    </row>
    <row r="73" s="3520" customFormat="1" ht="15" spans="1:2">
      <c r="A73" s="3531" t="s">
        <v>73</v>
      </c>
      <c r="B73" s="3532">
        <f ca="1">'预评函-4'!B5</f>
        <v>1419970001</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t="s">
        <v>191</v>
      </c>
      <c r="C4" s="3208">
        <f ca="1">SUMIF(注册房地产估价师,B4,估价师及机构信息!B3:B24)</f>
        <v>1120070131</v>
      </c>
      <c r="D4" s="3207" t="s">
        <v>188</v>
      </c>
      <c r="E4" s="3208">
        <f ca="1">SUMIF(注册房地产估价师,D4,估价师及机构信息!B3:B24)</f>
        <v>1419970001</v>
      </c>
      <c r="F4" s="3207"/>
      <c r="G4" s="3208">
        <f ca="1">SUMIF(注册房地产估价师,F4,估价师及机构信息!B3:B24)</f>
        <v>0</v>
      </c>
      <c r="H4" s="3207"/>
      <c r="I4" s="3208">
        <f ca="1">SUMIF(注册房地产估价师,H4,估价师及机构信息!B3:B24)</f>
        <v>0</v>
      </c>
      <c r="J4" s="2822"/>
      <c r="K4" s="2580" t="str">
        <f ca="1">CONCATENATE(B4,"（注册号：",C4,")、",D4,"（注册号：",E4,")")</f>
        <v>郑燚（注册号：1120070131)、吴薇（注册号：1419970001)</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52574</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18.56</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349.48</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349.48</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349.48</v>
      </c>
      <c r="H5" s="3125">
        <f t="shared" ref="H5:AT5" si="0">SUM(H13:H656)</f>
        <v>349.48</v>
      </c>
      <c r="I5" s="3125">
        <f t="shared" si="0"/>
        <v>349.48</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349.48</v>
      </c>
      <c r="BA5" s="3179">
        <f t="shared" si="1"/>
        <v>349.48</v>
      </c>
      <c r="BB5" s="3179">
        <f t="shared" si="1"/>
        <v>349.48</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c r="D13" s="3140" t="s">
        <v>555</v>
      </c>
      <c r="E13" s="3125">
        <f>IF($C$3="是",ROUND($A$3*G13/$B$3,2),ROUND($A$3*(G13-AT13)/$B$3,2))</f>
        <v>0</v>
      </c>
      <c r="F13" s="3141"/>
      <c r="G13" s="3142">
        <f>H13+AC13+AT13</f>
        <v>349.48</v>
      </c>
      <c r="H13" s="3128">
        <f>SUMIF(I$12:AB$12,"总值",I13:AB13)</f>
        <v>349.48</v>
      </c>
      <c r="I13" s="3154">
        <v>349.48</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f t="shared" si="6"/>
        <v>0</v>
      </c>
      <c r="AY13" s="2614">
        <f>ROUND($AY$6*AZ13/$AZ$5,2)</f>
        <v>0</v>
      </c>
      <c r="AZ13" s="3125">
        <f>BA13+BL13</f>
        <v>349.48</v>
      </c>
      <c r="BA13" s="3125">
        <f>SUM(BB13:BK13)</f>
        <v>349.48</v>
      </c>
      <c r="BB13" s="3125">
        <f>IF($D13="是",I13-J13,0)</f>
        <v>349.48</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1"/>
      <c r="B18" s="1080"/>
      <c r="C18" s="1080"/>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6">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1"/>
      <c r="B19" s="1080"/>
      <c r="C19" s="1080"/>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6">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1"/>
      <c r="B20" s="1080"/>
      <c r="C20" s="1080"/>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6">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1"/>
      <c r="B21" s="1080"/>
      <c r="C21" s="1080"/>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6">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1"/>
      <c r="B22" s="1080"/>
      <c r="C22" s="1080"/>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6">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1"/>
      <c r="B23" s="1080"/>
      <c r="C23" s="1080"/>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6">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1"/>
      <c r="B24" s="1080"/>
      <c r="C24" s="1080"/>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6">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1"/>
      <c r="B25" s="1080"/>
      <c r="C25" s="1080"/>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6">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1"/>
      <c r="B26" s="1080"/>
      <c r="C26" s="1080"/>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6">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1"/>
      <c r="B27" s="1080"/>
      <c r="C27" s="1080"/>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6">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1"/>
      <c r="B28" s="1080"/>
      <c r="C28" s="1080"/>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6">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1"/>
      <c r="B29" s="1080"/>
      <c r="C29" s="1080"/>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6">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1"/>
      <c r="B30" s="1080"/>
      <c r="C30" s="1080"/>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6">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1"/>
      <c r="B31" s="1080"/>
      <c r="C31" s="1080"/>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6">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1"/>
      <c r="B32" s="1080"/>
      <c r="C32" s="1080"/>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6">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1"/>
      <c r="B33" s="1080"/>
      <c r="C33" s="1080"/>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6">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1"/>
      <c r="B34" s="1080"/>
      <c r="C34" s="1080"/>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6">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1"/>
      <c r="B35" s="1080"/>
      <c r="C35" s="1080"/>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6">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1"/>
      <c r="B36" s="1080"/>
      <c r="C36" s="1080"/>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6">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1"/>
      <c r="B37" s="1080"/>
      <c r="C37" s="1080"/>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6">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1"/>
      <c r="B38" s="1080"/>
      <c r="C38" s="1080"/>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6">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1"/>
      <c r="B39" s="1080"/>
      <c r="C39" s="1080"/>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6">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1"/>
      <c r="B40" s="1080"/>
      <c r="C40" s="1080"/>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6">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1"/>
      <c r="B41" s="1080"/>
      <c r="C41" s="1080"/>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6">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1"/>
      <c r="B42" s="1080"/>
      <c r="C42" s="1080"/>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6">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1"/>
      <c r="B43" s="1080"/>
      <c r="C43" s="1080"/>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6">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1"/>
      <c r="B44" s="1080"/>
      <c r="C44" s="1080"/>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6">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1"/>
      <c r="B45" s="1080"/>
      <c r="C45" s="1080"/>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6">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1"/>
      <c r="B46" s="1080"/>
      <c r="C46" s="1080"/>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6">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1"/>
      <c r="B47" s="1080"/>
      <c r="C47" s="1080"/>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6">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1"/>
      <c r="B48" s="1080"/>
      <c r="C48" s="1080"/>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6">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1"/>
      <c r="B49" s="1080"/>
      <c r="C49" s="1080"/>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6">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1"/>
      <c r="B50" s="1080"/>
      <c r="C50" s="1080"/>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6">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1"/>
      <c r="B51" s="1080"/>
      <c r="C51" s="1080"/>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6">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1"/>
      <c r="B52" s="1080"/>
      <c r="C52" s="1080"/>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6">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1"/>
      <c r="B53" s="1080"/>
      <c r="C53" s="1080"/>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6">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1"/>
      <c r="B54" s="1080"/>
      <c r="C54" s="1080"/>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6">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1"/>
      <c r="B55" s="1080"/>
      <c r="C55" s="1080"/>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6">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1"/>
      <c r="B56" s="1080"/>
      <c r="C56" s="1080"/>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6">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1"/>
      <c r="B57" s="1080"/>
      <c r="C57" s="1080"/>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6">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1"/>
      <c r="B58" s="1080"/>
      <c r="C58" s="1080"/>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6">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1"/>
      <c r="B59" s="1080"/>
      <c r="C59" s="1080"/>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6">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1"/>
      <c r="B60" s="1080"/>
      <c r="C60" s="1080"/>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6">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1"/>
      <c r="B61" s="1080"/>
      <c r="C61" s="1080"/>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6">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1"/>
      <c r="B62" s="1080"/>
      <c r="C62" s="1080"/>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6">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1"/>
      <c r="B63" s="1080"/>
      <c r="C63" s="1080"/>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6">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1"/>
      <c r="B64" s="1080"/>
      <c r="C64" s="1080"/>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6">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1"/>
      <c r="B65" s="1080"/>
      <c r="C65" s="1080"/>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6">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1"/>
      <c r="B66" s="1080"/>
      <c r="C66" s="1080"/>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6">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1"/>
      <c r="B67" s="1080"/>
      <c r="C67" s="1080"/>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6">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1"/>
      <c r="B68" s="1080"/>
      <c r="C68" s="1080"/>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6">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1"/>
      <c r="B69" s="1080"/>
      <c r="C69" s="1080"/>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6">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1"/>
      <c r="B70" s="1080"/>
      <c r="C70" s="1080"/>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6">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1"/>
      <c r="B71" s="1080"/>
      <c r="C71" s="1080"/>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6">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1"/>
      <c r="B72" s="1080"/>
      <c r="C72" s="1080"/>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6">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1"/>
      <c r="B73" s="1080"/>
      <c r="C73" s="1080"/>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6">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1"/>
      <c r="B74" s="1080"/>
      <c r="C74" s="1080"/>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6">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1"/>
      <c r="B75" s="1080"/>
      <c r="C75" s="1080"/>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6">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1"/>
      <c r="B76" s="1080"/>
      <c r="C76" s="1080"/>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6">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1"/>
      <c r="B77" s="1080"/>
      <c r="C77" s="1080"/>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6">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1"/>
      <c r="B78" s="1080"/>
      <c r="C78" s="1080"/>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6">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1"/>
      <c r="B79" s="1080"/>
      <c r="C79" s="1080"/>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6">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1"/>
      <c r="B80" s="1080"/>
      <c r="C80" s="1080"/>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6">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1"/>
      <c r="B81" s="1080"/>
      <c r="C81" s="1080"/>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6">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1"/>
      <c r="B82" s="1080"/>
      <c r="C82" s="1080"/>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6">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1"/>
      <c r="B83" s="1080"/>
      <c r="C83" s="1080"/>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6">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1"/>
      <c r="B84" s="1080"/>
      <c r="C84" s="1080"/>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6">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1"/>
      <c r="B85" s="1080"/>
      <c r="C85" s="1080"/>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6">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1"/>
      <c r="B86" s="1080"/>
      <c r="C86" s="1080"/>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6">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1"/>
      <c r="B87" s="1080"/>
      <c r="C87" s="1080"/>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6">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1"/>
      <c r="B88" s="1080"/>
      <c r="C88" s="1080"/>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6">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1"/>
      <c r="B89" s="1080"/>
      <c r="C89" s="1080"/>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6">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1"/>
      <c r="B90" s="1080"/>
      <c r="C90" s="1080"/>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6">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1"/>
      <c r="B91" s="1080"/>
      <c r="C91" s="1080"/>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6">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1"/>
      <c r="B92" s="1080"/>
      <c r="C92" s="1080"/>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6">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1"/>
      <c r="B93" s="1080"/>
      <c r="C93" s="1080"/>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6">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1"/>
      <c r="B94" s="1080"/>
      <c r="C94" s="1080"/>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6">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1"/>
      <c r="B95" s="1080"/>
      <c r="C95" s="1080"/>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6">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1"/>
      <c r="B96" s="1080"/>
      <c r="C96" s="1080"/>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6">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1"/>
      <c r="B97" s="1080"/>
      <c r="C97" s="1080"/>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6">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1"/>
      <c r="B98" s="1080"/>
      <c r="C98" s="1080"/>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6">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1"/>
      <c r="B99" s="1080"/>
      <c r="C99" s="1080"/>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6">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1"/>
      <c r="B100" s="1080"/>
      <c r="C100" s="1080"/>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6">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1"/>
      <c r="B101" s="1080"/>
      <c r="C101" s="1080"/>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6">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1"/>
      <c r="B102" s="1080"/>
      <c r="C102" s="1080"/>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6">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1"/>
      <c r="B103" s="1080"/>
      <c r="C103" s="1080"/>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6">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1"/>
      <c r="B104" s="1080"/>
      <c r="C104" s="1080"/>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6">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1"/>
      <c r="B105" s="1080"/>
      <c r="C105" s="1080"/>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6">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1"/>
      <c r="B106" s="1080"/>
      <c r="C106" s="1080"/>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6">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1"/>
      <c r="B107" s="1080"/>
      <c r="C107" s="1080"/>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6">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1"/>
      <c r="B108" s="1080"/>
      <c r="C108" s="1080"/>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6">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1"/>
      <c r="B109" s="1080"/>
      <c r="C109" s="1080"/>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6">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1"/>
      <c r="B110" s="1211"/>
      <c r="C110" s="1211"/>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3"/>
      <c r="AV110" s="815">
        <f t="shared" si="11"/>
        <v>0</v>
      </c>
      <c r="AW110" s="815">
        <f t="shared" si="12"/>
        <v>0</v>
      </c>
      <c r="AX110" s="815">
        <f t="shared" si="13"/>
        <v>0</v>
      </c>
      <c r="AY110" s="1096">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1"/>
      <c r="B111" s="1211"/>
      <c r="C111" s="1211"/>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3"/>
      <c r="AV111" s="815">
        <f t="shared" si="11"/>
        <v>0</v>
      </c>
      <c r="AW111" s="815">
        <f t="shared" si="12"/>
        <v>0</v>
      </c>
      <c r="AX111" s="815">
        <f t="shared" si="13"/>
        <v>0</v>
      </c>
      <c r="AY111" s="1096">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1"/>
      <c r="B112" s="1211"/>
      <c r="C112" s="1211"/>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3"/>
      <c r="AV112" s="815">
        <f t="shared" si="11"/>
        <v>0</v>
      </c>
      <c r="AW112" s="815">
        <f t="shared" si="12"/>
        <v>0</v>
      </c>
      <c r="AX112" s="815">
        <f t="shared" si="13"/>
        <v>0</v>
      </c>
      <c r="AY112" s="1096">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1"/>
      <c r="B113" s="1080"/>
      <c r="C113" s="1080"/>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6">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1"/>
      <c r="B114" s="1080"/>
      <c r="C114" s="1080"/>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6">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1"/>
      <c r="B115" s="1080"/>
      <c r="C115" s="1080"/>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6">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1"/>
      <c r="B116" s="1080"/>
      <c r="C116" s="1080"/>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6">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1"/>
      <c r="B117" s="1080"/>
      <c r="C117" s="1080"/>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6">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1"/>
      <c r="B118" s="1080"/>
      <c r="C118" s="1080"/>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6">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1"/>
      <c r="B119" s="1080"/>
      <c r="C119" s="1080"/>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6">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1"/>
      <c r="B120" s="1080"/>
      <c r="C120" s="1080"/>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6">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1"/>
      <c r="B121" s="1080"/>
      <c r="C121" s="1080"/>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6">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1"/>
      <c r="B122" s="1080"/>
      <c r="C122" s="1080"/>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6">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1"/>
      <c r="B123" s="1080"/>
      <c r="C123" s="1080"/>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6">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1"/>
      <c r="B124" s="1080"/>
      <c r="C124" s="1080"/>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6">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1"/>
      <c r="B125" s="1080"/>
      <c r="C125" s="1080"/>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6">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1"/>
      <c r="B126" s="1080"/>
      <c r="C126" s="1080"/>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6">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1"/>
      <c r="B127" s="1080"/>
      <c r="C127" s="1080"/>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6">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1"/>
      <c r="B128" s="1080"/>
      <c r="C128" s="1080"/>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6">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1"/>
      <c r="B129" s="1080"/>
      <c r="C129" s="1080"/>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6">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1"/>
      <c r="B130" s="1080"/>
      <c r="C130" s="1080"/>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6">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1"/>
      <c r="B131" s="1080"/>
      <c r="C131" s="1080"/>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6">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1"/>
      <c r="B132" s="1080"/>
      <c r="C132" s="1080"/>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6">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1"/>
      <c r="B133" s="1080"/>
      <c r="C133" s="1080"/>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6">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1"/>
      <c r="B134" s="1080"/>
      <c r="C134" s="1080"/>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6">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1"/>
      <c r="B135" s="1080"/>
      <c r="C135" s="1080"/>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6">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1"/>
      <c r="B136" s="1080"/>
      <c r="C136" s="1080"/>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6">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1"/>
      <c r="B137" s="1080"/>
      <c r="C137" s="1080"/>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6">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1"/>
      <c r="B138" s="1080"/>
      <c r="C138" s="1080"/>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6">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1"/>
      <c r="B139" s="1080"/>
      <c r="C139" s="1080"/>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6">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1"/>
      <c r="B140" s="1080"/>
      <c r="C140" s="1080"/>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6">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1"/>
      <c r="B141" s="1080"/>
      <c r="C141" s="1080"/>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6">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1"/>
      <c r="B142" s="1080"/>
      <c r="C142" s="1080"/>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6">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1"/>
      <c r="B143" s="1080"/>
      <c r="C143" s="1080"/>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6">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1"/>
      <c r="B144" s="1080"/>
      <c r="C144" s="1080"/>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6">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1"/>
      <c r="B145" s="1080"/>
      <c r="C145" s="1080"/>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6">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1"/>
      <c r="B146" s="1080"/>
      <c r="C146" s="1080"/>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6">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1"/>
      <c r="B147" s="1080"/>
      <c r="C147" s="1080"/>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6">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1"/>
      <c r="B148" s="1080"/>
      <c r="C148" s="1080"/>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6">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1"/>
      <c r="B149" s="1080"/>
      <c r="C149" s="1080"/>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6">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1"/>
      <c r="B150" s="1080"/>
      <c r="C150" s="1080"/>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6">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1"/>
      <c r="B151" s="1080"/>
      <c r="C151" s="1080"/>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6">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1"/>
      <c r="B152" s="1080"/>
      <c r="C152" s="1080"/>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6">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1"/>
      <c r="B153" s="1080"/>
      <c r="C153" s="1080"/>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6">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1"/>
      <c r="B154" s="1080"/>
      <c r="C154" s="1080"/>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6">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1"/>
      <c r="B155" s="1080"/>
      <c r="C155" s="1080"/>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6">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1"/>
      <c r="B156" s="1080"/>
      <c r="C156" s="1080"/>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6">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1"/>
      <c r="B157" s="1080"/>
      <c r="C157" s="1080"/>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6">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1"/>
      <c r="B158" s="1080"/>
      <c r="C158" s="1080"/>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6">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1"/>
      <c r="B159" s="1080"/>
      <c r="C159" s="1080"/>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6">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1"/>
      <c r="B160" s="1080"/>
      <c r="C160" s="1080"/>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6">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1"/>
      <c r="B161" s="1080"/>
      <c r="C161" s="1080"/>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6">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1"/>
      <c r="B162" s="1080"/>
      <c r="C162" s="1080"/>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6">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1"/>
      <c r="B163" s="1080"/>
      <c r="C163" s="1080"/>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6">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1"/>
      <c r="B164" s="1080"/>
      <c r="C164" s="1080"/>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6">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1"/>
      <c r="B165" s="1080"/>
      <c r="C165" s="1080"/>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6">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1"/>
      <c r="B166" s="1080"/>
      <c r="C166" s="1080"/>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6">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1"/>
      <c r="B167" s="1080"/>
      <c r="C167" s="1080"/>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6">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1"/>
      <c r="B168" s="1080"/>
      <c r="C168" s="1080"/>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6">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1"/>
      <c r="B169" s="1080"/>
      <c r="C169" s="1080"/>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6">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1"/>
      <c r="B170" s="1080"/>
      <c r="C170" s="1080"/>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6">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1"/>
      <c r="B171" s="1080"/>
      <c r="C171" s="1080"/>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6">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1"/>
      <c r="B172" s="1080"/>
      <c r="C172" s="1080"/>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6">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1"/>
      <c r="B173" s="1080"/>
      <c r="C173" s="1080"/>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6">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1"/>
      <c r="B174" s="1080"/>
      <c r="C174" s="1080"/>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6">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1"/>
      <c r="B175" s="1080"/>
      <c r="C175" s="1080"/>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6">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1"/>
      <c r="B176" s="1080"/>
      <c r="C176" s="1080"/>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6">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1"/>
      <c r="B177" s="1080"/>
      <c r="C177" s="1080"/>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6">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1"/>
      <c r="B178" s="1080"/>
      <c r="C178" s="1080"/>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6">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1"/>
      <c r="B179" s="1080"/>
      <c r="C179" s="1080"/>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6">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1"/>
      <c r="B180" s="1080"/>
      <c r="C180" s="1080"/>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6">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1"/>
      <c r="B181" s="1080"/>
      <c r="C181" s="1080"/>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6">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1"/>
      <c r="B182" s="1080"/>
      <c r="C182" s="1080"/>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6">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1"/>
      <c r="B183" s="1080"/>
      <c r="C183" s="1080"/>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6">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1"/>
      <c r="B184" s="1080"/>
      <c r="C184" s="1080"/>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6">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1"/>
      <c r="B185" s="1080"/>
      <c r="C185" s="1080"/>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6">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1"/>
      <c r="B186" s="1080"/>
      <c r="C186" s="1080"/>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6">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1"/>
      <c r="B187" s="1080"/>
      <c r="C187" s="1080"/>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6">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1"/>
      <c r="B188" s="1080"/>
      <c r="C188" s="1080"/>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6">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1"/>
      <c r="B189" s="1080"/>
      <c r="C189" s="1080"/>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6">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1"/>
      <c r="B190" s="1080"/>
      <c r="C190" s="1080"/>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6">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1"/>
      <c r="B191" s="1080"/>
      <c r="C191" s="1080"/>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6">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1"/>
      <c r="B192" s="1080"/>
      <c r="C192" s="1080"/>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6">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1"/>
      <c r="B193" s="1080"/>
      <c r="C193" s="1080"/>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6">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1"/>
      <c r="B194" s="1080"/>
      <c r="C194" s="1080"/>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6">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1"/>
      <c r="B195" s="1080"/>
      <c r="C195" s="1080"/>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6">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1"/>
      <c r="B196" s="1080"/>
      <c r="C196" s="1080"/>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6">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1"/>
      <c r="B197" s="1080"/>
      <c r="C197" s="1080"/>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6">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1"/>
      <c r="B198" s="1080"/>
      <c r="C198" s="1080"/>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6">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1"/>
      <c r="B199" s="1080"/>
      <c r="C199" s="1080"/>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6">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1"/>
      <c r="B200" s="1080"/>
      <c r="C200" s="1080"/>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6">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1"/>
      <c r="B201" s="1080"/>
      <c r="C201" s="1080"/>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6">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1"/>
      <c r="B202" s="1080"/>
      <c r="C202" s="1080"/>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6">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1"/>
      <c r="B203" s="1080"/>
      <c r="C203" s="1080"/>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6">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1"/>
      <c r="B204" s="1080"/>
      <c r="C204" s="1080"/>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6">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1"/>
      <c r="B205" s="1211"/>
      <c r="C205" s="1211"/>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3"/>
      <c r="AV205" s="815">
        <f t="shared" si="120"/>
        <v>0</v>
      </c>
      <c r="AW205" s="815">
        <f t="shared" si="121"/>
        <v>0</v>
      </c>
      <c r="AX205" s="815">
        <f t="shared" si="122"/>
        <v>0</v>
      </c>
      <c r="AY205" s="1096">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1"/>
      <c r="B206" s="1211"/>
      <c r="C206" s="1211"/>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3"/>
      <c r="AV206" s="815">
        <f t="shared" si="120"/>
        <v>0</v>
      </c>
      <c r="AW206" s="815">
        <f t="shared" si="121"/>
        <v>0</v>
      </c>
      <c r="AX206" s="815">
        <f t="shared" si="122"/>
        <v>0</v>
      </c>
      <c r="AY206" s="1096">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1"/>
      <c r="B207" s="1211"/>
      <c r="C207" s="1211"/>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3"/>
      <c r="AV207" s="815">
        <f t="shared" si="120"/>
        <v>0</v>
      </c>
      <c r="AW207" s="815">
        <f t="shared" si="121"/>
        <v>0</v>
      </c>
      <c r="AX207" s="815">
        <f t="shared" si="122"/>
        <v>0</v>
      </c>
      <c r="AY207" s="1096">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1"/>
      <c r="B208" s="1080"/>
      <c r="C208" s="1080"/>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6">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1"/>
      <c r="B209" s="1080"/>
      <c r="C209" s="1080"/>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6">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1"/>
      <c r="B210" s="1080"/>
      <c r="C210" s="1080"/>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6">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1"/>
      <c r="B211" s="1080"/>
      <c r="C211" s="1080"/>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6">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1"/>
      <c r="B212" s="1080"/>
      <c r="C212" s="1080"/>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6">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1"/>
      <c r="B213" s="1080"/>
      <c r="C213" s="1080"/>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6">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1"/>
      <c r="B214" s="1080"/>
      <c r="C214" s="1080"/>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6">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1"/>
      <c r="B215" s="1080"/>
      <c r="C215" s="1080"/>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6">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1"/>
      <c r="B216" s="1080"/>
      <c r="C216" s="1080"/>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6">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1"/>
      <c r="B217" s="1080"/>
      <c r="C217" s="1080"/>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6">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1"/>
      <c r="B218" s="1080"/>
      <c r="C218" s="1080"/>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6">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1"/>
      <c r="B219" s="1080"/>
      <c r="C219" s="1080"/>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6">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1"/>
      <c r="B220" s="1080"/>
      <c r="C220" s="1080"/>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6">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1"/>
      <c r="B221" s="1080"/>
      <c r="C221" s="1080"/>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6">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1"/>
      <c r="B222" s="1080"/>
      <c r="C222" s="1080"/>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6">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1"/>
      <c r="B223" s="1080"/>
      <c r="C223" s="1080"/>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6">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1"/>
      <c r="B224" s="1080"/>
      <c r="C224" s="1080"/>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6">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1"/>
      <c r="B225" s="1080"/>
      <c r="C225" s="1080"/>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6">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1"/>
      <c r="B226" s="1080"/>
      <c r="C226" s="1080"/>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6">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1"/>
      <c r="B227" s="1080"/>
      <c r="C227" s="1080"/>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6">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1"/>
      <c r="B228" s="1080"/>
      <c r="C228" s="1080"/>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6">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1"/>
      <c r="B229" s="1080"/>
      <c r="C229" s="1080"/>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6">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1"/>
      <c r="B230" s="1080"/>
      <c r="C230" s="1080"/>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6">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1"/>
      <c r="B231" s="1080"/>
      <c r="C231" s="1080"/>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6">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1"/>
      <c r="B232" s="1080"/>
      <c r="C232" s="1080"/>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6">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1"/>
      <c r="B233" s="1080"/>
      <c r="C233" s="1080"/>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6">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1"/>
      <c r="B234" s="1080"/>
      <c r="C234" s="1080"/>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6">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1"/>
      <c r="B235" s="1080"/>
      <c r="C235" s="1080"/>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6">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1"/>
      <c r="B236" s="1080"/>
      <c r="C236" s="1080"/>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6">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1"/>
      <c r="B237" s="1080"/>
      <c r="C237" s="1080"/>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6">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1"/>
      <c r="B238" s="1080"/>
      <c r="C238" s="1080"/>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6">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1"/>
      <c r="B239" s="1080"/>
      <c r="C239" s="1080"/>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6">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1"/>
      <c r="B240" s="1080"/>
      <c r="C240" s="1080"/>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6">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1"/>
      <c r="B241" s="1080"/>
      <c r="C241" s="1080"/>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6">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1"/>
      <c r="B242" s="1080"/>
      <c r="C242" s="1080"/>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6">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1"/>
      <c r="B243" s="1080"/>
      <c r="C243" s="1080"/>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6">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1"/>
      <c r="B244" s="1080"/>
      <c r="C244" s="1080"/>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6">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1"/>
      <c r="B245" s="1080"/>
      <c r="C245" s="1080"/>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6">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1"/>
      <c r="B246" s="1080"/>
      <c r="C246" s="1080"/>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6">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1"/>
      <c r="B247" s="1080"/>
      <c r="C247" s="1080"/>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6">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1"/>
      <c r="B248" s="1080"/>
      <c r="C248" s="1080"/>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6">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1"/>
      <c r="B249" s="1080"/>
      <c r="C249" s="1080"/>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6">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1"/>
      <c r="B250" s="1080"/>
      <c r="C250" s="1080"/>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6">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1"/>
      <c r="B251" s="1080"/>
      <c r="C251" s="1080"/>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6">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1"/>
      <c r="B252" s="1080"/>
      <c r="C252" s="1080"/>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6">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1"/>
      <c r="B253" s="1080"/>
      <c r="C253" s="1080"/>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6">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1"/>
      <c r="B254" s="1080"/>
      <c r="C254" s="1080"/>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6">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1"/>
      <c r="B255" s="1080"/>
      <c r="C255" s="1080"/>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6">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1"/>
      <c r="B256" s="1080"/>
      <c r="C256" s="1080"/>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6">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1"/>
      <c r="B257" s="1080"/>
      <c r="C257" s="1080"/>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6">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1"/>
      <c r="B258" s="1080"/>
      <c r="C258" s="1080"/>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6">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1"/>
      <c r="B259" s="1080"/>
      <c r="C259" s="1080"/>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6">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1"/>
      <c r="B260" s="1080"/>
      <c r="C260" s="1080"/>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6">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1"/>
      <c r="B261" s="1080"/>
      <c r="C261" s="1080"/>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6">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1"/>
      <c r="B262" s="1080"/>
      <c r="C262" s="1080"/>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6">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1"/>
      <c r="B263" s="1080"/>
      <c r="C263" s="1080"/>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6">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1"/>
      <c r="B264" s="1080"/>
      <c r="C264" s="1080"/>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6">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1"/>
      <c r="B265" s="1080"/>
      <c r="C265" s="1080"/>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6">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1"/>
      <c r="B266" s="1080"/>
      <c r="C266" s="1080"/>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6">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1"/>
      <c r="B267" s="1080"/>
      <c r="C267" s="1080"/>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6">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1"/>
      <c r="B268" s="1080"/>
      <c r="C268" s="1080"/>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6">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1"/>
      <c r="B269" s="1080"/>
      <c r="C269" s="1080"/>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6">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1"/>
      <c r="B270" s="1080"/>
      <c r="C270" s="1080"/>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6">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1"/>
      <c r="B271" s="1080"/>
      <c r="C271" s="1080"/>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6">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1"/>
      <c r="B272" s="1080"/>
      <c r="C272" s="1080"/>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6">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1"/>
      <c r="B273" s="1080"/>
      <c r="C273" s="1080"/>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6">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1"/>
      <c r="B274" s="1080"/>
      <c r="C274" s="1080"/>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6">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1"/>
      <c r="B275" s="1080"/>
      <c r="C275" s="1080"/>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6">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1"/>
      <c r="B276" s="1080"/>
      <c r="C276" s="1080"/>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6">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1"/>
      <c r="B277" s="1080"/>
      <c r="C277" s="1080"/>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6">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1"/>
      <c r="B278" s="1080"/>
      <c r="C278" s="1080"/>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6">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1"/>
      <c r="B279" s="1080"/>
      <c r="C279" s="1080"/>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6">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1"/>
      <c r="B280" s="1080"/>
      <c r="C280" s="1080"/>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6">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1"/>
      <c r="B281" s="1080"/>
      <c r="C281" s="1080"/>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6">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1"/>
      <c r="B282" s="1080"/>
      <c r="C282" s="1080"/>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6">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1"/>
      <c r="B283" s="1080"/>
      <c r="C283" s="1080"/>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6">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1"/>
      <c r="B284" s="1080"/>
      <c r="C284" s="1080"/>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6">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1"/>
      <c r="B285" s="1080"/>
      <c r="C285" s="1080"/>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6">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1"/>
      <c r="B286" s="1080"/>
      <c r="C286" s="1080"/>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6">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1"/>
      <c r="B287" s="1080"/>
      <c r="C287" s="1080"/>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6">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1"/>
      <c r="B288" s="1080"/>
      <c r="C288" s="1080"/>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6">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1"/>
      <c r="B289" s="1080"/>
      <c r="C289" s="1080"/>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6">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1"/>
      <c r="B290" s="1080"/>
      <c r="C290" s="1080"/>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6">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1"/>
      <c r="B291" s="1080"/>
      <c r="C291" s="1080"/>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6">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1"/>
      <c r="B292" s="1080"/>
      <c r="C292" s="1080"/>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6">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1"/>
      <c r="B293" s="1080"/>
      <c r="C293" s="1080"/>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6">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1"/>
      <c r="B294" s="1080"/>
      <c r="C294" s="1080"/>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6">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1"/>
      <c r="B295" s="1080"/>
      <c r="C295" s="1080"/>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6">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1"/>
      <c r="B296" s="1080"/>
      <c r="C296" s="1080"/>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6">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1"/>
      <c r="B297" s="1080"/>
      <c r="C297" s="1080"/>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6">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1"/>
      <c r="B298" s="1080"/>
      <c r="C298" s="1080"/>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6">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1"/>
      <c r="B299" s="1080"/>
      <c r="C299" s="1080"/>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6">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1"/>
      <c r="B300" s="1211"/>
      <c r="C300" s="1211"/>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3"/>
      <c r="AV300" s="815">
        <f t="shared" si="127"/>
        <v>0</v>
      </c>
      <c r="AW300" s="815">
        <f t="shared" si="128"/>
        <v>0</v>
      </c>
      <c r="AX300" s="815">
        <f t="shared" si="129"/>
        <v>0</v>
      </c>
      <c r="AY300" s="1096">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1"/>
      <c r="B301" s="1211"/>
      <c r="C301" s="1211"/>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3"/>
      <c r="AV301" s="815">
        <f t="shared" si="127"/>
        <v>0</v>
      </c>
      <c r="AW301" s="815">
        <f t="shared" si="128"/>
        <v>0</v>
      </c>
      <c r="AX301" s="815">
        <f t="shared" si="129"/>
        <v>0</v>
      </c>
      <c r="AY301" s="1096">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1"/>
      <c r="B302" s="1211"/>
      <c r="C302" s="1211"/>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3"/>
      <c r="AV302" s="815">
        <f t="shared" si="127"/>
        <v>0</v>
      </c>
      <c r="AW302" s="815">
        <f t="shared" si="128"/>
        <v>0</v>
      </c>
      <c r="AX302" s="815">
        <f t="shared" si="129"/>
        <v>0</v>
      </c>
      <c r="AY302" s="1096">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1"/>
      <c r="B303" s="1080"/>
      <c r="C303" s="1080"/>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6">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1"/>
      <c r="B304" s="1080"/>
      <c r="C304" s="1080"/>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6">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1"/>
      <c r="B305" s="1080"/>
      <c r="C305" s="1080"/>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6">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1"/>
      <c r="B306" s="1080"/>
      <c r="C306" s="1080"/>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6">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1"/>
      <c r="B307" s="1080"/>
      <c r="C307" s="1080"/>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6">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1"/>
      <c r="B308" s="1080"/>
      <c r="C308" s="1080"/>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6">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1"/>
      <c r="B309" s="1080"/>
      <c r="C309" s="1080"/>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6">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1"/>
      <c r="B310" s="1080"/>
      <c r="C310" s="1080"/>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6">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1"/>
      <c r="B311" s="1080"/>
      <c r="C311" s="1080"/>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6">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1"/>
      <c r="B312" s="1080"/>
      <c r="C312" s="1080"/>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6">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1"/>
      <c r="B313" s="1080"/>
      <c r="C313" s="1080"/>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6">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1"/>
      <c r="B314" s="1080"/>
      <c r="C314" s="1080"/>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6">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1"/>
      <c r="B315" s="1080"/>
      <c r="C315" s="1080"/>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6">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1"/>
      <c r="B316" s="1080"/>
      <c r="C316" s="1080"/>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6">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1"/>
      <c r="B317" s="1080"/>
      <c r="C317" s="1080"/>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6">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1"/>
      <c r="B318" s="1080"/>
      <c r="C318" s="1080"/>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6">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1"/>
      <c r="B319" s="1080"/>
      <c r="C319" s="1080"/>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6">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1"/>
      <c r="B320" s="1080"/>
      <c r="C320" s="1080"/>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6">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1"/>
      <c r="B321" s="1080"/>
      <c r="C321" s="1080"/>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6">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1"/>
      <c r="B322" s="1080"/>
      <c r="C322" s="1080"/>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6">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1"/>
      <c r="B323" s="1080"/>
      <c r="C323" s="1080"/>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6">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1"/>
      <c r="B324" s="1080"/>
      <c r="C324" s="1080"/>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6">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1"/>
      <c r="B325" s="1080"/>
      <c r="C325" s="1080"/>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6">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1"/>
      <c r="B326" s="1080"/>
      <c r="C326" s="1080"/>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6">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1"/>
      <c r="B327" s="1080"/>
      <c r="C327" s="1080"/>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6">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1"/>
      <c r="B328" s="1080"/>
      <c r="C328" s="1080"/>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6">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1"/>
      <c r="B329" s="1080"/>
      <c r="C329" s="1080"/>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6">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1"/>
      <c r="B330" s="1080"/>
      <c r="C330" s="1080"/>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6">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1"/>
      <c r="B331" s="1080"/>
      <c r="C331" s="1080"/>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6">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1"/>
      <c r="B332" s="1080"/>
      <c r="C332" s="1080"/>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6">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1"/>
      <c r="B333" s="1080"/>
      <c r="C333" s="1080"/>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6">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1"/>
      <c r="B334" s="1080"/>
      <c r="C334" s="1080"/>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6">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1"/>
      <c r="B335" s="1080"/>
      <c r="C335" s="1080"/>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6">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1"/>
      <c r="B336" s="1080"/>
      <c r="C336" s="1080"/>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6">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1"/>
      <c r="B337" s="1080"/>
      <c r="C337" s="1080"/>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6">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1"/>
      <c r="B338" s="1080"/>
      <c r="C338" s="1080"/>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6">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1"/>
      <c r="B339" s="1080"/>
      <c r="C339" s="1080"/>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6">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1"/>
      <c r="B340" s="1080"/>
      <c r="C340" s="1080"/>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6">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1"/>
      <c r="B341" s="1080"/>
      <c r="C341" s="1080"/>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6">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1"/>
      <c r="B342" s="1080"/>
      <c r="C342" s="1080"/>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6">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1"/>
      <c r="B343" s="1080"/>
      <c r="C343" s="1080"/>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6">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1"/>
      <c r="B344" s="1080"/>
      <c r="C344" s="1080"/>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6">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1"/>
      <c r="B345" s="1080"/>
      <c r="C345" s="1080"/>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6">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1"/>
      <c r="B346" s="1080"/>
      <c r="C346" s="1080"/>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6">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1"/>
      <c r="B347" s="1080"/>
      <c r="C347" s="1080"/>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6">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1"/>
      <c r="B348" s="1080"/>
      <c r="C348" s="1080"/>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6">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1"/>
      <c r="B349" s="1080"/>
      <c r="C349" s="1080"/>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6">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1"/>
      <c r="B350" s="1080"/>
      <c r="C350" s="1080"/>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6">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1"/>
      <c r="B351" s="1080"/>
      <c r="C351" s="1080"/>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6">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1"/>
      <c r="B352" s="1080"/>
      <c r="C352" s="1080"/>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6">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1"/>
      <c r="B353" s="1080"/>
      <c r="C353" s="1080"/>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6">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1"/>
      <c r="B354" s="1080"/>
      <c r="C354" s="1080"/>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6">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1"/>
      <c r="B355" s="1080"/>
      <c r="C355" s="1080"/>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6">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1"/>
      <c r="B356" s="1080"/>
      <c r="C356" s="1080"/>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6">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1"/>
      <c r="B357" s="1080"/>
      <c r="C357" s="1080"/>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6">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1"/>
      <c r="B358" s="1080"/>
      <c r="C358" s="1080"/>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6">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1"/>
      <c r="B359" s="1080"/>
      <c r="C359" s="1080"/>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6">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1"/>
      <c r="B360" s="1080"/>
      <c r="C360" s="1080"/>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6">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1"/>
      <c r="B361" s="1080"/>
      <c r="C361" s="1080"/>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6">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1"/>
      <c r="B362" s="1080"/>
      <c r="C362" s="1080"/>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6">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1"/>
      <c r="B363" s="1080"/>
      <c r="C363" s="1080"/>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6">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1"/>
      <c r="B364" s="1080"/>
      <c r="C364" s="1080"/>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6">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1"/>
      <c r="B365" s="1080"/>
      <c r="C365" s="1080"/>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6">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1"/>
      <c r="B366" s="1080"/>
      <c r="C366" s="1080"/>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6">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1"/>
      <c r="B367" s="1080"/>
      <c r="C367" s="1080"/>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6">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1"/>
      <c r="B368" s="1080"/>
      <c r="C368" s="1080"/>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6">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1"/>
      <c r="B369" s="1080"/>
      <c r="C369" s="1080"/>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6">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1"/>
      <c r="B370" s="1080"/>
      <c r="C370" s="1080"/>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6">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1"/>
      <c r="B371" s="1080"/>
      <c r="C371" s="1080"/>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6">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1"/>
      <c r="B372" s="1080"/>
      <c r="C372" s="1080"/>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6">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1"/>
      <c r="B373" s="1080"/>
      <c r="C373" s="1080"/>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6">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1"/>
      <c r="B374" s="1080"/>
      <c r="C374" s="1080"/>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6">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1"/>
      <c r="B375" s="1080"/>
      <c r="C375" s="1080"/>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6">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1"/>
      <c r="B376" s="1080"/>
      <c r="C376" s="1080"/>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6">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1"/>
      <c r="B377" s="1080"/>
      <c r="C377" s="1080"/>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6">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1"/>
      <c r="B378" s="1080"/>
      <c r="C378" s="1080"/>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6">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1"/>
      <c r="B379" s="1080"/>
      <c r="C379" s="1080"/>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6">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1"/>
      <c r="B380" s="1080"/>
      <c r="C380" s="1080"/>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6">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1"/>
      <c r="B381" s="1080"/>
      <c r="C381" s="1080"/>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6">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1"/>
      <c r="B382" s="1080"/>
      <c r="C382" s="1080"/>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6">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1"/>
      <c r="B383" s="1080"/>
      <c r="C383" s="1080"/>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6">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1"/>
      <c r="B384" s="1080"/>
      <c r="C384" s="1080"/>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6">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1"/>
      <c r="B385" s="1080"/>
      <c r="C385" s="1080"/>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6">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1"/>
      <c r="B386" s="1080"/>
      <c r="C386" s="1080"/>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6">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1"/>
      <c r="B387" s="1080"/>
      <c r="C387" s="1080"/>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6">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1"/>
      <c r="B388" s="1080"/>
      <c r="C388" s="1080"/>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6">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1"/>
      <c r="B389" s="1080"/>
      <c r="C389" s="1080"/>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6">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1"/>
      <c r="B390" s="1080"/>
      <c r="C390" s="1080"/>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6">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1"/>
      <c r="B391" s="1080"/>
      <c r="C391" s="1080"/>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6">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1"/>
      <c r="B392" s="1080"/>
      <c r="C392" s="1080"/>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6">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1"/>
      <c r="B393" s="1080"/>
      <c r="C393" s="1080"/>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6">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1"/>
      <c r="B394" s="1080"/>
      <c r="C394" s="1080"/>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6">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1"/>
      <c r="B395" s="1211"/>
      <c r="C395" s="1211"/>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3"/>
      <c r="AV395" s="815">
        <f t="shared" si="236"/>
        <v>0</v>
      </c>
      <c r="AW395" s="815">
        <f t="shared" si="237"/>
        <v>0</v>
      </c>
      <c r="AX395" s="815">
        <f t="shared" si="238"/>
        <v>0</v>
      </c>
      <c r="AY395" s="1096">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1"/>
      <c r="B396" s="1211"/>
      <c r="C396" s="1211"/>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3"/>
      <c r="AV396" s="815">
        <f t="shared" si="236"/>
        <v>0</v>
      </c>
      <c r="AW396" s="815">
        <f t="shared" si="237"/>
        <v>0</v>
      </c>
      <c r="AX396" s="815">
        <f t="shared" si="238"/>
        <v>0</v>
      </c>
      <c r="AY396" s="1096">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1"/>
      <c r="B397" s="1211"/>
      <c r="C397" s="1211"/>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3"/>
      <c r="AV397" s="815">
        <f t="shared" si="236"/>
        <v>0</v>
      </c>
      <c r="AW397" s="815">
        <f t="shared" si="237"/>
        <v>0</v>
      </c>
      <c r="AX397" s="815">
        <f t="shared" si="238"/>
        <v>0</v>
      </c>
      <c r="AY397" s="1096">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1"/>
      <c r="B398" s="1080"/>
      <c r="C398" s="1080"/>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6">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1"/>
      <c r="B399" s="1080"/>
      <c r="C399" s="1080"/>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6">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1"/>
      <c r="B400" s="1080"/>
      <c r="C400" s="1080"/>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6">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1"/>
      <c r="B401" s="1080"/>
      <c r="C401" s="1080"/>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6">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1"/>
      <c r="B402" s="1080"/>
      <c r="C402" s="1080"/>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6">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1"/>
      <c r="B403" s="1080"/>
      <c r="C403" s="1080"/>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6">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1"/>
      <c r="B404" s="1080"/>
      <c r="C404" s="1080"/>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6">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1"/>
      <c r="B405" s="1080"/>
      <c r="C405" s="1080"/>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6">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1"/>
      <c r="B406" s="1080"/>
      <c r="C406" s="1080"/>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6">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1"/>
      <c r="B407" s="1080"/>
      <c r="C407" s="1080"/>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6">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1"/>
      <c r="B408" s="1080"/>
      <c r="C408" s="1080"/>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6">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1"/>
      <c r="B409" s="1080"/>
      <c r="C409" s="1080"/>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6">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1"/>
      <c r="B410" s="1080"/>
      <c r="C410" s="1080"/>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6">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1"/>
      <c r="B411" s="1080"/>
      <c r="C411" s="1080"/>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6">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1"/>
      <c r="B412" s="1080"/>
      <c r="C412" s="1080"/>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6">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1"/>
      <c r="B413" s="1080"/>
      <c r="C413" s="1080"/>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6">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1"/>
      <c r="B414" s="1080"/>
      <c r="C414" s="1080"/>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6">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1"/>
      <c r="B415" s="1080"/>
      <c r="C415" s="1080"/>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6">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1"/>
      <c r="B416" s="1080"/>
      <c r="C416" s="1080"/>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6">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1"/>
      <c r="B417" s="1080"/>
      <c r="C417" s="1080"/>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6">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1"/>
      <c r="B418" s="1080"/>
      <c r="C418" s="1080"/>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6">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1"/>
      <c r="B419" s="1080"/>
      <c r="C419" s="1080"/>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6">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1"/>
      <c r="B420" s="1080"/>
      <c r="C420" s="1080"/>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6">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1"/>
      <c r="B421" s="1080"/>
      <c r="C421" s="1080"/>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6">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1"/>
      <c r="B422" s="1080"/>
      <c r="C422" s="1080"/>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6">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1"/>
      <c r="B423" s="1080"/>
      <c r="C423" s="1080"/>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6">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1"/>
      <c r="B424" s="1080"/>
      <c r="C424" s="1080"/>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6">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1"/>
      <c r="B425" s="1080"/>
      <c r="C425" s="1080"/>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6">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1"/>
      <c r="B426" s="1080"/>
      <c r="C426" s="1080"/>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6">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1"/>
      <c r="B427" s="1080"/>
      <c r="C427" s="1080"/>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6">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1"/>
      <c r="B428" s="1080"/>
      <c r="C428" s="1080"/>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6">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1"/>
      <c r="B429" s="1080"/>
      <c r="C429" s="1080"/>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6">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1"/>
      <c r="B430" s="1080"/>
      <c r="C430" s="1080"/>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6">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1"/>
      <c r="B431" s="1080"/>
      <c r="C431" s="1080"/>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6">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1"/>
      <c r="B432" s="1080"/>
      <c r="C432" s="1080"/>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6">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1"/>
      <c r="B433" s="1080"/>
      <c r="C433" s="1080"/>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6">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1"/>
      <c r="B434" s="1080"/>
      <c r="C434" s="1080"/>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6">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1"/>
      <c r="B435" s="1080"/>
      <c r="C435" s="1080"/>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6">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1"/>
      <c r="B436" s="1080"/>
      <c r="C436" s="1080"/>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6">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1"/>
      <c r="B437" s="1080"/>
      <c r="C437" s="1080"/>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6">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1"/>
      <c r="B438" s="1080"/>
      <c r="C438" s="1080"/>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6">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1"/>
      <c r="B439" s="1080"/>
      <c r="C439" s="1080"/>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6">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1"/>
      <c r="B440" s="1080"/>
      <c r="C440" s="1080"/>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6">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1"/>
      <c r="B441" s="1080"/>
      <c r="C441" s="1080"/>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6">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1"/>
      <c r="B442" s="1080"/>
      <c r="C442" s="1080"/>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6">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1"/>
      <c r="B443" s="1080"/>
      <c r="C443" s="1080"/>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6">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1"/>
      <c r="B444" s="1080"/>
      <c r="C444" s="1080"/>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6">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1"/>
      <c r="B445" s="1080"/>
      <c r="C445" s="1080"/>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6">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1"/>
      <c r="B446" s="1080"/>
      <c r="C446" s="1080"/>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6">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1"/>
      <c r="B447" s="1080"/>
      <c r="C447" s="1080"/>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6">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1"/>
      <c r="B448" s="1080"/>
      <c r="C448" s="1080"/>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6">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1"/>
      <c r="B449" s="1080"/>
      <c r="C449" s="1080"/>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6">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1"/>
      <c r="B450" s="1080"/>
      <c r="C450" s="1080"/>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6">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1"/>
      <c r="B451" s="1080"/>
      <c r="C451" s="1080"/>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6">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1"/>
      <c r="B452" s="1080"/>
      <c r="C452" s="1080"/>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6">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1"/>
      <c r="B453" s="1080"/>
      <c r="C453" s="1080"/>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6">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1"/>
      <c r="B454" s="1080"/>
      <c r="C454" s="1080"/>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6">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1"/>
      <c r="B455" s="1080"/>
      <c r="C455" s="1080"/>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6">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1"/>
      <c r="B456" s="1080"/>
      <c r="C456" s="1080"/>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6">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1"/>
      <c r="B457" s="1080"/>
      <c r="C457" s="1080"/>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6">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1"/>
      <c r="B458" s="1080"/>
      <c r="C458" s="1080"/>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6">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1"/>
      <c r="B459" s="1080"/>
      <c r="C459" s="1080"/>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6">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1"/>
      <c r="B460" s="1080"/>
      <c r="C460" s="1080"/>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6">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1"/>
      <c r="B461" s="1080"/>
      <c r="C461" s="1080"/>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6">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1"/>
      <c r="B462" s="1080"/>
      <c r="C462" s="1080"/>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6">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1"/>
      <c r="B463" s="1080"/>
      <c r="C463" s="1080"/>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6">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1"/>
      <c r="B464" s="1080"/>
      <c r="C464" s="1080"/>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6">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1"/>
      <c r="B465" s="1080"/>
      <c r="C465" s="1080"/>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6">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1"/>
      <c r="B466" s="1080"/>
      <c r="C466" s="1080"/>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6">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1"/>
      <c r="B467" s="1080"/>
      <c r="C467" s="1080"/>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6">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1"/>
      <c r="B468" s="1080"/>
      <c r="C468" s="1080"/>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6">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1"/>
      <c r="B469" s="1080"/>
      <c r="C469" s="1080"/>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6">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1"/>
      <c r="B470" s="1080"/>
      <c r="C470" s="1080"/>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6">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1"/>
      <c r="B471" s="1080"/>
      <c r="C471" s="1080"/>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6">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1"/>
      <c r="B472" s="1080"/>
      <c r="C472" s="1080"/>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6">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1"/>
      <c r="B473" s="1080"/>
      <c r="C473" s="1080"/>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6">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1"/>
      <c r="B474" s="1080"/>
      <c r="C474" s="1080"/>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6">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1"/>
      <c r="B475" s="1080"/>
      <c r="C475" s="1080"/>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6">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1"/>
      <c r="B476" s="1080"/>
      <c r="C476" s="1080"/>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6">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1"/>
      <c r="B477" s="1080"/>
      <c r="C477" s="1080"/>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6">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1"/>
      <c r="B478" s="1080"/>
      <c r="C478" s="1080"/>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6">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1"/>
      <c r="B479" s="1080"/>
      <c r="C479" s="1080"/>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6">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1"/>
      <c r="B480" s="1080"/>
      <c r="C480" s="1080"/>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6">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1"/>
      <c r="B481" s="1080"/>
      <c r="C481" s="1080"/>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6">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1"/>
      <c r="B482" s="1080"/>
      <c r="C482" s="1080"/>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6">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1"/>
      <c r="B483" s="1080"/>
      <c r="C483" s="1080"/>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6">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1"/>
      <c r="B484" s="1080"/>
      <c r="C484" s="1080"/>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6">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1"/>
      <c r="B485" s="1080"/>
      <c r="C485" s="1080"/>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6">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1"/>
      <c r="B486" s="1080"/>
      <c r="C486" s="1080"/>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6">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1"/>
      <c r="B487" s="1080"/>
      <c r="C487" s="1080"/>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6">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1"/>
      <c r="B488" s="1080"/>
      <c r="C488" s="1080"/>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6">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1"/>
      <c r="B489" s="1080"/>
      <c r="C489" s="1080"/>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6">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1"/>
      <c r="B490" s="1211"/>
      <c r="C490" s="1211"/>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3"/>
      <c r="AV490" s="815">
        <f t="shared" si="243"/>
        <v>0</v>
      </c>
      <c r="AW490" s="815">
        <f t="shared" si="244"/>
        <v>0</v>
      </c>
      <c r="AX490" s="815">
        <f t="shared" si="245"/>
        <v>0</v>
      </c>
      <c r="AY490" s="1096">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1"/>
      <c r="B491" s="1211"/>
      <c r="C491" s="1211"/>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3"/>
      <c r="AV491" s="815">
        <f t="shared" si="243"/>
        <v>0</v>
      </c>
      <c r="AW491" s="815">
        <f t="shared" si="244"/>
        <v>0</v>
      </c>
      <c r="AX491" s="815">
        <f t="shared" si="245"/>
        <v>0</v>
      </c>
      <c r="AY491" s="1096">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1"/>
      <c r="B492" s="1211"/>
      <c r="C492" s="1211"/>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3"/>
      <c r="AV492" s="815">
        <f t="shared" si="243"/>
        <v>0</v>
      </c>
      <c r="AW492" s="815">
        <f t="shared" si="244"/>
        <v>0</v>
      </c>
      <c r="AX492" s="815">
        <f t="shared" si="245"/>
        <v>0</v>
      </c>
      <c r="AY492" s="1096">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1"/>
      <c r="B493" s="1080"/>
      <c r="C493" s="1080"/>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6">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1"/>
      <c r="B494" s="1080"/>
      <c r="C494" s="1080"/>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6">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1"/>
      <c r="B495" s="1080"/>
      <c r="C495" s="1080"/>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6">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1"/>
      <c r="B496" s="1080"/>
      <c r="C496" s="1080"/>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6">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1"/>
      <c r="B497" s="1080"/>
      <c r="C497" s="1080"/>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6">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1"/>
      <c r="B498" s="1080"/>
      <c r="C498" s="1080"/>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6">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1"/>
      <c r="B499" s="1080"/>
      <c r="C499" s="1080"/>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6">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1"/>
      <c r="B500" s="1080"/>
      <c r="C500" s="1080"/>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6">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1"/>
      <c r="B501" s="1080"/>
      <c r="C501" s="1080"/>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6">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1"/>
      <c r="B502" s="1080"/>
      <c r="C502" s="1080"/>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6">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1"/>
      <c r="B503" s="1080"/>
      <c r="C503" s="1080"/>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6">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1"/>
      <c r="B504" s="1080"/>
      <c r="C504" s="1080"/>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6">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1"/>
      <c r="B505" s="1080"/>
      <c r="C505" s="1080"/>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6">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1"/>
      <c r="B506" s="1080"/>
      <c r="C506" s="1080"/>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6">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1"/>
      <c r="B507" s="1080"/>
      <c r="C507" s="1080"/>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6">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1"/>
      <c r="B508" s="1080"/>
      <c r="C508" s="1080"/>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6">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1"/>
      <c r="B509" s="1080"/>
      <c r="C509" s="1080"/>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6">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1"/>
      <c r="B510" s="1080"/>
      <c r="C510" s="1080"/>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6">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1"/>
      <c r="B511" s="1080"/>
      <c r="C511" s="1080"/>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6">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1"/>
      <c r="B512" s="1080"/>
      <c r="C512" s="1080"/>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6">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1"/>
      <c r="B513" s="1080"/>
      <c r="C513" s="1080"/>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6">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1"/>
      <c r="B514" s="1080"/>
      <c r="C514" s="1080"/>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6">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1"/>
      <c r="B515" s="1080"/>
      <c r="C515" s="1080"/>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6">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1"/>
      <c r="B516" s="1080"/>
      <c r="C516" s="1080"/>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6">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1"/>
      <c r="B517" s="1080"/>
      <c r="C517" s="1080"/>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6">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1"/>
      <c r="B518" s="1080"/>
      <c r="C518" s="1080"/>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6">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1"/>
      <c r="B519" s="1080"/>
      <c r="C519" s="1080"/>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6">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1"/>
      <c r="B520" s="1080"/>
      <c r="C520" s="1080"/>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6">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1"/>
      <c r="B521" s="1080"/>
      <c r="C521" s="1080"/>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6">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1"/>
      <c r="B522" s="1080"/>
      <c r="C522" s="1080"/>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6">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1"/>
      <c r="B523" s="1080"/>
      <c r="C523" s="1080"/>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6">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1"/>
      <c r="B524" s="1080"/>
      <c r="C524" s="1080"/>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6">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1"/>
      <c r="B525" s="1080"/>
      <c r="C525" s="1080"/>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6">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1"/>
      <c r="B526" s="1080"/>
      <c r="C526" s="1080"/>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6">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1"/>
      <c r="B527" s="1080"/>
      <c r="C527" s="1080"/>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6">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1"/>
      <c r="B528" s="1080"/>
      <c r="C528" s="1080"/>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6">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1"/>
      <c r="B529" s="1080"/>
      <c r="C529" s="1080"/>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6">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1"/>
      <c r="B530" s="1080"/>
      <c r="C530" s="1080"/>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6">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1"/>
      <c r="B531" s="1080"/>
      <c r="C531" s="1080"/>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6">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1"/>
      <c r="B532" s="1080"/>
      <c r="C532" s="1080"/>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6">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1"/>
      <c r="B533" s="1080"/>
      <c r="C533" s="1080"/>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6">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1"/>
      <c r="B534" s="1080"/>
      <c r="C534" s="1080"/>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6">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1"/>
      <c r="B535" s="1080"/>
      <c r="C535" s="1080"/>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6">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1"/>
      <c r="B536" s="1080"/>
      <c r="C536" s="1080"/>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6">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1"/>
      <c r="B537" s="1080"/>
      <c r="C537" s="1080"/>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6">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1"/>
      <c r="B538" s="1080"/>
      <c r="C538" s="1080"/>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6">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1"/>
      <c r="B539" s="1080"/>
      <c r="C539" s="1080"/>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6">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1"/>
      <c r="B540" s="1080"/>
      <c r="C540" s="1080"/>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6">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1"/>
      <c r="B541" s="1080"/>
      <c r="C541" s="1080"/>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6">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1"/>
      <c r="B542" s="1080"/>
      <c r="C542" s="1080"/>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6">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1"/>
      <c r="B543" s="1080"/>
      <c r="C543" s="1080"/>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6">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1"/>
      <c r="B544" s="1080"/>
      <c r="C544" s="1080"/>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6">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1"/>
      <c r="B545" s="1080"/>
      <c r="C545" s="1080"/>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6">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1"/>
      <c r="B546" s="1080"/>
      <c r="C546" s="1080"/>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6">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1"/>
      <c r="B547" s="1080"/>
      <c r="C547" s="1080"/>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6">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1"/>
      <c r="B548" s="1080"/>
      <c r="C548" s="1080"/>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6">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1"/>
      <c r="B549" s="1080"/>
      <c r="C549" s="1080"/>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6">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1"/>
      <c r="B550" s="1080"/>
      <c r="C550" s="1080"/>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6">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1"/>
      <c r="B551" s="1080"/>
      <c r="C551" s="1080"/>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6">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1"/>
      <c r="B552" s="1080"/>
      <c r="C552" s="1080"/>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6">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1"/>
      <c r="B553" s="1080"/>
      <c r="C553" s="1080"/>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6">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1"/>
      <c r="B554" s="1080"/>
      <c r="C554" s="1080"/>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6">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1"/>
      <c r="B555" s="1080"/>
      <c r="C555" s="1080"/>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6">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1"/>
      <c r="B556" s="1080"/>
      <c r="C556" s="1080"/>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6">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1"/>
      <c r="B557" s="1080"/>
      <c r="C557" s="1080"/>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6">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1"/>
      <c r="B558" s="1080"/>
      <c r="C558" s="1080"/>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6">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1"/>
      <c r="B559" s="1080"/>
      <c r="C559" s="1080"/>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6">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1"/>
      <c r="B560" s="1080"/>
      <c r="C560" s="1080"/>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6">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1"/>
      <c r="B561" s="1080"/>
      <c r="C561" s="1080"/>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6">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1"/>
      <c r="B562" s="1080"/>
      <c r="C562" s="1080"/>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6">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1"/>
      <c r="B563" s="1080"/>
      <c r="C563" s="1080"/>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6">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1"/>
      <c r="B564" s="1080"/>
      <c r="C564" s="1080"/>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6">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1"/>
      <c r="B565" s="1080"/>
      <c r="C565" s="1080"/>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6">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1"/>
      <c r="B566" s="1080"/>
      <c r="C566" s="1080"/>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6">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1"/>
      <c r="B567" s="1080"/>
      <c r="C567" s="1080"/>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6">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1"/>
      <c r="B568" s="1080"/>
      <c r="C568" s="1080"/>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6">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1"/>
      <c r="B569" s="1080"/>
      <c r="C569" s="1080"/>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6">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1"/>
      <c r="B570" s="1080"/>
      <c r="C570" s="1080"/>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6">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1"/>
      <c r="B571" s="1080"/>
      <c r="C571" s="1080"/>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6">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1"/>
      <c r="B572" s="1080"/>
      <c r="C572" s="1080"/>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6">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1"/>
      <c r="B573" s="1080"/>
      <c r="C573" s="1080"/>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6">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1"/>
      <c r="B574" s="1080"/>
      <c r="C574" s="1080"/>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6">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1"/>
      <c r="B575" s="1080"/>
      <c r="C575" s="1080"/>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6">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1"/>
      <c r="B576" s="1080"/>
      <c r="C576" s="1080"/>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6">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1"/>
      <c r="B577" s="1080"/>
      <c r="C577" s="1080"/>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6">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1"/>
      <c r="B578" s="1080"/>
      <c r="C578" s="1080"/>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6">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1"/>
      <c r="B579" s="1080"/>
      <c r="C579" s="1080"/>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6">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1"/>
      <c r="B580" s="1080"/>
      <c r="C580" s="1080"/>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6">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1"/>
      <c r="B581" s="1080"/>
      <c r="C581" s="1080"/>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6">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1"/>
      <c r="B582" s="1080"/>
      <c r="C582" s="1080"/>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6">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1"/>
      <c r="B583" s="1080"/>
      <c r="C583" s="1080"/>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6">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1"/>
      <c r="B584" s="1080"/>
      <c r="C584" s="1080"/>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6">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1"/>
      <c r="B585" s="1211"/>
      <c r="C585" s="1211"/>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3"/>
      <c r="AV585" s="815">
        <f t="shared" si="330"/>
        <v>0</v>
      </c>
      <c r="AW585" s="815">
        <f t="shared" si="331"/>
        <v>0</v>
      </c>
      <c r="AX585" s="815">
        <f t="shared" si="332"/>
        <v>0</v>
      </c>
      <c r="AY585" s="1096">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1"/>
      <c r="B586" s="1211"/>
      <c r="C586" s="1211"/>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3"/>
      <c r="AV586" s="815">
        <f t="shared" si="330"/>
        <v>0</v>
      </c>
      <c r="AW586" s="815">
        <f t="shared" si="331"/>
        <v>0</v>
      </c>
      <c r="AX586" s="815">
        <f t="shared" si="332"/>
        <v>0</v>
      </c>
      <c r="AY586" s="1096">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1"/>
      <c r="B587" s="1211"/>
      <c r="C587" s="1211"/>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3"/>
      <c r="AV587" s="815">
        <f t="shared" si="330"/>
        <v>0</v>
      </c>
      <c r="AW587" s="815">
        <f t="shared" si="331"/>
        <v>0</v>
      </c>
      <c r="AX587" s="815">
        <f t="shared" si="332"/>
        <v>0</v>
      </c>
      <c r="AY587" s="1096">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556</v>
      </c>
      <c r="B1" s="2536"/>
      <c r="C1" s="2536"/>
      <c r="D1" s="2536"/>
      <c r="E1" s="2536"/>
      <c r="F1" s="2536"/>
      <c r="G1" s="2536"/>
      <c r="H1" s="2536"/>
      <c r="I1" s="2536"/>
      <c r="J1" s="2536"/>
      <c r="K1" s="2536"/>
      <c r="L1" s="2536"/>
      <c r="M1" s="2536"/>
      <c r="N1" s="2536"/>
      <c r="O1" s="2536"/>
      <c r="P1" s="2536"/>
    </row>
    <row r="2" spans="1:16">
      <c r="A2" s="2378" t="s">
        <v>557</v>
      </c>
      <c r="B2" s="2378"/>
      <c r="C2" s="2378"/>
      <c r="D2" s="2378" t="s">
        <v>558</v>
      </c>
      <c r="E2" s="3043" t="s">
        <v>559</v>
      </c>
      <c r="F2" s="2897"/>
      <c r="G2" s="3044"/>
      <c r="H2" s="3045"/>
      <c r="I2" s="2707" t="s">
        <v>560</v>
      </c>
      <c r="J2" s="2897"/>
      <c r="K2" s="2897"/>
      <c r="L2" s="2897"/>
      <c r="M2" s="2897"/>
      <c r="N2" s="1098"/>
      <c r="O2" s="2897"/>
      <c r="P2" s="2897"/>
    </row>
    <row r="3" ht="15.75" spans="1:16">
      <c r="A3" s="3046" t="s">
        <v>561</v>
      </c>
      <c r="B3" s="3046"/>
      <c r="C3" s="3046"/>
      <c r="D3" s="3047">
        <f>'数据-基础表'!AY6</f>
        <v>0</v>
      </c>
      <c r="E3" s="3047">
        <f>'数据-基础表'!AZ5</f>
        <v>349.48</v>
      </c>
      <c r="F3" s="2897"/>
      <c r="G3" s="3048"/>
      <c r="H3" s="2485" t="s">
        <v>562</v>
      </c>
      <c r="I3" s="1771" t="e">
        <f>ROUND('数据-基础表'!B3/'数据-基础表'!A3,2)</f>
        <v>#DIV/0!</v>
      </c>
      <c r="J3" s="2897"/>
      <c r="K3" s="2897"/>
      <c r="L3" s="2897"/>
      <c r="M3" s="2897"/>
      <c r="N3" s="1098"/>
      <c r="O3" s="2897"/>
      <c r="P3" s="2897"/>
    </row>
    <row r="4" ht="15" spans="1:16">
      <c r="A4" s="2705"/>
      <c r="B4" s="2706"/>
      <c r="C4" s="3049"/>
      <c r="D4" s="3050" t="s">
        <v>558</v>
      </c>
      <c r="E4" s="3051" t="s">
        <v>559</v>
      </c>
      <c r="F4" s="2897"/>
      <c r="G4" s="3052" t="s">
        <v>563</v>
      </c>
      <c r="H4" s="2485" t="s">
        <v>564</v>
      </c>
      <c r="I4" s="1771" t="e">
        <f>ROUND(SUMIF('数据-基础表'!I9:AS9,"地上",'数据-基础表'!I5:AS5)/'数据-基础表'!A3,2)</f>
        <v>#DIV/0!</v>
      </c>
      <c r="J4" s="2897"/>
      <c r="K4" s="2897"/>
      <c r="L4" s="2897"/>
      <c r="M4" s="2897"/>
      <c r="N4" s="1098"/>
      <c r="O4" s="2897"/>
      <c r="P4" s="2897"/>
    </row>
    <row r="5" spans="1:16">
      <c r="A5" s="3048" t="s">
        <v>565</v>
      </c>
      <c r="B5" s="1175" t="s">
        <v>566</v>
      </c>
      <c r="C5" s="1175"/>
      <c r="D5" s="2485">
        <f>ROUND($D$3*E5/$E$3,2)</f>
        <v>0</v>
      </c>
      <c r="E5" s="3053">
        <f>SUMIF('数据-基础表'!$11:$11,"住宅",'数据-基础表'!$5:$5)</f>
        <v>0</v>
      </c>
      <c r="F5" s="2897"/>
      <c r="G5" s="3048"/>
      <c r="H5" s="2485" t="s">
        <v>562</v>
      </c>
      <c r="I5" s="1771" t="e">
        <f>ROUND(E31/D31,2)</f>
        <v>#DIV/0!</v>
      </c>
      <c r="J5" s="2897"/>
      <c r="K5" s="2897"/>
      <c r="L5" s="2897"/>
      <c r="M5" s="2897"/>
      <c r="N5" s="2897"/>
      <c r="O5" s="2897"/>
      <c r="P5" s="2897"/>
    </row>
    <row r="6" ht="15" spans="1:16">
      <c r="A6" s="3054"/>
      <c r="B6" s="1175" t="s">
        <v>567</v>
      </c>
      <c r="C6" s="1175"/>
      <c r="D6" s="2485">
        <f>ROUND($D$3*E6/$E$3,2)</f>
        <v>0</v>
      </c>
      <c r="E6" s="3053">
        <f>E3-E5</f>
        <v>349.48</v>
      </c>
      <c r="F6" s="2897"/>
      <c r="G6" s="3055" t="s">
        <v>568</v>
      </c>
      <c r="H6" s="3056" t="s">
        <v>564</v>
      </c>
      <c r="I6" s="3098" t="e">
        <f>ROUND(F31/D31,2)</f>
        <v>#DIV/0!</v>
      </c>
      <c r="J6" s="2897"/>
      <c r="K6" s="2897"/>
      <c r="L6" s="2897"/>
      <c r="M6" s="2897"/>
      <c r="N6" s="2897"/>
      <c r="O6" s="2897"/>
      <c r="P6" s="2897"/>
    </row>
    <row r="7" ht="15" spans="1:16">
      <c r="A7" s="3057"/>
      <c r="B7" s="3058"/>
      <c r="C7" s="3059"/>
      <c r="D7" s="3050" t="s">
        <v>558</v>
      </c>
      <c r="E7" s="3060" t="s">
        <v>569</v>
      </c>
      <c r="F7" s="2897"/>
      <c r="G7" s="3061" t="s">
        <v>570</v>
      </c>
      <c r="H7" s="3021"/>
      <c r="I7" s="3099"/>
      <c r="J7" s="2897"/>
      <c r="K7" s="2897"/>
      <c r="L7" s="2897"/>
      <c r="M7" s="2897"/>
      <c r="N7" s="2897"/>
      <c r="O7" s="2897"/>
      <c r="P7" s="2897"/>
    </row>
    <row r="8" spans="1:16">
      <c r="A8" s="3048" t="s">
        <v>571</v>
      </c>
      <c r="B8" s="3056" t="s">
        <v>572</v>
      </c>
      <c r="C8" s="2485" t="s">
        <v>573</v>
      </c>
      <c r="D8" s="2485">
        <f t="shared" ref="D8:D15" si="0">ROUND($D$3*E8/$E$3,2)</f>
        <v>0</v>
      </c>
      <c r="E8" s="3062">
        <f>SUMIF('数据-基础表'!BB10:BK10,"地上",'数据-基础表'!BB5:BK5)</f>
        <v>349.48</v>
      </c>
      <c r="F8" s="2897"/>
      <c r="G8" s="2897"/>
      <c r="H8" s="2897"/>
      <c r="I8" s="2897"/>
      <c r="J8" s="2897"/>
      <c r="K8" s="2897"/>
      <c r="L8" s="2897"/>
      <c r="M8" s="2897"/>
      <c r="N8" s="2897"/>
      <c r="O8" s="2897"/>
      <c r="P8" s="2897"/>
    </row>
    <row r="9" spans="1:16">
      <c r="A9" s="3055"/>
      <c r="B9" s="3063"/>
      <c r="C9" s="2485" t="s">
        <v>574</v>
      </c>
      <c r="D9" s="2485">
        <f t="shared" si="0"/>
        <v>0</v>
      </c>
      <c r="E9" s="3064">
        <v>0</v>
      </c>
      <c r="F9" s="2897"/>
      <c r="G9" s="2897"/>
      <c r="H9" s="2897"/>
      <c r="I9" s="2897"/>
      <c r="J9" s="2897"/>
      <c r="K9" s="2897"/>
      <c r="L9" s="2897"/>
      <c r="M9" s="2897"/>
      <c r="N9" s="2897"/>
      <c r="O9" s="2897"/>
      <c r="P9" s="2897"/>
    </row>
    <row r="10" spans="1:16">
      <c r="A10" s="3055"/>
      <c r="B10" s="3063"/>
      <c r="C10" s="2485" t="s">
        <v>575</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576</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577</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578</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579</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580</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581</v>
      </c>
      <c r="D16" s="3056">
        <f>SUM(D8:D15)</f>
        <v>0</v>
      </c>
      <c r="E16" s="3065">
        <f>SUM(E8:E15)</f>
        <v>349.48</v>
      </c>
      <c r="F16" s="2897"/>
      <c r="G16" s="2897"/>
      <c r="H16" s="3066" t="s">
        <v>582</v>
      </c>
      <c r="I16" s="3100"/>
      <c r="J16" s="2536"/>
      <c r="K16" s="3101" t="s">
        <v>582</v>
      </c>
      <c r="L16" s="3068"/>
      <c r="M16" s="3068"/>
      <c r="N16" s="3068"/>
      <c r="O16" s="3068"/>
      <c r="P16" s="3102"/>
    </row>
    <row r="17" ht="15" spans="1:19">
      <c r="A17" s="3012" t="s">
        <v>583</v>
      </c>
      <c r="B17" s="3067" t="s">
        <v>584</v>
      </c>
      <c r="C17" s="2508" t="s">
        <v>585</v>
      </c>
      <c r="D17" s="3068" t="s">
        <v>558</v>
      </c>
      <c r="E17" s="3069" t="s">
        <v>559</v>
      </c>
      <c r="F17" s="3070"/>
      <c r="G17" s="3071"/>
      <c r="H17" s="3072" t="s">
        <v>586</v>
      </c>
      <c r="I17" s="3103" t="s">
        <v>587</v>
      </c>
      <c r="J17" s="2536"/>
      <c r="K17" s="3104" t="s">
        <v>588</v>
      </c>
      <c r="L17" s="3105"/>
      <c r="M17" s="3106"/>
      <c r="N17" s="3104" t="s">
        <v>589</v>
      </c>
      <c r="O17" s="3105"/>
      <c r="P17" s="3106"/>
      <c r="R17" s="2413" t="s">
        <v>590</v>
      </c>
      <c r="S17" s="2473"/>
    </row>
    <row r="18" ht="15" spans="1:19">
      <c r="A18" s="3055"/>
      <c r="B18" s="3073"/>
      <c r="C18" s="2476"/>
      <c r="D18" s="3074"/>
      <c r="E18" s="3075" t="s">
        <v>591</v>
      </c>
      <c r="F18" s="3076" t="s">
        <v>564</v>
      </c>
      <c r="G18" s="3077" t="s">
        <v>592</v>
      </c>
      <c r="H18" s="3016" t="s">
        <v>593</v>
      </c>
      <c r="I18" s="3107" t="s">
        <v>594</v>
      </c>
      <c r="J18" s="2536"/>
      <c r="K18" s="3016" t="s">
        <v>595</v>
      </c>
      <c r="L18" s="2726" t="s">
        <v>596</v>
      </c>
      <c r="M18" s="1771" t="s">
        <v>597</v>
      </c>
      <c r="N18" s="3016" t="s">
        <v>595</v>
      </c>
      <c r="O18" s="2726" t="s">
        <v>596</v>
      </c>
      <c r="P18" s="1771" t="s">
        <v>597</v>
      </c>
      <c r="R18" s="2485" t="s">
        <v>593</v>
      </c>
      <c r="S18" s="2485" t="s">
        <v>594</v>
      </c>
    </row>
    <row r="19" spans="1:19">
      <c r="A19" s="3078"/>
      <c r="B19" s="3056" t="s">
        <v>598</v>
      </c>
      <c r="C19" s="3079" t="s">
        <v>599</v>
      </c>
      <c r="D19" s="2485">
        <f>ROUND($D$3*E19/$E$3,2)</f>
        <v>0</v>
      </c>
      <c r="E19" s="3080">
        <f t="shared" ref="E19:E26" si="1">SUM(F19:G19)</f>
        <v>349.48</v>
      </c>
      <c r="F19" s="3081">
        <f>'数据-基础表'!I5</f>
        <v>349.48</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349.48</v>
      </c>
    </row>
    <row r="20" spans="1:19">
      <c r="A20" s="3078"/>
      <c r="B20" s="3056" t="s">
        <v>598</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598</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598</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598</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598</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598</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598</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600</v>
      </c>
      <c r="D27" s="3086">
        <f>SUM(D19:D26)</f>
        <v>0</v>
      </c>
      <c r="E27" s="3087">
        <f>IF(SUM(E19:E26)='数据-基础表'!BA5,SUM(E19:E26),IF(F27="地上面积有误","面积有误","地下面积有误"))</f>
        <v>349.48</v>
      </c>
      <c r="F27" s="3086">
        <f>IF(SUM(F19:F26)=E8,SUM(F19:F26),"地上面积有误")</f>
        <v>349.48</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349.48</v>
      </c>
    </row>
    <row r="28" spans="1:16">
      <c r="A28" s="3078"/>
      <c r="B28" s="3056" t="s">
        <v>601</v>
      </c>
      <c r="C28" s="2473" t="s">
        <v>602</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601</v>
      </c>
      <c r="C29" s="2534" t="s">
        <v>603</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600</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604</v>
      </c>
      <c r="D31" s="3093">
        <f>D27+D30</f>
        <v>0</v>
      </c>
      <c r="E31" s="3093">
        <f>E27+E30</f>
        <v>349.48</v>
      </c>
      <c r="F31" s="3094">
        <f>F27+F30</f>
        <v>349.48</v>
      </c>
      <c r="G31" s="3095">
        <f>G27+G30</f>
        <v>0</v>
      </c>
      <c r="H31" s="2897"/>
      <c r="I31" s="2897"/>
      <c r="J31" s="2897"/>
      <c r="K31" s="2897"/>
      <c r="L31" s="2897"/>
      <c r="M31" s="2897"/>
      <c r="N31" s="2897"/>
      <c r="O31" s="2897"/>
      <c r="P31" s="2897"/>
    </row>
    <row r="32" spans="1:16">
      <c r="A32" s="3073"/>
      <c r="B32" s="3073" t="s">
        <v>605</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N19" sqref="N19"/>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606</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607</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608</v>
      </c>
      <c r="B4" s="2492"/>
      <c r="C4" s="2870"/>
      <c r="D4" s="2871"/>
      <c r="E4" s="2870" t="s">
        <v>609</v>
      </c>
      <c r="F4" s="2870"/>
      <c r="G4" s="2870"/>
      <c r="H4" s="2870"/>
      <c r="I4" s="2870"/>
      <c r="J4" s="2531"/>
      <c r="K4" s="2961"/>
      <c r="L4" s="2962"/>
      <c r="M4" s="2870"/>
      <c r="N4" s="2870" t="s">
        <v>610</v>
      </c>
      <c r="O4" s="2870"/>
      <c r="P4" s="2870"/>
      <c r="Q4" s="2870"/>
      <c r="R4" s="2870"/>
      <c r="S4" s="2531"/>
      <c r="T4" s="2985" t="str">
        <f>'数据-汇总表'!I17</f>
        <v>按面积比例</v>
      </c>
      <c r="U4" s="2492" t="s">
        <v>611</v>
      </c>
      <c r="V4" s="2870"/>
      <c r="W4" s="2870"/>
      <c r="X4" s="2870"/>
      <c r="Y4" s="2531"/>
      <c r="Z4" s="2508" t="s">
        <v>612</v>
      </c>
      <c r="AA4" s="2508"/>
      <c r="AB4" s="2508"/>
      <c r="AC4" s="2508"/>
      <c r="AD4" s="2508"/>
      <c r="AE4" s="3012" t="s">
        <v>613</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585</v>
      </c>
      <c r="B5" s="2873" t="s">
        <v>584</v>
      </c>
      <c r="C5" s="2874" t="s">
        <v>614</v>
      </c>
      <c r="D5" s="2875" t="s">
        <v>615</v>
      </c>
      <c r="E5" s="1200" t="s">
        <v>616</v>
      </c>
      <c r="F5" s="2876" t="s">
        <v>617</v>
      </c>
      <c r="G5" s="1200" t="s">
        <v>618</v>
      </c>
      <c r="H5" s="1200" t="s">
        <v>619</v>
      </c>
      <c r="I5" s="1200" t="s">
        <v>620</v>
      </c>
      <c r="J5" s="1624" t="s">
        <v>621</v>
      </c>
      <c r="K5" s="2963" t="s">
        <v>594</v>
      </c>
      <c r="L5" s="2964" t="s">
        <v>622</v>
      </c>
      <c r="M5" s="2965" t="s">
        <v>623</v>
      </c>
      <c r="N5" s="2966" t="s">
        <v>624</v>
      </c>
      <c r="O5" s="2964" t="s">
        <v>625</v>
      </c>
      <c r="P5" s="2967" t="s">
        <v>626</v>
      </c>
      <c r="Q5" s="998" t="s">
        <v>627</v>
      </c>
      <c r="R5" s="2986" t="s">
        <v>628</v>
      </c>
      <c r="S5" s="2987" t="s">
        <v>629</v>
      </c>
      <c r="T5" s="2988" t="s">
        <v>630</v>
      </c>
      <c r="U5" s="2989" t="s">
        <v>631</v>
      </c>
      <c r="V5" s="1200" t="s">
        <v>632</v>
      </c>
      <c r="W5" s="1200" t="s">
        <v>633</v>
      </c>
      <c r="X5" s="975"/>
      <c r="Y5" s="977" t="s">
        <v>634</v>
      </c>
      <c r="Z5" s="1607" t="s">
        <v>631</v>
      </c>
      <c r="AA5" s="1200" t="s">
        <v>632</v>
      </c>
      <c r="AB5" s="1200" t="s">
        <v>633</v>
      </c>
      <c r="AC5" s="975"/>
      <c r="AD5" s="975" t="s">
        <v>634</v>
      </c>
      <c r="AE5" s="2989" t="s">
        <v>635</v>
      </c>
      <c r="AF5" s="1200" t="s">
        <v>636</v>
      </c>
      <c r="AG5" s="977" t="s">
        <v>637</v>
      </c>
      <c r="AH5" s="2989" t="s">
        <v>638</v>
      </c>
      <c r="AI5" s="1607" t="s">
        <v>639</v>
      </c>
      <c r="AJ5" s="1607" t="s">
        <v>640</v>
      </c>
      <c r="AK5" s="1200" t="s">
        <v>641</v>
      </c>
      <c r="AL5" s="1200" t="s">
        <v>642</v>
      </c>
      <c r="AM5" s="977" t="s">
        <v>643</v>
      </c>
      <c r="AN5" s="3023" t="s">
        <v>644</v>
      </c>
      <c r="AO5" s="3036" t="s">
        <v>645</v>
      </c>
      <c r="AP5" s="3037" t="s">
        <v>646</v>
      </c>
      <c r="AQ5" s="3038" t="s">
        <v>647</v>
      </c>
      <c r="AR5" s="3038" t="s">
        <v>648</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349.48</v>
      </c>
      <c r="L6" s="2969"/>
      <c r="M6" s="2970">
        <f t="shared" ref="M6:M14" si="0">ROUND(K6*L6/10000,0)</f>
        <v>0</v>
      </c>
      <c r="N6" s="2971">
        <f>N21</f>
        <v>0.685</v>
      </c>
      <c r="O6" s="2970" t="str">
        <f>IF($N$5="成新度","——",ROUND(M6*N6,0))</f>
        <v>——</v>
      </c>
      <c r="P6" s="1099"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5" t="e">
        <f ca="1">SUMIF(INDIRECT("'"&amp;AN6&amp;"'"&amp;"!A:A"),"总价",INDIRECT("'"&amp;AN6&amp;"'"&amp;"!B:B"))</f>
        <v>#REF!</v>
      </c>
      <c r="AP6" s="3039">
        <f>IF(C6="住宅",K6*L6,0)</f>
        <v>0</v>
      </c>
      <c r="AQ6" s="1175">
        <f>ROUND($L$14*$N$14*S6/10000,0)</f>
        <v>0</v>
      </c>
      <c r="AR6" s="1175">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099"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5" t="e">
        <f ca="1" t="shared" ref="AO7:AO13" si="8">SUMIF(INDIRECT("'"&amp;AN7&amp;"'"&amp;"!A:A"),"总价",INDIRECT("'"&amp;AN7&amp;"'"&amp;"!B:B"))</f>
        <v>#REF!</v>
      </c>
      <c r="AP7" s="3039">
        <f t="shared" ref="AP7:AP13" si="9">IF(C7="住宅",K7*L7,0)</f>
        <v>0</v>
      </c>
      <c r="AQ7" s="1175">
        <f t="shared" ref="AQ7:AQ13" si="10">ROUND($L$14*$N$14*S7/10000,0)</f>
        <v>0</v>
      </c>
      <c r="AR7" s="1175">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099"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5" t="e">
        <f ca="1" t="shared" si="8"/>
        <v>#REF!</v>
      </c>
      <c r="AP8" s="3039">
        <f t="shared" si="9"/>
        <v>0</v>
      </c>
      <c r="AQ8" s="1175">
        <f t="shared" si="10"/>
        <v>0</v>
      </c>
      <c r="AR8" s="1175">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099"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5" t="e">
        <f ca="1" t="shared" si="8"/>
        <v>#REF!</v>
      </c>
      <c r="AP9" s="3039">
        <f t="shared" si="9"/>
        <v>0</v>
      </c>
      <c r="AQ9" s="1175">
        <f t="shared" si="10"/>
        <v>0</v>
      </c>
      <c r="AR9" s="1175">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099"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5" t="e">
        <f ca="1" t="shared" si="8"/>
        <v>#REF!</v>
      </c>
      <c r="AP10" s="3039">
        <f t="shared" si="9"/>
        <v>0</v>
      </c>
      <c r="AQ10" s="1175">
        <f t="shared" si="10"/>
        <v>0</v>
      </c>
      <c r="AR10" s="1175">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099"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5" t="e">
        <f ca="1" t="shared" si="8"/>
        <v>#REF!</v>
      </c>
      <c r="AP11" s="3039">
        <f t="shared" si="9"/>
        <v>0</v>
      </c>
      <c r="AQ11" s="1175">
        <f t="shared" si="10"/>
        <v>0</v>
      </c>
      <c r="AR11" s="1175">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099"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5" t="e">
        <f ca="1" t="shared" si="8"/>
        <v>#REF!</v>
      </c>
      <c r="AP12" s="3039">
        <f t="shared" si="9"/>
        <v>0</v>
      </c>
      <c r="AQ12" s="1175">
        <f t="shared" si="10"/>
        <v>0</v>
      </c>
      <c r="AR12" s="1175">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099"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5" t="e">
        <f ca="1" t="shared" si="8"/>
        <v>#REF!</v>
      </c>
      <c r="AP13" s="3039">
        <f t="shared" si="9"/>
        <v>0</v>
      </c>
      <c r="AQ13" s="1175">
        <f t="shared" si="10"/>
        <v>0</v>
      </c>
      <c r="AR13" s="1175">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602</v>
      </c>
      <c r="B14" s="2878" t="s">
        <v>601</v>
      </c>
      <c r="C14" s="2887" t="s">
        <v>602</v>
      </c>
      <c r="D14" s="2880"/>
      <c r="E14" s="2881"/>
      <c r="F14" s="2882"/>
      <c r="G14" s="2883"/>
      <c r="H14" s="2888"/>
      <c r="I14" s="2888"/>
      <c r="J14" s="2888"/>
      <c r="K14" s="2968">
        <f>SUMIF('数据-汇总表'!C$19:C$33,A14,'数据-汇总表'!E$19:E$33)</f>
        <v>0</v>
      </c>
      <c r="L14" s="2972"/>
      <c r="M14" s="2970">
        <f t="shared" si="0"/>
        <v>0</v>
      </c>
      <c r="N14" s="2973"/>
      <c r="O14" s="2970" t="str">
        <f t="shared" si="3"/>
        <v>——</v>
      </c>
      <c r="P14" s="1099" t="str">
        <f t="shared" si="4"/>
        <v>——</v>
      </c>
      <c r="Q14" s="3001"/>
      <c r="R14" s="2991"/>
      <c r="S14" s="2992"/>
      <c r="T14" s="2993"/>
      <c r="U14" s="3002"/>
      <c r="V14" s="3003"/>
      <c r="W14" s="3003"/>
      <c r="X14" s="3004"/>
      <c r="Y14" s="3018"/>
      <c r="Z14" s="2473"/>
      <c r="AA14" s="3019"/>
      <c r="AB14" s="3019"/>
      <c r="AC14" s="2996"/>
      <c r="AD14" s="3004"/>
      <c r="AE14" s="3016"/>
      <c r="AF14" s="1175"/>
      <c r="AG14" s="1829"/>
      <c r="AH14" s="3016"/>
      <c r="AI14" s="1161"/>
      <c r="AJ14" s="1175"/>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603</v>
      </c>
      <c r="B15" s="2878" t="s">
        <v>601</v>
      </c>
      <c r="C15" s="2887" t="s">
        <v>649</v>
      </c>
      <c r="D15" s="2880"/>
      <c r="E15" s="2881"/>
      <c r="F15" s="2882"/>
      <c r="G15" s="2883"/>
      <c r="H15" s="2888"/>
      <c r="I15" s="2888"/>
      <c r="J15" s="2888"/>
      <c r="K15" s="2968">
        <f>SUMIF('数据-汇总表'!C$19:C$33,A15,'数据-汇总表'!E$19:E$33)</f>
        <v>0</v>
      </c>
      <c r="L15" s="2974"/>
      <c r="M15" s="2970"/>
      <c r="N15" s="2975"/>
      <c r="O15" s="2970"/>
      <c r="P15" s="1099"/>
      <c r="Q15" s="3001"/>
      <c r="R15" s="2991"/>
      <c r="S15" s="2992"/>
      <c r="T15" s="2993"/>
      <c r="U15" s="3002"/>
      <c r="V15" s="3003"/>
      <c r="W15" s="3003"/>
      <c r="X15" s="3004"/>
      <c r="Y15" s="3018"/>
      <c r="Z15" s="2473"/>
      <c r="AA15" s="3019"/>
      <c r="AB15" s="3019"/>
      <c r="AC15" s="2996"/>
      <c r="AD15" s="3004"/>
      <c r="AE15" s="3016"/>
      <c r="AF15" s="1175"/>
      <c r="AG15" s="1829"/>
      <c r="AH15" s="3016"/>
      <c r="AI15" s="1161"/>
      <c r="AJ15" s="1175"/>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604</v>
      </c>
      <c r="B16" s="2890"/>
      <c r="C16" s="2418"/>
      <c r="D16" s="2891"/>
      <c r="E16" s="2890"/>
      <c r="F16" s="2890"/>
      <c r="G16" s="2892" t="e">
        <f>ROUND(SUMPRODUCT(G6:G13,K6:K13)/SUMPRODUCT((G6:G13&gt;0)*(K6:K13)),3)</f>
        <v>#DIV/0!</v>
      </c>
      <c r="H16" s="2893">
        <f>ROUND(SUMPRODUCT(H6:H13,K6:K13)/SUMPRODUCT((H6:H13&gt;0)*(K6:K13)),3)</f>
        <v>0.05</v>
      </c>
      <c r="I16" s="2976"/>
      <c r="J16" s="2976"/>
      <c r="K16" s="2977">
        <f>SUM(K6:K15)</f>
        <v>349.48</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650</v>
      </c>
      <c r="B18" s="2896"/>
      <c r="C18" s="2897"/>
      <c r="D18" s="2898"/>
      <c r="E18" s="2897"/>
      <c r="F18" s="2897"/>
      <c r="G18" s="2897"/>
      <c r="H18" s="2897"/>
      <c r="I18" s="2897"/>
      <c r="J18" s="2981"/>
      <c r="K18" s="2982"/>
      <c r="L18" s="2980"/>
      <c r="M18" s="2361"/>
      <c r="N18" s="2361">
        <v>1996</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651</v>
      </c>
      <c r="B19" s="2900">
        <v>0</v>
      </c>
      <c r="C19" s="2901" t="s">
        <v>652</v>
      </c>
      <c r="D19" s="2898"/>
      <c r="E19" s="2897"/>
      <c r="F19" s="2897"/>
      <c r="G19" s="2897"/>
      <c r="H19" s="2897"/>
      <c r="I19" s="2897"/>
      <c r="J19" s="2983"/>
      <c r="K19" s="2980"/>
      <c r="L19" s="2980"/>
      <c r="M19" s="2361"/>
      <c r="N19" s="2361">
        <f>ROUND(1-(2025-N18)/60,2)</f>
        <v>0.52</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653</v>
      </c>
      <c r="B20" s="2903">
        <v>2</v>
      </c>
      <c r="C20" s="2904" t="s">
        <v>654</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655</v>
      </c>
      <c r="B21" s="2903">
        <v>2</v>
      </c>
      <c r="C21" s="2897"/>
      <c r="D21" s="2898"/>
      <c r="E21" s="2897"/>
      <c r="F21" s="2897"/>
      <c r="G21" s="2897"/>
      <c r="H21" s="2897"/>
      <c r="I21" s="2897"/>
      <c r="J21" s="2981"/>
      <c r="K21" s="2980"/>
      <c r="L21" s="2980"/>
      <c r="M21" s="2361"/>
      <c r="N21" s="2361">
        <f>(N19+N20)/2</f>
        <v>0.685</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656</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657</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658</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659</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660</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661</v>
      </c>
      <c r="B26" s="2909" t="s">
        <v>662</v>
      </c>
      <c r="C26" s="2910" t="s">
        <v>663</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664</v>
      </c>
      <c r="B27" s="2912"/>
      <c r="C27" s="2913" t="s">
        <v>665</v>
      </c>
      <c r="D27" s="2914"/>
      <c r="E27" s="1098"/>
      <c r="F27" s="1098"/>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666</v>
      </c>
      <c r="B28" s="2916">
        <v>200</v>
      </c>
      <c r="C28" s="2917"/>
      <c r="D28" s="2914"/>
      <c r="E28" s="1098"/>
      <c r="F28" s="1098"/>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667</v>
      </c>
      <c r="B29" s="2919"/>
      <c r="C29" s="2920" t="s">
        <v>668</v>
      </c>
      <c r="D29" s="2914"/>
      <c r="E29" s="1098"/>
      <c r="F29" s="1098"/>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669</v>
      </c>
      <c r="B30" s="2922">
        <v>200</v>
      </c>
      <c r="C30" s="2917"/>
      <c r="D30" s="2914"/>
      <c r="E30" s="1098"/>
      <c r="F30" s="1098"/>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670</v>
      </c>
      <c r="B31" s="2923">
        <f>B30-B32</f>
        <v>200</v>
      </c>
      <c r="C31" s="2924"/>
      <c r="D31" s="2914"/>
      <c r="E31" s="1098"/>
      <c r="F31" s="1098"/>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671</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672</v>
      </c>
      <c r="B33" s="2927">
        <v>0.05</v>
      </c>
      <c r="C33" s="2928" t="s">
        <v>673</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674</v>
      </c>
      <c r="B34" s="2929">
        <v>0</v>
      </c>
      <c r="C34" s="2928" t="s">
        <v>675</v>
      </c>
      <c r="D34" s="2930" t="s">
        <v>676</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677</v>
      </c>
      <c r="B35" s="2916">
        <v>200</v>
      </c>
      <c r="C35" s="2928" t="s">
        <v>678</v>
      </c>
      <c r="D35" s="2914"/>
      <c r="E35" s="1098"/>
      <c r="F35" s="1098"/>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679</v>
      </c>
      <c r="B36" s="2931">
        <v>0.02</v>
      </c>
      <c r="C36" s="2928" t="s">
        <v>680</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681</v>
      </c>
      <c r="B37" s="2932">
        <v>0.03</v>
      </c>
      <c r="C37" s="2928" t="s">
        <v>682</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683</v>
      </c>
      <c r="B38" s="2929">
        <v>0.03</v>
      </c>
      <c r="C38" s="2928" t="s">
        <v>682</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684</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685</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686</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687</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688</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689</v>
      </c>
      <c r="B44" s="2944">
        <v>0.07</v>
      </c>
      <c r="C44" s="2928" t="s">
        <v>690</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691</v>
      </c>
      <c r="B45" s="2940">
        <v>0.03</v>
      </c>
      <c r="C45" s="2920" t="s">
        <v>692</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693</v>
      </c>
      <c r="B46" s="2940">
        <v>0.02</v>
      </c>
      <c r="C46" s="2920" t="s">
        <v>694</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695</v>
      </c>
      <c r="B47" s="2946"/>
      <c r="C47" s="2947" t="s">
        <v>696</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697</v>
      </c>
      <c r="B48" s="2949">
        <v>0.03</v>
      </c>
      <c r="C48" s="2920" t="s">
        <v>692</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698</v>
      </c>
      <c r="B49" s="2940">
        <v>0.0005</v>
      </c>
      <c r="C49" s="2920" t="s">
        <v>699</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700</v>
      </c>
      <c r="B50" s="2951">
        <v>0.012</v>
      </c>
      <c r="C50" s="1098"/>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701</v>
      </c>
      <c r="B51" s="2952">
        <v>0.12</v>
      </c>
      <c r="C51" s="1098"/>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702</v>
      </c>
      <c r="B52" s="2953">
        <f>SUMIF(A54:A63,B53,B54:B63)</f>
        <v>0</v>
      </c>
      <c r="C52" s="1098"/>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703</v>
      </c>
      <c r="B53" s="2954"/>
      <c r="C53" s="1098" t="s">
        <v>704</v>
      </c>
      <c r="D53" s="2955" t="s">
        <v>705</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706</v>
      </c>
      <c r="B54" s="2957"/>
      <c r="C54" s="1098">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707</v>
      </c>
      <c r="B55" s="2957"/>
      <c r="C55" s="1098">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708</v>
      </c>
      <c r="B56" s="2957"/>
      <c r="C56" s="1098">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709</v>
      </c>
      <c r="B57" s="2957"/>
      <c r="C57" s="1098">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710</v>
      </c>
      <c r="B58" s="2957"/>
      <c r="C58" s="1098">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711</v>
      </c>
      <c r="B59" s="2957"/>
      <c r="C59" s="1098">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712</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713</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714</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715</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716</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717</v>
      </c>
      <c r="D2" s="2810"/>
      <c r="E2" s="2807"/>
      <c r="F2" s="2811"/>
      <c r="G2" s="2809" t="s">
        <v>718</v>
      </c>
      <c r="H2" s="2350"/>
      <c r="I2" s="2350"/>
      <c r="J2" s="2350"/>
      <c r="K2" s="2350"/>
      <c r="L2" s="2350"/>
      <c r="M2" s="2350"/>
      <c r="N2" s="2350"/>
      <c r="O2" s="2350"/>
      <c r="P2" s="2350"/>
      <c r="Q2" s="2350"/>
    </row>
    <row r="3" ht="48" spans="1:17">
      <c r="A3" s="2812" t="s">
        <v>719</v>
      </c>
      <c r="B3" s="2813" t="s">
        <v>720</v>
      </c>
      <c r="C3" s="2814" t="s">
        <v>721</v>
      </c>
      <c r="D3" s="2815"/>
      <c r="E3" s="2816" t="s">
        <v>719</v>
      </c>
      <c r="F3" s="2817" t="s">
        <v>722</v>
      </c>
      <c r="G3" s="2818" t="s">
        <v>723</v>
      </c>
      <c r="H3" s="2350"/>
      <c r="I3" s="2350"/>
      <c r="J3" s="2350"/>
      <c r="K3" s="2350"/>
      <c r="L3" s="2350"/>
      <c r="M3" s="2350"/>
      <c r="N3" s="2350"/>
      <c r="O3" s="2350"/>
      <c r="P3" s="2350"/>
      <c r="Q3" s="2350"/>
    </row>
    <row r="4" ht="36.75" spans="1:17">
      <c r="A4" s="2816"/>
      <c r="B4" s="2139" t="s">
        <v>724</v>
      </c>
      <c r="C4" s="2819" t="s">
        <v>725</v>
      </c>
      <c r="D4" s="2815"/>
      <c r="E4" s="2820"/>
      <c r="F4" s="2345" t="s">
        <v>726</v>
      </c>
      <c r="G4" s="2821" t="s">
        <v>727</v>
      </c>
      <c r="H4" s="2350"/>
      <c r="I4" s="2350"/>
      <c r="J4" s="2350"/>
      <c r="K4" s="2350"/>
      <c r="L4" s="2350"/>
      <c r="M4" s="2350"/>
      <c r="N4" s="2350"/>
      <c r="O4" s="2350"/>
      <c r="P4" s="2350"/>
      <c r="Q4" s="2350"/>
    </row>
    <row r="5" ht="36.75" spans="1:17">
      <c r="A5" s="2816"/>
      <c r="B5" s="2139" t="s">
        <v>728</v>
      </c>
      <c r="C5" s="2819" t="s">
        <v>729</v>
      </c>
      <c r="D5" s="2815"/>
      <c r="E5" s="2820"/>
      <c r="F5" s="2139" t="s">
        <v>547</v>
      </c>
      <c r="G5" s="2821" t="s">
        <v>730</v>
      </c>
      <c r="H5" s="2350"/>
      <c r="I5" s="2350"/>
      <c r="J5" s="2350"/>
      <c r="K5" s="2350"/>
      <c r="L5" s="2350"/>
      <c r="M5" s="2350"/>
      <c r="N5" s="2350"/>
      <c r="O5" s="2350"/>
      <c r="P5" s="2350"/>
      <c r="Q5" s="2350"/>
    </row>
    <row r="6" ht="36" spans="1:17">
      <c r="A6" s="2816"/>
      <c r="B6" s="2139" t="s">
        <v>726</v>
      </c>
      <c r="C6" s="2821" t="s">
        <v>727</v>
      </c>
      <c r="D6" s="2815"/>
      <c r="E6" s="2820"/>
      <c r="F6" s="2139" t="s">
        <v>731</v>
      </c>
      <c r="G6" s="2821" t="s">
        <v>732</v>
      </c>
      <c r="H6" s="2350"/>
      <c r="I6" s="2350"/>
      <c r="J6" s="2350"/>
      <c r="K6" s="2350"/>
      <c r="L6" s="2350"/>
      <c r="M6" s="2350"/>
      <c r="N6" s="2350"/>
      <c r="O6" s="2350"/>
      <c r="P6" s="2350"/>
      <c r="Q6" s="2350"/>
    </row>
    <row r="7" ht="24.75" spans="1:17">
      <c r="A7" s="2816"/>
      <c r="B7" s="2139" t="s">
        <v>547</v>
      </c>
      <c r="C7" s="2821" t="s">
        <v>730</v>
      </c>
      <c r="D7" s="2822"/>
      <c r="E7" s="2823"/>
      <c r="F7" s="2824" t="s">
        <v>733</v>
      </c>
      <c r="G7" s="2825" t="s">
        <v>734</v>
      </c>
      <c r="H7" s="2350"/>
      <c r="I7" s="2350"/>
      <c r="J7" s="2350"/>
      <c r="K7" s="2350"/>
      <c r="L7" s="2350"/>
      <c r="M7" s="2350"/>
      <c r="N7" s="2350"/>
      <c r="O7" s="2350"/>
      <c r="P7" s="2350"/>
      <c r="Q7" s="2350"/>
    </row>
    <row r="8" spans="1:17">
      <c r="A8" s="2816"/>
      <c r="B8" s="2139" t="s">
        <v>731</v>
      </c>
      <c r="C8" s="2821" t="s">
        <v>732</v>
      </c>
      <c r="D8" s="2822"/>
      <c r="E8" s="2822"/>
      <c r="F8" s="1417"/>
      <c r="G8" s="1417"/>
      <c r="H8" s="2350"/>
      <c r="I8" s="2350"/>
      <c r="J8" s="2350"/>
      <c r="K8" s="2350"/>
      <c r="L8" s="2350"/>
      <c r="M8" s="2350"/>
      <c r="N8" s="2350"/>
      <c r="O8" s="2350"/>
      <c r="P8" s="2350"/>
      <c r="Q8" s="2350"/>
    </row>
    <row r="9" ht="24" spans="1:17">
      <c r="A9" s="2816"/>
      <c r="B9" s="2139" t="s">
        <v>735</v>
      </c>
      <c r="C9" s="2819" t="s">
        <v>736</v>
      </c>
      <c r="D9" s="2815"/>
      <c r="E9" s="2822"/>
      <c r="F9" s="1417"/>
      <c r="G9" s="1417"/>
      <c r="H9" s="2350"/>
      <c r="I9" s="2350"/>
      <c r="J9" s="2350"/>
      <c r="K9" s="2350"/>
      <c r="L9" s="2350"/>
      <c r="M9" s="2350"/>
      <c r="N9" s="2350"/>
      <c r="O9" s="2350"/>
      <c r="P9" s="2350"/>
      <c r="Q9" s="2350"/>
    </row>
    <row r="10" ht="15" spans="1:18">
      <c r="A10" s="2826"/>
      <c r="B10" s="2827" t="s">
        <v>737</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738</v>
      </c>
      <c r="B13" s="2830"/>
      <c r="C13" s="2830"/>
      <c r="D13" s="2829"/>
      <c r="E13" s="2830"/>
      <c r="F13" s="2830"/>
      <c r="G13" s="2830"/>
    </row>
    <row r="14" spans="1:7">
      <c r="A14" s="2833"/>
      <c r="B14" s="2833"/>
      <c r="C14" s="2834" t="s">
        <v>717</v>
      </c>
      <c r="D14" s="2815"/>
      <c r="E14" s="2835"/>
      <c r="F14" s="2835"/>
      <c r="G14" s="2809" t="s">
        <v>718</v>
      </c>
    </row>
    <row r="15" ht="48" spans="1:7">
      <c r="A15" s="2836" t="s">
        <v>719</v>
      </c>
      <c r="B15" s="2837" t="s">
        <v>720</v>
      </c>
      <c r="C15" s="2838" t="str">
        <f>C3</f>
        <v>估价对象周边居住用地比例、居住小区规模和社区发展完善程度，综合评价居住社区成熟度一般</v>
      </c>
      <c r="D15" s="2815"/>
      <c r="E15" s="2839" t="s">
        <v>719</v>
      </c>
      <c r="F15" s="2837" t="s">
        <v>722</v>
      </c>
      <c r="G15" s="2840" t="str">
        <f>G3</f>
        <v>估价对象位于XX开发区，园区建设成熟度XX，产业集聚程度XX</v>
      </c>
    </row>
    <row r="16" ht="36.75" spans="1:7">
      <c r="A16" s="2841"/>
      <c r="B16" s="2842" t="s">
        <v>724</v>
      </c>
      <c r="C16" s="2843" t="str">
        <f>C4</f>
        <v>估价对象位于XX商圈，周边商业氛围成熟，人流量大，商业繁华度好</v>
      </c>
      <c r="D16" s="2815"/>
      <c r="E16" s="2844"/>
      <c r="F16" s="2845" t="s">
        <v>726</v>
      </c>
      <c r="G16" s="2846" t="str">
        <f>G4</f>
        <v>估价对象周边道路状况、公共交通通达情况、停车便捷程度，综合评价交通便捷度较好</v>
      </c>
    </row>
    <row r="17" ht="36.75" spans="1:7">
      <c r="A17" s="2841"/>
      <c r="B17" s="2842" t="s">
        <v>728</v>
      </c>
      <c r="C17" s="2843" t="str">
        <f>C5</f>
        <v>估价对象位于XX商圈，周边办公楼项目较多，入驻率高，办公集聚程度较好</v>
      </c>
      <c r="D17" s="2822"/>
      <c r="E17" s="2844"/>
      <c r="F17" s="2845" t="s">
        <v>739</v>
      </c>
      <c r="G17" s="2847"/>
    </row>
    <row r="18" ht="36" spans="1:7">
      <c r="A18" s="2841"/>
      <c r="B18" s="2845" t="s">
        <v>726</v>
      </c>
      <c r="C18" s="2846" t="str">
        <f>C6</f>
        <v>估价对象周边道路状况、公共交通通达情况、停车便捷程度，综合评价交通便捷度较好</v>
      </c>
      <c r="D18" s="2822"/>
      <c r="E18" s="2844"/>
      <c r="F18" s="2845" t="s">
        <v>733</v>
      </c>
      <c r="G18" s="2846" t="str">
        <f>G7</f>
        <v>该园区内是否有污染型企业，绿化情况，卫生条件，整体环境状况判断</v>
      </c>
    </row>
    <row r="19" ht="24" spans="1:7">
      <c r="A19" s="2841"/>
      <c r="B19" s="2845" t="s">
        <v>739</v>
      </c>
      <c r="C19" s="2847"/>
      <c r="D19" s="2815"/>
      <c r="E19" s="2844"/>
      <c r="F19" s="2139" t="s">
        <v>547</v>
      </c>
      <c r="G19" s="2846" t="str">
        <f>G5</f>
        <v>估价对象所在区域公共配套设施齐备情况</v>
      </c>
    </row>
    <row r="20" ht="24" spans="1:7">
      <c r="A20" s="2841"/>
      <c r="B20" s="2845" t="s">
        <v>740</v>
      </c>
      <c r="C20" s="2843" t="str">
        <f>C9</f>
        <v>区域自然环境：；人文环境；综合评价环境状况一般</v>
      </c>
      <c r="D20" s="2822"/>
      <c r="E20" s="2844"/>
      <c r="F20" s="2139" t="s">
        <v>731</v>
      </c>
      <c r="G20" s="2846" t="str">
        <f>G6</f>
        <v>估价对象所在区域基础设施水平</v>
      </c>
    </row>
    <row r="21" ht="24" spans="1:7">
      <c r="A21" s="2841"/>
      <c r="B21" s="2139" t="s">
        <v>547</v>
      </c>
      <c r="C21" s="2846" t="str">
        <f>C7</f>
        <v>估价对象所在区域公共配套设施齐备情况</v>
      </c>
      <c r="D21" s="2815"/>
      <c r="E21" s="2844"/>
      <c r="F21" s="2845" t="s">
        <v>741</v>
      </c>
      <c r="G21" s="2848"/>
    </row>
    <row r="22" ht="13.5" customHeight="1" spans="1:7">
      <c r="A22" s="2841"/>
      <c r="B22" s="2139" t="s">
        <v>731</v>
      </c>
      <c r="C22" s="2846" t="str">
        <f>C8</f>
        <v>估价对象所在区域基础设施水平</v>
      </c>
      <c r="D22" s="2815"/>
      <c r="E22" s="2844"/>
      <c r="F22" s="2845" t="s">
        <v>737</v>
      </c>
      <c r="G22" s="2847"/>
    </row>
    <row r="23" s="2350" customFormat="1" ht="15" spans="1:17">
      <c r="A23" s="2841"/>
      <c r="B23" s="2845" t="s">
        <v>741</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737</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1" sqref="L11"/>
    </sheetView>
  </sheetViews>
  <sheetFormatPr defaultColWidth="9" defaultRowHeight="13.5"/>
  <cols>
    <col min="1" max="1" width="25" style="2788" customWidth="1"/>
    <col min="2" max="9" width="15.75" style="2788" customWidth="1"/>
    <col min="10" max="16384" width="9" style="2788"/>
  </cols>
  <sheetData>
    <row r="1" ht="16.5" spans="1:11">
      <c r="A1" s="2789" t="s">
        <v>742</v>
      </c>
      <c r="B1" s="2789">
        <f>SUM(B14:B23)</f>
        <v>349.48</v>
      </c>
      <c r="C1" s="2790"/>
      <c r="D1" s="2790"/>
      <c r="E1" s="2790"/>
      <c r="F1" s="2790"/>
      <c r="G1" s="2791"/>
      <c r="H1" s="2791"/>
      <c r="I1" s="2791"/>
      <c r="J1" s="2791"/>
      <c r="K1" s="2791"/>
    </row>
    <row r="2" ht="16.5" spans="1:11">
      <c r="A2" s="2789" t="s">
        <v>743</v>
      </c>
      <c r="B2" s="2789">
        <f>SUM(C14:C23)</f>
        <v>0</v>
      </c>
      <c r="C2" s="2790"/>
      <c r="D2" s="2790"/>
      <c r="E2" s="2790"/>
      <c r="F2" s="2790"/>
      <c r="G2" s="2791"/>
      <c r="H2" s="2791"/>
      <c r="I2" s="2791"/>
      <c r="J2" s="2791"/>
      <c r="K2" s="2791"/>
    </row>
    <row r="3" ht="16.5" spans="1:11">
      <c r="A3" s="2789" t="s">
        <v>744</v>
      </c>
      <c r="B3" s="2792">
        <f>项目基本情况!D3</f>
        <v>45797</v>
      </c>
      <c r="C3" s="2790"/>
      <c r="D3" s="2790"/>
      <c r="E3" s="2790"/>
      <c r="F3" s="2790"/>
      <c r="G3" s="2791"/>
      <c r="H3" s="2791"/>
      <c r="I3" s="2791"/>
      <c r="J3" s="2791"/>
      <c r="K3" s="2791"/>
    </row>
    <row r="4" ht="33" spans="1:11">
      <c r="A4" s="2789" t="s">
        <v>745</v>
      </c>
      <c r="B4" s="2789" t="s">
        <v>746</v>
      </c>
      <c r="C4" s="2789" t="s">
        <v>747</v>
      </c>
      <c r="D4" s="2789" t="s">
        <v>748</v>
      </c>
      <c r="E4" s="2790"/>
      <c r="F4" s="2791"/>
      <c r="G4" s="2791"/>
      <c r="H4" s="2791"/>
      <c r="I4" s="2791"/>
      <c r="J4" s="2791"/>
      <c r="K4" s="2791"/>
    </row>
    <row r="5" ht="16.5" spans="1:11">
      <c r="A5" s="2789" t="s">
        <v>749</v>
      </c>
      <c r="B5" s="2789">
        <f>SUM(D14:D23)</f>
        <v>2487</v>
      </c>
      <c r="C5" s="2789" t="e">
        <f ca="1">IF(B5=D14,结果表!H102,ROUND(B5*10000/$B$1,0))</f>
        <v>#VALUE!</v>
      </c>
      <c r="D5" s="2789" t="e">
        <f>ROUND(B5*10000/$B$2,0)</f>
        <v>#DIV/0!</v>
      </c>
      <c r="E5" s="2790"/>
      <c r="F5" s="2791"/>
      <c r="G5" s="2791"/>
      <c r="H5" s="2791"/>
      <c r="I5" s="2791"/>
      <c r="J5" s="2791"/>
      <c r="K5" s="2791"/>
    </row>
    <row r="6" ht="16.5" spans="1:11">
      <c r="A6" s="2789" t="s">
        <v>750</v>
      </c>
      <c r="B6" s="2789">
        <f>SUM(G14:G23)</f>
        <v>0</v>
      </c>
      <c r="C6" s="2789">
        <f ca="1">IF(B6=G14,结果表!H108,ROUND(B6*10000/$B$1,0))</f>
        <v>0</v>
      </c>
      <c r="D6" s="2789" t="e">
        <f>ROUND(B6*10000/$B$2,0)</f>
        <v>#DIV/0!</v>
      </c>
      <c r="E6" s="2790"/>
      <c r="F6" s="2791"/>
      <c r="G6" s="2791"/>
      <c r="H6" s="2791"/>
      <c r="I6" s="2791"/>
      <c r="J6" s="2791"/>
      <c r="K6" s="2791"/>
    </row>
    <row r="7" ht="16.5" spans="1:11">
      <c r="A7" s="2789" t="s">
        <v>751</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752</v>
      </c>
      <c r="B9" s="2793"/>
      <c r="C9" s="2790"/>
      <c r="D9" s="2790"/>
      <c r="E9" s="2790"/>
      <c r="F9" s="2791"/>
      <c r="G9" s="2791"/>
      <c r="H9" s="2791"/>
      <c r="I9" s="2791"/>
      <c r="J9" s="2791"/>
      <c r="K9" s="2791"/>
    </row>
    <row r="10" ht="16.5" spans="1:11">
      <c r="A10" s="2789" t="s">
        <v>753</v>
      </c>
      <c r="B10" s="2789">
        <f>IF(E10="",0,ROUND(B1*(E10*365/G10)/10000,0))</f>
        <v>2487</v>
      </c>
      <c r="C10" s="2789" t="s">
        <v>754</v>
      </c>
      <c r="D10" s="2789" t="s">
        <v>753</v>
      </c>
      <c r="E10" s="2794">
        <f>'收益法倒推-商业'!D38</f>
        <v>11.7</v>
      </c>
      <c r="F10" s="2795" t="s">
        <v>755</v>
      </c>
      <c r="G10" s="2796">
        <v>0.06</v>
      </c>
      <c r="H10" s="2791"/>
      <c r="I10" s="2791"/>
      <c r="J10" s="2791"/>
      <c r="K10" s="2791"/>
    </row>
    <row r="11" ht="16.5" spans="1:11">
      <c r="A11" s="2789" t="s">
        <v>756</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757</v>
      </c>
      <c r="B13" s="2798" t="s">
        <v>742</v>
      </c>
      <c r="C13" s="2798" t="s">
        <v>743</v>
      </c>
      <c r="D13" s="2798" t="s">
        <v>758</v>
      </c>
      <c r="E13" s="2789" t="s">
        <v>747</v>
      </c>
      <c r="F13" s="2789" t="s">
        <v>748</v>
      </c>
      <c r="G13" s="2798" t="s">
        <v>759</v>
      </c>
      <c r="H13" s="2798" t="s">
        <v>760</v>
      </c>
      <c r="I13" s="2798" t="s">
        <v>761</v>
      </c>
      <c r="J13" s="2791"/>
      <c r="K13" s="2791"/>
    </row>
    <row r="14" ht="16.5" spans="1:11">
      <c r="A14" s="2799" t="s">
        <v>762</v>
      </c>
      <c r="B14" s="2800">
        <f>'数据-汇总表'!F31</f>
        <v>349.48</v>
      </c>
      <c r="C14" s="2800"/>
      <c r="D14" s="2800">
        <f>B10</f>
        <v>2487</v>
      </c>
      <c r="E14" s="2800">
        <f>ROUND(D14*10000/B14,0)</f>
        <v>71163</v>
      </c>
      <c r="F14" s="2800" t="e">
        <f>ROUND(D14*10000/C14,0)</f>
        <v>#DIV/0!</v>
      </c>
      <c r="G14" s="2800"/>
      <c r="H14" s="2800"/>
      <c r="I14" s="2800"/>
      <c r="J14" s="2791"/>
      <c r="K14" s="2791"/>
    </row>
    <row r="15" ht="16.5" spans="1:11">
      <c r="A15" s="2799" t="s">
        <v>763</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764</v>
      </c>
      <c r="B16" s="2799"/>
      <c r="C16" s="2799"/>
      <c r="D16" s="2799"/>
      <c r="E16" s="2800" t="e">
        <f t="shared" si="0"/>
        <v>#DIV/0!</v>
      </c>
      <c r="F16" s="2800" t="e">
        <f t="shared" si="1"/>
        <v>#DIV/0!</v>
      </c>
      <c r="G16" s="2793"/>
      <c r="H16" s="2793"/>
      <c r="I16" s="2799"/>
      <c r="J16" s="2791"/>
      <c r="K16" s="2791"/>
    </row>
    <row r="17" ht="16.5" spans="1:11">
      <c r="A17" s="2799" t="s">
        <v>765</v>
      </c>
      <c r="B17" s="2799"/>
      <c r="C17" s="2799"/>
      <c r="D17" s="2799"/>
      <c r="E17" s="2800" t="e">
        <f t="shared" si="0"/>
        <v>#DIV/0!</v>
      </c>
      <c r="F17" s="2800" t="e">
        <f t="shared" si="1"/>
        <v>#DIV/0!</v>
      </c>
      <c r="G17" s="2793"/>
      <c r="H17" s="2793"/>
      <c r="I17" s="2799"/>
      <c r="J17" s="2791"/>
      <c r="K17" s="2791"/>
    </row>
    <row r="18" ht="16.5" spans="1:11">
      <c r="A18" s="2799" t="s">
        <v>766</v>
      </c>
      <c r="B18" s="2799"/>
      <c r="C18" s="2799"/>
      <c r="D18" s="2799"/>
      <c r="E18" s="2800" t="e">
        <f t="shared" si="0"/>
        <v>#DIV/0!</v>
      </c>
      <c r="F18" s="2800" t="e">
        <f t="shared" si="1"/>
        <v>#DIV/0!</v>
      </c>
      <c r="G18" s="2799"/>
      <c r="H18" s="2799"/>
      <c r="I18" s="2799"/>
      <c r="J18" s="2791"/>
      <c r="K18" s="2791"/>
    </row>
    <row r="19" ht="16.5" spans="1:11">
      <c r="A19" s="2799" t="s">
        <v>767</v>
      </c>
      <c r="B19" s="2799"/>
      <c r="C19" s="2799"/>
      <c r="D19" s="2799"/>
      <c r="E19" s="2800" t="e">
        <f t="shared" si="0"/>
        <v>#DIV/0!</v>
      </c>
      <c r="F19" s="2800" t="e">
        <f t="shared" si="1"/>
        <v>#DIV/0!</v>
      </c>
      <c r="G19" s="2799"/>
      <c r="H19" s="2799"/>
      <c r="I19" s="2799"/>
      <c r="J19" s="2791"/>
      <c r="K19" s="2791"/>
    </row>
    <row r="20" ht="16.5" spans="1:11">
      <c r="A20" s="2799" t="s">
        <v>768</v>
      </c>
      <c r="B20" s="2799"/>
      <c r="C20" s="2799"/>
      <c r="D20" s="2799"/>
      <c r="E20" s="2800" t="e">
        <f t="shared" si="0"/>
        <v>#DIV/0!</v>
      </c>
      <c r="F20" s="2800" t="e">
        <f t="shared" si="1"/>
        <v>#DIV/0!</v>
      </c>
      <c r="G20" s="2799"/>
      <c r="H20" s="2799"/>
      <c r="I20" s="2799"/>
      <c r="J20" s="2791"/>
      <c r="K20" s="2791"/>
    </row>
    <row r="21" ht="16.5" spans="1:11">
      <c r="A21" s="2799" t="s">
        <v>769</v>
      </c>
      <c r="B21" s="2799"/>
      <c r="C21" s="2799"/>
      <c r="D21" s="2799"/>
      <c r="E21" s="2800" t="e">
        <f t="shared" si="0"/>
        <v>#DIV/0!</v>
      </c>
      <c r="F21" s="2800" t="e">
        <f t="shared" si="1"/>
        <v>#DIV/0!</v>
      </c>
      <c r="G21" s="2799"/>
      <c r="H21" s="2799"/>
      <c r="I21" s="2799"/>
      <c r="J21" s="2791"/>
      <c r="K21" s="2791"/>
    </row>
    <row r="22" ht="16.5" spans="1:11">
      <c r="A22" s="2799" t="s">
        <v>770</v>
      </c>
      <c r="B22" s="2799"/>
      <c r="C22" s="2799"/>
      <c r="D22" s="2799"/>
      <c r="E22" s="2800" t="e">
        <f t="shared" si="0"/>
        <v>#DIV/0!</v>
      </c>
      <c r="F22" s="2800" t="e">
        <f t="shared" si="1"/>
        <v>#DIV/0!</v>
      </c>
      <c r="G22" s="2799"/>
      <c r="H22" s="2799"/>
      <c r="I22" s="2799"/>
      <c r="J22" s="2791"/>
      <c r="K22" s="2791"/>
    </row>
    <row r="23" ht="16.5" spans="1:11">
      <c r="A23" s="2799" t="s">
        <v>771</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772</v>
      </c>
      <c r="B1" s="2241"/>
      <c r="C1" s="2456"/>
      <c r="D1" s="2241"/>
      <c r="E1" s="2241"/>
      <c r="F1" s="2457" t="s">
        <v>773</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774</v>
      </c>
      <c r="B3" s="2148"/>
      <c r="C3" s="2148"/>
      <c r="D3" s="2148"/>
      <c r="E3" s="2148"/>
      <c r="F3" s="2148"/>
      <c r="G3" s="2148"/>
      <c r="H3" s="2148"/>
      <c r="I3" s="2148"/>
    </row>
    <row r="4" ht="14.25" spans="1:12">
      <c r="A4" s="2462" t="s">
        <v>775</v>
      </c>
      <c r="B4" s="2463" t="s">
        <v>776</v>
      </c>
      <c r="C4" s="2464"/>
      <c r="D4" s="2464"/>
      <c r="E4" s="2465" t="s">
        <v>777</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778</v>
      </c>
      <c r="B5" s="815">
        <v>25</v>
      </c>
      <c r="C5" s="2467"/>
      <c r="D5" s="2468"/>
      <c r="E5" s="2138" t="s">
        <v>779</v>
      </c>
      <c r="F5" s="2469"/>
      <c r="G5" s="2469"/>
      <c r="H5" s="2469"/>
      <c r="I5" s="2345"/>
    </row>
    <row r="6" ht="13.5" spans="1:9">
      <c r="A6" s="898"/>
      <c r="B6" s="815"/>
      <c r="C6" s="2470"/>
      <c r="D6" s="2468"/>
      <c r="E6" s="2138" t="s">
        <v>780</v>
      </c>
      <c r="F6" s="2469"/>
      <c r="G6" s="2469"/>
      <c r="H6" s="2469"/>
      <c r="I6" s="2345"/>
    </row>
    <row r="7" ht="13.5" spans="1:9">
      <c r="A7" s="898"/>
      <c r="B7" s="815"/>
      <c r="C7" s="2471"/>
      <c r="D7" s="2468"/>
      <c r="E7" s="2138" t="s">
        <v>781</v>
      </c>
      <c r="F7" s="2469"/>
      <c r="G7" s="2469"/>
      <c r="H7" s="2469"/>
      <c r="I7" s="2345"/>
    </row>
    <row r="8" ht="13.5" spans="1:9">
      <c r="A8" s="898" t="s">
        <v>782</v>
      </c>
      <c r="B8" s="815">
        <v>15</v>
      </c>
      <c r="C8" s="2467"/>
      <c r="D8" s="2468"/>
      <c r="E8" s="2138" t="s">
        <v>783</v>
      </c>
      <c r="F8" s="2469"/>
      <c r="G8" s="2469"/>
      <c r="H8" s="2469"/>
      <c r="I8" s="2345"/>
    </row>
    <row r="9" ht="13.5" spans="1:9">
      <c r="A9" s="898"/>
      <c r="B9" s="815"/>
      <c r="C9" s="2471"/>
      <c r="D9" s="2468"/>
      <c r="E9" s="2138" t="s">
        <v>784</v>
      </c>
      <c r="F9" s="2469"/>
      <c r="G9" s="2469"/>
      <c r="H9" s="2469"/>
      <c r="I9" s="2345"/>
    </row>
    <row r="10" ht="13.5" spans="1:9">
      <c r="A10" s="898" t="s">
        <v>785</v>
      </c>
      <c r="B10" s="815">
        <v>15</v>
      </c>
      <c r="C10" s="2467"/>
      <c r="D10" s="2468"/>
      <c r="E10" s="2138" t="s">
        <v>786</v>
      </c>
      <c r="F10" s="2469"/>
      <c r="G10" s="2469"/>
      <c r="H10" s="2469"/>
      <c r="I10" s="2345"/>
    </row>
    <row r="11" ht="13.5" spans="1:9">
      <c r="A11" s="898"/>
      <c r="B11" s="815"/>
      <c r="C11" s="2471"/>
      <c r="D11" s="2468"/>
      <c r="E11" s="2138" t="s">
        <v>787</v>
      </c>
      <c r="F11" s="2469"/>
      <c r="G11" s="2469"/>
      <c r="H11" s="2469"/>
      <c r="I11" s="2345"/>
    </row>
    <row r="12" ht="13.5" spans="1:9">
      <c r="A12" s="898" t="s">
        <v>788</v>
      </c>
      <c r="B12" s="815">
        <v>15</v>
      </c>
      <c r="C12" s="2467"/>
      <c r="D12" s="2468"/>
      <c r="E12" s="2138" t="s">
        <v>789</v>
      </c>
      <c r="F12" s="2469"/>
      <c r="G12" s="2469"/>
      <c r="H12" s="2469"/>
      <c r="I12" s="2345"/>
    </row>
    <row r="13" ht="13.5" spans="1:9">
      <c r="A13" s="898"/>
      <c r="B13" s="815"/>
      <c r="C13" s="2471"/>
      <c r="D13" s="2468"/>
      <c r="E13" s="2138" t="s">
        <v>790</v>
      </c>
      <c r="F13" s="2469"/>
      <c r="G13" s="2469"/>
      <c r="H13" s="2469"/>
      <c r="I13" s="2345"/>
    </row>
    <row r="14" ht="13.5" spans="1:9">
      <c r="A14" s="898" t="s">
        <v>791</v>
      </c>
      <c r="B14" s="815">
        <v>30</v>
      </c>
      <c r="C14" s="2467"/>
      <c r="D14" s="2468"/>
      <c r="E14" s="2138" t="s">
        <v>792</v>
      </c>
      <c r="F14" s="2469"/>
      <c r="G14" s="2469"/>
      <c r="H14" s="2469"/>
      <c r="I14" s="2345"/>
    </row>
    <row r="15" ht="13.5" spans="1:9">
      <c r="A15" s="898"/>
      <c r="B15" s="815"/>
      <c r="C15" s="2470"/>
      <c r="D15" s="2468"/>
      <c r="E15" s="2138" t="s">
        <v>793</v>
      </c>
      <c r="F15" s="2469"/>
      <c r="G15" s="2469"/>
      <c r="H15" s="2469"/>
      <c r="I15" s="2345"/>
    </row>
    <row r="16" ht="13.5" spans="1:9">
      <c r="A16" s="898"/>
      <c r="B16" s="815"/>
      <c r="C16" s="2471"/>
      <c r="D16" s="2468"/>
      <c r="E16" s="2138" t="s">
        <v>794</v>
      </c>
      <c r="F16" s="2469"/>
      <c r="G16" s="2469"/>
      <c r="H16" s="2469"/>
      <c r="I16" s="2345"/>
    </row>
    <row r="17" ht="14.25" spans="1:13">
      <c r="A17" s="2472" t="s">
        <v>795</v>
      </c>
      <c r="B17" s="2473"/>
      <c r="C17" s="2474">
        <f>SUM(C5:C16)</f>
        <v>0</v>
      </c>
      <c r="D17" s="2474">
        <f>SUM(D5:D16)</f>
        <v>0</v>
      </c>
      <c r="E17" s="1417"/>
      <c r="F17" s="1417"/>
      <c r="G17" s="1417"/>
      <c r="H17" s="1417"/>
      <c r="I17" s="1417"/>
      <c r="K17" s="2096"/>
      <c r="L17" s="2096" t="s">
        <v>796</v>
      </c>
      <c r="M17" s="2096" t="s">
        <v>797</v>
      </c>
    </row>
    <row r="18" ht="31.9" customHeight="1" spans="1:13">
      <c r="A18" s="2475" t="s">
        <v>798</v>
      </c>
      <c r="B18" s="2476"/>
      <c r="C18" s="2477" t="e">
        <f>ROUND(C17/SUM(C17:D17),2)</f>
        <v>#DIV/0!</v>
      </c>
      <c r="D18" s="2477" t="e">
        <f>1-C18</f>
        <v>#DIV/0!</v>
      </c>
      <c r="E18" s="2478" t="s">
        <v>799</v>
      </c>
      <c r="F18" s="2479"/>
      <c r="G18" s="2479"/>
      <c r="H18" s="2479"/>
      <c r="I18" s="2479"/>
      <c r="K18" s="2096" t="s">
        <v>456</v>
      </c>
      <c r="L18" s="2096">
        <f>IF(C1="",'数据-汇总表'!E3,SUMIF(项目类型,C1,'数据-汇总表'!E17:E26)+SUMIF(项目类型,C1,'数据-汇总表'!I17:I26))</f>
        <v>349.48</v>
      </c>
      <c r="M18" s="2096">
        <f>IF(C1="",'数据-汇总表'!E3,SUMIF(项目类型,C1,'数据-汇总表'!E17:E26))</f>
        <v>349.48</v>
      </c>
    </row>
    <row r="19" ht="14.25" spans="1:13">
      <c r="A19" s="1605" t="s">
        <v>800</v>
      </c>
      <c r="B19" s="2480" t="s">
        <v>801</v>
      </c>
      <c r="C19" s="2481" t="e">
        <f ca="1">SUMIF(INDIRECT("'"&amp;C4&amp;"'"&amp;"!A:A"),结果表!B19,INDIRECT("'"&amp;C4&amp;"'"&amp;"!B:B"))</f>
        <v>#REF!</v>
      </c>
      <c r="D19" s="1634" t="e">
        <f ca="1">SUMIF(INDIRECT("'"&amp;D4&amp;"'"&amp;"!A:A"),结果表!B19,INDIRECT("'"&amp;D4&amp;"'"&amp;"!B:B"))</f>
        <v>#REF!</v>
      </c>
      <c r="E19" s="1605" t="s">
        <v>802</v>
      </c>
      <c r="F19" s="2480" t="s">
        <v>801</v>
      </c>
      <c r="G19" s="2482" t="e">
        <f ca="1">ROUND(C19*$C$18+D19*$D$18,0)</f>
        <v>#REF!</v>
      </c>
      <c r="H19" s="2483" t="s">
        <v>803</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804</v>
      </c>
      <c r="C20" s="1826" t="e">
        <f ca="1">SUMIF(INDIRECT("'"&amp;C4&amp;"'"&amp;"!A:A"),结果表!B20,INDIRECT("'"&amp;C4&amp;"'"&amp;"!B:B"))</f>
        <v>#REF!</v>
      </c>
      <c r="D20" s="1829" t="e">
        <f ca="1">SUMIF(INDIRECT("'"&amp;D4&amp;"'"&amp;"!A:A"),结果表!B20,INDIRECT("'"&amp;D4&amp;"'"&amp;"!B:B"))</f>
        <v>#REF!</v>
      </c>
      <c r="E20" s="2484"/>
      <c r="F20" s="2485" t="s">
        <v>804</v>
      </c>
      <c r="G20" s="2486" t="e">
        <f ca="1">ROUND(C20*$C$18+D20*$D$18,0)</f>
        <v>#REF!</v>
      </c>
      <c r="H20" s="2250" t="s">
        <v>805</v>
      </c>
      <c r="I20" s="1417"/>
    </row>
    <row r="21" ht="15" customHeight="1" spans="1:9">
      <c r="A21" s="1073"/>
      <c r="B21" s="2487" t="s">
        <v>806</v>
      </c>
      <c r="C21" s="2488" t="e">
        <f ca="1">ROUND(C19*10000/L19,0)</f>
        <v>#REF!</v>
      </c>
      <c r="D21" s="2489" t="e">
        <f ca="1">ROUND(D19*10000/L19,0)</f>
        <v>#REF!</v>
      </c>
      <c r="E21" s="1073"/>
      <c r="F21" s="2487" t="s">
        <v>806</v>
      </c>
      <c r="G21" s="2490" t="e">
        <f ca="1">ROUND(G19*10000/L19,0)</f>
        <v>#REF!</v>
      </c>
      <c r="H21" s="2491" t="s">
        <v>805</v>
      </c>
      <c r="I21" s="1417"/>
    </row>
    <row r="22" ht="15" spans="1:9">
      <c r="A22" s="2492" t="s">
        <v>807</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808</v>
      </c>
      <c r="B24" s="2480" t="s">
        <v>801</v>
      </c>
      <c r="C24" s="2482">
        <f>IF(B30=0,0,D30)</f>
        <v>0</v>
      </c>
      <c r="D24" s="2497"/>
      <c r="E24" s="1417"/>
      <c r="F24" s="1417"/>
      <c r="G24" s="1417"/>
      <c r="H24" s="1417"/>
      <c r="I24" s="1417"/>
    </row>
    <row r="25" ht="14.25" spans="1:9">
      <c r="A25" s="2498"/>
      <c r="B25" s="2485" t="s">
        <v>804</v>
      </c>
      <c r="C25" s="2499">
        <f>IF(B30=0,0,C30)</f>
        <v>0</v>
      </c>
      <c r="D25" s="2500"/>
      <c r="E25" s="1417"/>
      <c r="F25" s="1417"/>
      <c r="G25" s="1417"/>
      <c r="H25" s="1417"/>
      <c r="I25" s="1417"/>
    </row>
    <row r="26" ht="13.5" customHeight="1" spans="1:9">
      <c r="A26" s="2501" t="s">
        <v>809</v>
      </c>
      <c r="B26" s="2502" t="s">
        <v>810</v>
      </c>
      <c r="C26" s="2502" t="s">
        <v>811</v>
      </c>
      <c r="D26" s="2503" t="s">
        <v>812</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813</v>
      </c>
      <c r="B30" s="2502"/>
      <c r="C30" s="2502"/>
      <c r="D30" s="2502"/>
      <c r="E30" s="2504" t="s">
        <v>814</v>
      </c>
      <c r="F30" s="1417"/>
      <c r="G30" s="1417"/>
      <c r="H30" s="1417"/>
      <c r="I30" s="1417"/>
    </row>
    <row r="31" s="2452" customFormat="1" ht="26.45" customHeight="1" spans="1:36">
      <c r="A31" s="2505"/>
      <c r="B31" s="2506"/>
      <c r="C31" s="2506"/>
      <c r="D31" s="2506"/>
      <c r="E31" s="2506"/>
      <c r="F31" s="2506"/>
      <c r="G31" s="2506"/>
      <c r="H31" s="2506"/>
      <c r="I31" s="2615" t="s">
        <v>815</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816</v>
      </c>
      <c r="B32" s="2508"/>
      <c r="C32" s="2509" t="e">
        <f ca="1">IF(D32="总价",G19-C24,G20-C25)</f>
        <v>#REF!</v>
      </c>
      <c r="D32" s="2510"/>
      <c r="E32" s="1417"/>
      <c r="F32" s="1417"/>
      <c r="G32" s="1417"/>
      <c r="H32" s="1417"/>
      <c r="I32" s="1417"/>
    </row>
    <row r="33" ht="15" spans="1:9">
      <c r="A33" s="2366" t="s">
        <v>817</v>
      </c>
      <c r="B33" s="2138"/>
      <c r="C33" s="2511"/>
      <c r="D33" s="2512"/>
      <c r="E33" s="2513" t="s">
        <v>818</v>
      </c>
      <c r="F33" s="2514" t="str">
        <f>IF(D32="楼面单价","取值（单价）","取值（总价）")</f>
        <v>取值（总价）</v>
      </c>
      <c r="G33" s="1417"/>
      <c r="H33" s="1417"/>
      <c r="I33" s="1417"/>
    </row>
    <row r="34" ht="15" spans="1:9">
      <c r="A34" s="2515"/>
      <c r="B34" s="2516" t="s">
        <v>819</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820</v>
      </c>
      <c r="F34" s="2520"/>
      <c r="G34" s="1417"/>
      <c r="H34" s="1417"/>
      <c r="I34" s="1417"/>
    </row>
    <row r="35" ht="15.75" spans="1:9">
      <c r="A35" s="2521"/>
      <c r="B35" s="2522" t="s">
        <v>821</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822</v>
      </c>
      <c r="F35" s="2526"/>
      <c r="G35" s="1417"/>
      <c r="H35" s="1417"/>
      <c r="I35" s="1417"/>
    </row>
    <row r="36" ht="15.75" spans="1:9">
      <c r="A36" s="2527" t="s">
        <v>823</v>
      </c>
      <c r="B36" s="2528" t="s">
        <v>824</v>
      </c>
      <c r="C36" s="2529"/>
      <c r="D36" s="2530"/>
      <c r="E36" s="2531"/>
      <c r="F36" s="2532"/>
      <c r="G36" s="1417"/>
      <c r="H36" s="1417"/>
      <c r="I36" s="1417"/>
    </row>
    <row r="37" ht="15.75" spans="1:9">
      <c r="A37" s="2533"/>
      <c r="B37" s="2534" t="s">
        <v>825</v>
      </c>
      <c r="C37" s="2535"/>
      <c r="D37" s="2536"/>
      <c r="E37" s="2536"/>
      <c r="F37" s="2532"/>
      <c r="G37" s="1417"/>
      <c r="H37" s="1417"/>
      <c r="I37" s="1417"/>
    </row>
    <row r="38" ht="15.75" spans="1:9">
      <c r="A38" s="2537"/>
      <c r="B38" s="2538" t="s">
        <v>826</v>
      </c>
      <c r="C38" s="2539"/>
      <c r="D38" s="2540" t="s">
        <v>827</v>
      </c>
      <c r="E38" s="2536"/>
      <c r="F38" s="2532"/>
      <c r="G38" s="1417"/>
      <c r="H38" s="1417"/>
      <c r="I38" s="1417"/>
    </row>
    <row r="39" ht="14.25" spans="1:9">
      <c r="A39" s="2484" t="s">
        <v>828</v>
      </c>
      <c r="B39" s="2541" t="s">
        <v>810</v>
      </c>
      <c r="C39" s="2542" t="s">
        <v>811</v>
      </c>
      <c r="D39" s="2542" t="s">
        <v>829</v>
      </c>
      <c r="E39" s="2543" t="s">
        <v>812</v>
      </c>
      <c r="F39" s="2532"/>
      <c r="G39" s="1417"/>
      <c r="H39" s="1417"/>
      <c r="I39" s="1417"/>
    </row>
    <row r="40" ht="14.25" spans="1:9">
      <c r="A40" s="2544" t="s">
        <v>830</v>
      </c>
      <c r="B40" s="2545"/>
      <c r="C40" s="1439"/>
      <c r="D40" s="1439"/>
      <c r="E40" s="2546"/>
      <c r="F40" s="2532"/>
      <c r="G40" s="1417"/>
      <c r="H40" s="1417"/>
      <c r="I40" s="1417"/>
    </row>
    <row r="41" ht="14.25" spans="1:9">
      <c r="A41" s="2544" t="s">
        <v>831</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832</v>
      </c>
      <c r="B44" s="2553"/>
      <c r="C44" s="2553"/>
      <c r="D44" s="2554"/>
      <c r="E44" s="2554"/>
      <c r="F44" s="2555"/>
      <c r="G44" s="2555"/>
      <c r="H44" s="2555"/>
      <c r="I44" s="2555"/>
      <c r="J44" s="874" t="s">
        <v>833</v>
      </c>
      <c r="K44" s="701"/>
      <c r="L44" s="701"/>
      <c r="M44" s="701"/>
      <c r="N44" s="701"/>
      <c r="O44" s="701"/>
    </row>
    <row r="45" ht="14.25" customHeight="1" spans="1:15">
      <c r="A45" s="2556" t="s">
        <v>834</v>
      </c>
      <c r="B45" s="2557"/>
      <c r="C45" s="2558"/>
      <c r="D45" s="2095" t="e">
        <f ca="1">ROUND(H101*F45,0)</f>
        <v>#REF!</v>
      </c>
      <c r="E45" s="2559" t="s">
        <v>835</v>
      </c>
      <c r="F45" s="2560">
        <v>1</v>
      </c>
      <c r="G45" s="2108" t="s">
        <v>836</v>
      </c>
      <c r="H45" s="1417"/>
      <c r="I45" s="1417"/>
      <c r="J45" s="2619" t="s">
        <v>837</v>
      </c>
      <c r="K45" s="2619"/>
      <c r="L45" s="2619"/>
      <c r="M45" s="2619"/>
      <c r="N45" s="2619"/>
      <c r="O45" s="2619"/>
    </row>
    <row r="46" ht="14.25" customHeight="1" spans="1:15">
      <c r="A46" s="2561" t="s">
        <v>838</v>
      </c>
      <c r="B46" s="2562"/>
      <c r="C46" s="2562"/>
      <c r="D46" s="2562"/>
      <c r="E46" s="2562"/>
      <c r="F46" s="2562"/>
      <c r="G46" s="2563"/>
      <c r="H46" s="2564"/>
      <c r="I46" s="1418"/>
      <c r="J46" s="595">
        <v>1</v>
      </c>
      <c r="K46" s="2620" t="s">
        <v>839</v>
      </c>
      <c r="L46" s="2620"/>
      <c r="M46" s="2621"/>
      <c r="N46" s="2621"/>
      <c r="O46" s="2621"/>
    </row>
    <row r="47" ht="12" customHeight="1" spans="1:15">
      <c r="A47" s="2565" t="s">
        <v>840</v>
      </c>
      <c r="B47" s="2566"/>
      <c r="C47" s="2567"/>
      <c r="D47" s="2147" t="s">
        <v>841</v>
      </c>
      <c r="E47" s="2096" t="s">
        <v>842</v>
      </c>
      <c r="F47" s="2568" t="s">
        <v>843</v>
      </c>
      <c r="G47" s="2569" t="s">
        <v>844</v>
      </c>
      <c r="H47" s="2570"/>
      <c r="I47" s="1418"/>
      <c r="J47" s="595">
        <v>2</v>
      </c>
      <c r="K47" s="2620" t="s">
        <v>845</v>
      </c>
      <c r="L47" s="2620"/>
      <c r="M47" s="2622">
        <f>'数据-取费表'!B2</f>
        <v>45797</v>
      </c>
      <c r="N47" s="2622"/>
      <c r="O47" s="2622"/>
    </row>
    <row r="48" ht="24.75" spans="1:15">
      <c r="A48" s="2571" t="s">
        <v>846</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847</v>
      </c>
      <c r="H48" s="2574"/>
      <c r="I48" s="2564"/>
      <c r="J48" s="595">
        <v>3</v>
      </c>
      <c r="K48" s="2620" t="s">
        <v>848</v>
      </c>
      <c r="L48" s="2620"/>
      <c r="M48" s="2623" t="e">
        <f ca="1">H101</f>
        <v>#REF!</v>
      </c>
      <c r="N48" s="2623"/>
      <c r="O48" s="2623"/>
    </row>
    <row r="49" ht="25.5" customHeight="1" spans="1:15">
      <c r="A49" s="2571" t="s">
        <v>849</v>
      </c>
      <c r="B49" s="2130" t="s">
        <v>850</v>
      </c>
      <c r="C49" s="2130"/>
      <c r="D49" s="2575">
        <v>0</v>
      </c>
      <c r="E49" s="2157" t="s">
        <v>851</v>
      </c>
      <c r="F49" s="2576" t="s">
        <v>124</v>
      </c>
      <c r="G49" s="2577"/>
      <c r="H49" s="2578" t="s">
        <v>852</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853</v>
      </c>
      <c r="C50" s="2130"/>
      <c r="D50" s="2580"/>
      <c r="E50" s="2172"/>
      <c r="F50" s="2576"/>
      <c r="G50" s="2581"/>
      <c r="H50" s="2582" t="s">
        <v>854</v>
      </c>
      <c r="I50" s="2624"/>
      <c r="J50" s="2619" t="s">
        <v>855</v>
      </c>
      <c r="K50" s="2619"/>
      <c r="L50" s="2619"/>
      <c r="M50" s="2619"/>
      <c r="N50" s="2619"/>
      <c r="O50" s="2619"/>
    </row>
    <row r="51" ht="20.45" customHeight="1" spans="1:15">
      <c r="A51" s="2583"/>
      <c r="B51" s="2130" t="s">
        <v>856</v>
      </c>
      <c r="C51" s="2130"/>
      <c r="D51" s="2147"/>
      <c r="E51" s="2161"/>
      <c r="F51" s="2576"/>
      <c r="G51" s="2584"/>
      <c r="H51" s="2582" t="s">
        <v>857</v>
      </c>
      <c r="I51" s="2624"/>
      <c r="J51" s="2620" t="s">
        <v>858</v>
      </c>
      <c r="K51" s="2620" t="s">
        <v>859</v>
      </c>
      <c r="L51" s="2620"/>
      <c r="M51" s="2620" t="s">
        <v>860</v>
      </c>
      <c r="N51" s="2620" t="s">
        <v>861</v>
      </c>
      <c r="O51" s="2620" t="s">
        <v>862</v>
      </c>
    </row>
    <row r="52" ht="24" customHeight="1" spans="1:15">
      <c r="A52" s="2585" t="s">
        <v>863</v>
      </c>
      <c r="B52" s="2130" t="s">
        <v>864</v>
      </c>
      <c r="C52" s="2130"/>
      <c r="D52" s="2147" t="e">
        <f ca="1">ROUND(D45*'数据-取费表'!B41/(1+'数据-取费表'!C42),0)</f>
        <v>#REF!</v>
      </c>
      <c r="E52" s="2151" t="s">
        <v>865</v>
      </c>
      <c r="F52" s="2586">
        <f>'数据-取费表'!B41</f>
        <v>0.056</v>
      </c>
      <c r="G52" s="2587"/>
      <c r="H52" s="2262"/>
      <c r="I52" s="2625"/>
      <c r="J52" s="595">
        <v>1</v>
      </c>
      <c r="K52" s="595" t="s">
        <v>866</v>
      </c>
      <c r="L52" s="595"/>
      <c r="M52" s="2626" t="b">
        <f ca="1">D48</f>
        <v>0</v>
      </c>
      <c r="N52" s="595" t="str">
        <f>E48</f>
        <v>销售额×税（费）率</v>
      </c>
      <c r="O52" s="2627">
        <f>F48</f>
        <v>0.056</v>
      </c>
    </row>
    <row r="53" ht="12" customHeight="1" spans="1:15">
      <c r="A53" s="2585" t="s">
        <v>867</v>
      </c>
      <c r="B53" s="2129" t="s">
        <v>868</v>
      </c>
      <c r="C53" s="2588"/>
      <c r="D53" s="2147" t="e">
        <f ca="1">ROUND(D45*'数据-取费表'!B41/(1+'数据-取费表'!C42),0)</f>
        <v>#REF!</v>
      </c>
      <c r="E53" s="2151" t="s">
        <v>865</v>
      </c>
      <c r="F53" s="2586">
        <f>'数据-取费表'!B41</f>
        <v>0.056</v>
      </c>
      <c r="G53" s="2587"/>
      <c r="H53" s="2262"/>
      <c r="I53" s="2625"/>
      <c r="J53" s="595">
        <v>2</v>
      </c>
      <c r="K53" s="595" t="s">
        <v>869</v>
      </c>
      <c r="L53" s="595"/>
      <c r="M53" s="2626" t="e">
        <f ca="1" t="shared" ref="M53:O54" si="0">D55</f>
        <v>#REF!</v>
      </c>
      <c r="N53" s="595" t="str">
        <f t="shared" si="0"/>
        <v>销售额×税（费）率</v>
      </c>
      <c r="O53" s="2627" t="str">
        <f t="shared" si="0"/>
        <v>免征</v>
      </c>
    </row>
    <row r="54" ht="12" customHeight="1" spans="1:15">
      <c r="A54" s="2585" t="s">
        <v>870</v>
      </c>
      <c r="B54" s="2129" t="s">
        <v>871</v>
      </c>
      <c r="C54" s="2588"/>
      <c r="D54" s="2147" t="e">
        <f ca="1">C68</f>
        <v>#REF!</v>
      </c>
      <c r="E54" s="2161" t="s">
        <v>872</v>
      </c>
      <c r="F54" s="2586">
        <f>'数据-取费表'!B41</f>
        <v>0.056</v>
      </c>
      <c r="G54" s="2587"/>
      <c r="H54" s="2589"/>
      <c r="I54" s="2625"/>
      <c r="J54" s="595">
        <v>3</v>
      </c>
      <c r="K54" s="595" t="s">
        <v>873</v>
      </c>
      <c r="L54" s="595"/>
      <c r="M54" s="2626" t="e">
        <f ca="1" t="shared" si="0"/>
        <v>#REF!</v>
      </c>
      <c r="N54" s="595" t="str">
        <f t="shared" si="0"/>
        <v>增值额×税（费）率</v>
      </c>
      <c r="O54" s="2628" t="str">
        <f t="shared" si="0"/>
        <v>免征</v>
      </c>
    </row>
    <row r="55" ht="24" customHeight="1" spans="1:15">
      <c r="A55" s="2585" t="s">
        <v>874</v>
      </c>
      <c r="B55" s="2151"/>
      <c r="C55" s="2151"/>
      <c r="D55" s="2248" t="e">
        <f ca="1">IF(H55="个人住宅",0,ROUND(D45*I55,0))</f>
        <v>#REF!</v>
      </c>
      <c r="E55" s="2151" t="s">
        <v>875</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876</v>
      </c>
      <c r="B56" s="2151"/>
      <c r="C56" s="2151"/>
      <c r="D56" s="2248" t="e">
        <f ca="1">IF(H56="个人住宅",D57,D58)</f>
        <v>#REF!</v>
      </c>
      <c r="E56" s="2151" t="s">
        <v>877</v>
      </c>
      <c r="F56" s="2586" t="str">
        <f>IF(H56="正常",F58,"免征")</f>
        <v>免征</v>
      </c>
      <c r="G56" s="2590" t="s">
        <v>878</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849</v>
      </c>
      <c r="B57" s="2129" t="s">
        <v>879</v>
      </c>
      <c r="C57" s="2588"/>
      <c r="D57" s="2575">
        <v>0</v>
      </c>
      <c r="E57" s="2157" t="s">
        <v>851</v>
      </c>
      <c r="F57" s="2096"/>
      <c r="G57" s="2587"/>
      <c r="H57" s="2592"/>
      <c r="I57" s="2602"/>
      <c r="J57" s="595">
        <f>IF(AND(J55="",J56=""),4,IF(项目基本情况!K6="上海银行",结果表!J56+1,结果表!J55+1))</f>
        <v>5</v>
      </c>
      <c r="K57" s="595" t="s">
        <v>880</v>
      </c>
      <c r="L57" s="2632" t="s">
        <v>881</v>
      </c>
      <c r="M57" s="2633"/>
      <c r="N57" s="2634">
        <f ca="1">SUMIF(M52:M56,"&lt;9e307")</f>
        <v>0</v>
      </c>
      <c r="O57" s="2635"/>
      <c r="P57" s="2636" t="e">
        <f ca="1">N57/M49</f>
        <v>#VALUE!</v>
      </c>
    </row>
    <row r="58" ht="24.75" spans="1:15">
      <c r="A58" s="2585" t="s">
        <v>863</v>
      </c>
      <c r="B58" s="2129" t="s">
        <v>882</v>
      </c>
      <c r="C58" s="2130"/>
      <c r="D58" s="2248" t="e">
        <f ca="1">IF(H58="转让取得",C81,C97)</f>
        <v>#REF!</v>
      </c>
      <c r="E58" s="2151" t="s">
        <v>877</v>
      </c>
      <c r="F58" s="2096" t="s">
        <v>124</v>
      </c>
      <c r="G58" s="2587"/>
      <c r="H58" s="2591"/>
      <c r="I58" s="2602"/>
      <c r="J58" s="595"/>
      <c r="K58" s="595"/>
      <c r="L58" s="2632" t="s">
        <v>883</v>
      </c>
      <c r="M58" s="2637"/>
      <c r="N58" s="2638" t="str">
        <f ca="1">NUMBERSTRING(INT(N57*10000),2)&amp;"元整"</f>
        <v>零元整</v>
      </c>
      <c r="O58" s="2639"/>
    </row>
    <row r="59" ht="24.75" spans="1:15">
      <c r="A59" s="2593" t="s">
        <v>884</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878</v>
      </c>
      <c r="H59" s="2599"/>
      <c r="I59" s="2640" t="s">
        <v>885</v>
      </c>
      <c r="J59" s="576">
        <f>J57+1</f>
        <v>6</v>
      </c>
      <c r="K59" s="595" t="s">
        <v>886</v>
      </c>
      <c r="L59" s="595" t="s">
        <v>881</v>
      </c>
      <c r="M59" s="2641"/>
      <c r="N59" s="2642" t="e">
        <f ca="1">M49-N57</f>
        <v>#VALUE!</v>
      </c>
      <c r="O59" s="2643"/>
    </row>
    <row r="60" ht="12" customHeight="1" spans="1:15">
      <c r="A60" s="2600"/>
      <c r="B60" s="2241"/>
      <c r="C60" s="2241"/>
      <c r="D60" s="2241"/>
      <c r="E60" s="2601"/>
      <c r="F60" s="2602"/>
      <c r="G60" s="2602"/>
      <c r="H60" s="1418"/>
      <c r="I60" s="1417"/>
      <c r="J60" s="581"/>
      <c r="K60" s="595"/>
      <c r="L60" s="2632" t="s">
        <v>883</v>
      </c>
      <c r="M60" s="2637"/>
      <c r="N60" s="2638" t="e">
        <f ca="1">NUMBERSTRING(INT(N59*10000),2)&amp;"元整"</f>
        <v>#VALUE!</v>
      </c>
      <c r="O60" s="2639"/>
    </row>
    <row r="61" ht="14.25" spans="1:15">
      <c r="A61" s="2603" t="s">
        <v>887</v>
      </c>
      <c r="B61" s="2603"/>
      <c r="C61" s="2603"/>
      <c r="D61" s="2603"/>
      <c r="E61" s="2603"/>
      <c r="F61" s="2602"/>
      <c r="G61" s="2602"/>
      <c r="H61" s="1418"/>
      <c r="I61" s="1417"/>
      <c r="J61" s="595">
        <f>J59+1</f>
        <v>7</v>
      </c>
      <c r="K61" s="595" t="s">
        <v>888</v>
      </c>
      <c r="L61" s="595"/>
      <c r="M61" s="2644"/>
      <c r="N61" s="2645" t="e">
        <f ca="1">ROUND(N59*10000/'数据-汇总表'!E3,0)</f>
        <v>#VALUE!</v>
      </c>
      <c r="O61" s="2646"/>
    </row>
    <row r="62" ht="13.5" spans="1:9">
      <c r="A62" s="2604" t="s">
        <v>889</v>
      </c>
      <c r="B62" s="547"/>
      <c r="C62" s="547"/>
      <c r="D62" s="547" t="s">
        <v>890</v>
      </c>
      <c r="E62" s="2605" t="s">
        <v>844</v>
      </c>
      <c r="F62" s="2602"/>
      <c r="G62" s="2602"/>
      <c r="H62" s="1418"/>
      <c r="I62" s="1417"/>
    </row>
    <row r="63" ht="13.5" spans="1:35">
      <c r="A63" s="2606" t="s">
        <v>891</v>
      </c>
      <c r="B63" s="606" t="s">
        <v>892</v>
      </c>
      <c r="C63" s="2607" t="e">
        <f ca="1">ROUND((C64+C65)/(1+'数据-取费表'!C42),0)</f>
        <v>#REF!</v>
      </c>
      <c r="D63" s="606"/>
      <c r="E63" s="2608"/>
      <c r="F63" s="2602"/>
      <c r="G63" s="2602"/>
      <c r="H63" s="1418"/>
      <c r="I63" s="1417"/>
      <c r="J63" s="2647" t="s">
        <v>893</v>
      </c>
      <c r="K63" s="2647" t="s">
        <v>894</v>
      </c>
      <c r="L63" s="2647" t="e">
        <f ca="1">IF(M49&gt;10000,M49*0.5%,IF(AND(M49&gt;1000,M49&lt;=10000),M49*1%,IF(AND(M49&gt;100,M49&lt;=1000),M49*3%,IF(AND(M49&gt;10,M49&lt;=100),M49*5%,M49*8%))))</f>
        <v>#VALUE!</v>
      </c>
      <c r="M63" s="2096" t="e">
        <f ca="1">ROUND(L63,1)</f>
        <v>#VALUE!</v>
      </c>
      <c r="N63" s="2648"/>
      <c r="Z63" s="2453"/>
      <c r="AI63" s="2454"/>
    </row>
    <row r="64" ht="14.25" customHeight="1" spans="1:35">
      <c r="A64" s="2609" t="s">
        <v>895</v>
      </c>
      <c r="B64" s="525" t="s">
        <v>896</v>
      </c>
      <c r="C64" s="2610" t="e">
        <f ca="1">D45</f>
        <v>#REF!</v>
      </c>
      <c r="D64" s="525" t="s">
        <v>124</v>
      </c>
      <c r="E64" s="2611"/>
      <c r="F64" s="2602"/>
      <c r="G64" s="2602"/>
      <c r="H64" s="1418"/>
      <c r="I64" s="1417"/>
      <c r="J64" s="2647"/>
      <c r="K64" s="2647" t="s">
        <v>897</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898</v>
      </c>
      <c r="Z64" s="2453"/>
      <c r="AI64" s="2454"/>
    </row>
    <row r="65" ht="14.25" customHeight="1" spans="1:35">
      <c r="A65" s="2609" t="s">
        <v>899</v>
      </c>
      <c r="B65" s="525" t="s">
        <v>900</v>
      </c>
      <c r="C65" s="2650"/>
      <c r="D65" s="525"/>
      <c r="E65" s="2611"/>
      <c r="F65" s="2602"/>
      <c r="G65" s="2602"/>
      <c r="H65" s="1418"/>
      <c r="I65" s="1417"/>
      <c r="J65" s="2647"/>
      <c r="K65" s="2647" t="s">
        <v>901</v>
      </c>
      <c r="L65" s="2647" t="e">
        <f ca="1">IF(M49&gt;1000,M49*0.1%,IF(AND(M49&gt;500,M49&lt;=1000),M49*0.5%,IF(AND(M49&gt;50,M49&lt;=500),M49*1%,IF(AND(M49&gt;1,M49&lt;=50),M49*1.5%))))</f>
        <v>#VALUE!</v>
      </c>
      <c r="M65" s="2096" t="e">
        <f ca="1" t="shared" si="1"/>
        <v>#VALUE!</v>
      </c>
      <c r="N65" s="2262" t="s">
        <v>898</v>
      </c>
      <c r="Z65" s="2453"/>
      <c r="AI65" s="2454"/>
    </row>
    <row r="66" ht="14.25" customHeight="1" spans="1:35">
      <c r="A66" s="2606" t="s">
        <v>902</v>
      </c>
      <c r="B66" s="2651" t="s">
        <v>903</v>
      </c>
      <c r="C66" s="2652"/>
      <c r="D66" s="2651" t="s">
        <v>124</v>
      </c>
      <c r="E66" s="2653" t="s">
        <v>904</v>
      </c>
      <c r="F66" s="2602"/>
      <c r="G66" s="2602"/>
      <c r="H66" s="1418"/>
      <c r="I66" s="1417"/>
      <c r="J66" s="2647"/>
      <c r="K66" s="2647" t="s">
        <v>905</v>
      </c>
      <c r="L66" s="2647" t="e">
        <f ca="1">M49*0.5%</f>
        <v>#VALUE!</v>
      </c>
      <c r="M66" s="2096" t="e">
        <f ca="1">IF(L66&gt;0.5,0.5,ROUND(L66,0))</f>
        <v>#VALUE!</v>
      </c>
      <c r="N66" s="2262" t="s">
        <v>906</v>
      </c>
      <c r="Z66" s="2453"/>
      <c r="AI66" s="2454"/>
    </row>
    <row r="67" ht="14.25" customHeight="1" spans="1:35">
      <c r="A67" s="2606" t="s">
        <v>907</v>
      </c>
      <c r="B67" s="2651" t="s">
        <v>908</v>
      </c>
      <c r="C67" s="2654" t="e">
        <f ca="1">C63-C66</f>
        <v>#REF!</v>
      </c>
      <c r="D67" s="525" t="s">
        <v>124</v>
      </c>
      <c r="E67" s="2611"/>
      <c r="F67" s="2602"/>
      <c r="G67" s="2602"/>
      <c r="H67" s="1418"/>
      <c r="I67" s="1417"/>
      <c r="J67" s="2647"/>
      <c r="K67" s="2647" t="s">
        <v>909</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910</v>
      </c>
      <c r="B68" s="2656" t="s">
        <v>911</v>
      </c>
      <c r="C68" s="2657" t="e">
        <f ca="1">IF(C67&lt;=0,0,ROUND(C67*D68,0))</f>
        <v>#REF!</v>
      </c>
      <c r="D68" s="796">
        <f>'数据-取费表'!B41</f>
        <v>0.056</v>
      </c>
      <c r="E68" s="2658"/>
      <c r="F68" s="2602"/>
      <c r="G68" s="2602"/>
      <c r="H68" s="1418"/>
      <c r="I68" s="1417"/>
      <c r="J68" s="2647"/>
      <c r="K68" s="2647" t="s">
        <v>912</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913</v>
      </c>
      <c r="L69" s="2647"/>
      <c r="M69" s="2096" t="e">
        <f ca="1">ROUND(SUM(M63:M68),0)</f>
        <v>#VALUE!</v>
      </c>
      <c r="N69" s="2757" t="e">
        <f ca="1">M69/M49</f>
        <v>#VALUE!</v>
      </c>
      <c r="Z69" s="2453"/>
      <c r="AI69" s="2454"/>
    </row>
    <row r="70" s="906" customFormat="1" ht="15" spans="1:35">
      <c r="A70" s="2663" t="s">
        <v>914</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889</v>
      </c>
      <c r="B71" s="547"/>
      <c r="C71" s="547"/>
      <c r="D71" s="547" t="s">
        <v>890</v>
      </c>
      <c r="E71" s="2665" t="s">
        <v>844</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891</v>
      </c>
      <c r="B72" s="2651" t="s">
        <v>915</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902</v>
      </c>
      <c r="B73" s="2568" t="s">
        <v>916</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895</v>
      </c>
      <c r="B74" s="525" t="s">
        <v>917</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918</v>
      </c>
      <c r="B75" s="525" t="s">
        <v>919</v>
      </c>
      <c r="C75" s="598"/>
      <c r="D75" s="525" t="s">
        <v>124</v>
      </c>
      <c r="E75" s="2669" t="s">
        <v>920</v>
      </c>
      <c r="F75" s="2670"/>
      <c r="G75" s="2669" t="s">
        <v>921</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922</v>
      </c>
      <c r="B76" s="2672" t="s">
        <v>923</v>
      </c>
      <c r="C76" s="525">
        <f>IF(F75="购房发票",ROUND(C75*H75*D76,0),0)</f>
        <v>0</v>
      </c>
      <c r="D76" s="2673">
        <v>0.05</v>
      </c>
      <c r="E76" s="2129" t="s">
        <v>924</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925</v>
      </c>
      <c r="B77" s="525" t="s">
        <v>926</v>
      </c>
      <c r="C77" s="525">
        <f>ROUND(IF(G77="个人住宅",0,IF(G77="2016年5月1日前购买",C75*D77,C75*D77/(1+'数据-取费表'!C42))),0)</f>
        <v>0</v>
      </c>
      <c r="D77" s="2675">
        <f>'数据-取费表'!B48+'数据-取费表'!B49</f>
        <v>0.0305</v>
      </c>
      <c r="E77" s="2248" t="s">
        <v>927</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899</v>
      </c>
      <c r="B78" s="525" t="s">
        <v>928</v>
      </c>
      <c r="C78" s="2678" t="e">
        <f ca="1">ROUND(D45*D78/(1+'数据-取费表'!C42),0)</f>
        <v>#REF!</v>
      </c>
      <c r="D78" s="2679">
        <f>'数据-取费表'!B43</f>
        <v>0.006</v>
      </c>
      <c r="E78" s="2680" t="s">
        <v>929</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907</v>
      </c>
      <c r="B79" s="2651" t="s">
        <v>930</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910</v>
      </c>
      <c r="B80" s="2651" t="s">
        <v>931</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932</v>
      </c>
      <c r="B81" s="2656" t="s">
        <v>933</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934</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889</v>
      </c>
      <c r="B84" s="547"/>
      <c r="C84" s="547"/>
      <c r="D84" s="547" t="s">
        <v>890</v>
      </c>
      <c r="E84" s="2665" t="s">
        <v>844</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891</v>
      </c>
      <c r="B85" s="2651" t="s">
        <v>915</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902</v>
      </c>
      <c r="B86" s="2568" t="s">
        <v>916</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895</v>
      </c>
      <c r="B87" s="525" t="s">
        <v>935</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918</v>
      </c>
      <c r="B88" s="525" t="s">
        <v>936</v>
      </c>
      <c r="C88" s="2693"/>
      <c r="D88" s="2679"/>
      <c r="E88" s="2694" t="s">
        <v>937</v>
      </c>
      <c r="F88" s="2681"/>
      <c r="G88" s="2695" t="s">
        <v>938</v>
      </c>
      <c r="H88" s="2696"/>
      <c r="I88" s="814"/>
      <c r="J88" s="2762" t="s">
        <v>939</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922</v>
      </c>
      <c r="B89" s="525" t="s">
        <v>926</v>
      </c>
      <c r="C89" s="2678">
        <f>ROUND(C88*D89,0)</f>
        <v>0</v>
      </c>
      <c r="D89" s="2679">
        <f>'数据-取费表'!B48+'数据-取费表'!B49</f>
        <v>0.0305</v>
      </c>
      <c r="E89" s="2694" t="s">
        <v>940</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899</v>
      </c>
      <c r="B90" s="525" t="s">
        <v>941</v>
      </c>
      <c r="C90" s="2693"/>
      <c r="D90" s="2679"/>
      <c r="E90" s="2694" t="str">
        <f>IF(H88="-","土地取得成本中已包含该笔费用"," ")</f>
        <v> </v>
      </c>
      <c r="F90" s="2681"/>
      <c r="G90" s="2697" t="s">
        <v>942</v>
      </c>
      <c r="H90" s="2698"/>
      <c r="I90" s="814"/>
      <c r="J90" s="2762" t="s">
        <v>943</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944</v>
      </c>
      <c r="B91" s="525" t="s">
        <v>945</v>
      </c>
      <c r="C91" s="2678">
        <f ca="1">IF(H91="——",成本法!C33,I91)</f>
        <v>0</v>
      </c>
      <c r="D91" s="2679"/>
      <c r="E91" s="2680" t="s">
        <v>946</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947</v>
      </c>
      <c r="B92" s="525" t="s">
        <v>948</v>
      </c>
      <c r="C92" s="2678">
        <f ca="1">ROUND((C87+C90+C91)*D92,0)</f>
        <v>0</v>
      </c>
      <c r="D92" s="2700"/>
      <c r="E92" s="2680" t="s">
        <v>949</v>
      </c>
      <c r="F92" s="2681"/>
      <c r="G92" s="2681"/>
      <c r="H92" s="2682"/>
      <c r="I92" s="814"/>
      <c r="J92" s="2764" t="s">
        <v>950</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951</v>
      </c>
      <c r="B93" s="525" t="s">
        <v>928</v>
      </c>
      <c r="C93" s="2678" t="e">
        <f ca="1">ROUND(D45*D93/(1+'数据-取费表'!C42),0)</f>
        <v>#REF!</v>
      </c>
      <c r="D93" s="2679">
        <f>'数据-取费表'!B43</f>
        <v>0.006</v>
      </c>
      <c r="E93" s="2680" t="s">
        <v>929</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952</v>
      </c>
      <c r="B94" s="525" t="s">
        <v>953</v>
      </c>
      <c r="C94" s="2693">
        <f ca="1">ROUND((C87+C90+C91)*D94,0)</f>
        <v>0</v>
      </c>
      <c r="D94" s="2679">
        <v>0.2</v>
      </c>
      <c r="E94" s="2701" t="s">
        <v>954</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907</v>
      </c>
      <c r="B95" s="2651" t="s">
        <v>930</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910</v>
      </c>
      <c r="B96" s="2651" t="s">
        <v>931</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932</v>
      </c>
      <c r="B97" s="2656" t="s">
        <v>933</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955</v>
      </c>
      <c r="B99" s="2241"/>
      <c r="C99" s="2241"/>
      <c r="D99" s="2241"/>
      <c r="E99" s="2601"/>
      <c r="F99" s="2601"/>
      <c r="G99" s="2601"/>
      <c r="H99" s="2550"/>
      <c r="I99" s="1417"/>
    </row>
    <row r="100" ht="18.75" customHeight="1" spans="1:9">
      <c r="A100" s="2705" t="s">
        <v>956</v>
      </c>
      <c r="B100" s="2706"/>
      <c r="C100" s="2706"/>
      <c r="D100" s="2707"/>
      <c r="E100" s="2706" t="s">
        <v>957</v>
      </c>
      <c r="F100" s="2706"/>
      <c r="G100" s="2706"/>
      <c r="H100" s="2707"/>
      <c r="I100" s="1417"/>
    </row>
    <row r="101" ht="18.75" customHeight="1" spans="1:9">
      <c r="A101" s="2708" t="s">
        <v>958</v>
      </c>
      <c r="B101" s="2709"/>
      <c r="C101" s="2710">
        <f>C4</f>
        <v>0</v>
      </c>
      <c r="D101" s="2711">
        <f>D4</f>
        <v>0</v>
      </c>
      <c r="E101" s="2712" t="s">
        <v>959</v>
      </c>
      <c r="F101" s="2713"/>
      <c r="G101" s="2714" t="s">
        <v>960</v>
      </c>
      <c r="H101" s="2715" t="e">
        <f ca="1">H118</f>
        <v>#REF!</v>
      </c>
      <c r="I101" s="1417"/>
    </row>
    <row r="102" ht="18.75" customHeight="1" spans="1:9">
      <c r="A102" s="2716" t="s">
        <v>961</v>
      </c>
      <c r="B102" s="2717" t="s">
        <v>960</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962</v>
      </c>
      <c r="F103" s="2721"/>
      <c r="G103" s="2722" t="s">
        <v>102</v>
      </c>
      <c r="H103" s="2715">
        <f>IF(D36="正常操作",H104+H105+H106,H105+H106)</f>
        <v>0</v>
      </c>
      <c r="I103" s="1417"/>
    </row>
    <row r="104" ht="18.75" customHeight="1" spans="1:9">
      <c r="A104" s="2716" t="s">
        <v>963</v>
      </c>
      <c r="B104" s="2723" t="s">
        <v>960</v>
      </c>
      <c r="C104" s="2724" t="e">
        <f ca="1">H118</f>
        <v>#REF!</v>
      </c>
      <c r="D104" s="2725"/>
      <c r="E104" s="2534" t="s">
        <v>964</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965</v>
      </c>
      <c r="F105" s="2726"/>
      <c r="G105" s="2722" t="s">
        <v>102</v>
      </c>
      <c r="H105" s="2732">
        <f>C37</f>
        <v>0</v>
      </c>
      <c r="I105" s="1417"/>
    </row>
    <row r="106" ht="18.75" customHeight="1" spans="1:9">
      <c r="A106" s="2241" t="s">
        <v>966</v>
      </c>
      <c r="B106" s="2241"/>
      <c r="C106" s="2241"/>
      <c r="D106" s="2241"/>
      <c r="E106" s="2733" t="s">
        <v>967</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960</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960</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960</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966</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968</v>
      </c>
      <c r="B115" s="2744"/>
      <c r="C115" s="2744"/>
      <c r="D115" s="2744"/>
      <c r="E115" s="2744"/>
      <c r="F115" s="2744"/>
      <c r="G115" s="2744"/>
      <c r="H115" s="2744"/>
      <c r="I115" s="2765"/>
    </row>
    <row r="116" ht="27" customHeight="1" spans="1:9">
      <c r="A116" s="898" t="s">
        <v>969</v>
      </c>
      <c r="B116" s="2745" t="s">
        <v>970</v>
      </c>
      <c r="C116" s="2745" t="s">
        <v>971</v>
      </c>
      <c r="D116" s="2746" t="s">
        <v>972</v>
      </c>
      <c r="E116" s="2747"/>
      <c r="F116" s="2748" t="s">
        <v>973</v>
      </c>
      <c r="G116" s="2748"/>
      <c r="H116" s="898" t="s">
        <v>974</v>
      </c>
      <c r="I116" s="898"/>
    </row>
    <row r="117" ht="18.75" customHeight="1" spans="1:9">
      <c r="A117" s="898"/>
      <c r="B117" s="2749"/>
      <c r="C117" s="2749"/>
      <c r="D117" s="898" t="s">
        <v>975</v>
      </c>
      <c r="E117" s="898" t="s">
        <v>804</v>
      </c>
      <c r="F117" s="898" t="s">
        <v>975</v>
      </c>
      <c r="G117" s="898" t="s">
        <v>804</v>
      </c>
      <c r="H117" s="898" t="s">
        <v>975</v>
      </c>
      <c r="I117" s="898" t="s">
        <v>804</v>
      </c>
    </row>
    <row r="118" ht="24.75" customHeight="1" spans="1:9">
      <c r="A118" s="2750" t="str">
        <f>项目基本情况!S2</f>
        <v>北京市房地产</v>
      </c>
      <c r="B118" s="898">
        <f>M18</f>
        <v>349.48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976</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976</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976</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976</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977</v>
      </c>
      <c r="B129" s="2768"/>
      <c r="C129" s="2769" t="s">
        <v>978</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979</v>
      </c>
      <c r="G135" s="2779"/>
      <c r="H135" s="2779"/>
      <c r="I135" s="2787" t="s">
        <v>980</v>
      </c>
    </row>
    <row r="136" customHeight="1" spans="1:9">
      <c r="A136" s="1377"/>
      <c r="B136" s="2780" t="s">
        <v>981</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982</v>
      </c>
    </row>
    <row r="139" customHeight="1" spans="1:9">
      <c r="A139" s="1377"/>
      <c r="B139" s="2780" t="s">
        <v>983</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982</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440"/>
      <c r="C1" s="347"/>
      <c r="D1" s="347"/>
      <c r="E1" s="347"/>
      <c r="F1" s="347"/>
      <c r="G1" s="2442">
        <f>MATCH(B1,'数据-取费表'!A6:A16,0)+5</f>
        <v>7</v>
      </c>
    </row>
    <row r="2" s="337" customFormat="1" ht="18" customHeight="1" spans="1:7">
      <c r="A2" s="349" t="s">
        <v>985</v>
      </c>
      <c r="B2" s="350" t="e">
        <f ca="1">IF(D2="——",C52,C52-E2)</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448"/>
    </row>
    <row r="9" s="339" customFormat="1" ht="13.5" customHeight="1" spans="1:9">
      <c r="A9" s="372" t="s">
        <v>1000</v>
      </c>
      <c r="B9" s="373" t="s">
        <v>1001</v>
      </c>
      <c r="C9" s="374">
        <f ca="1">ROUND(D9*E9/10000,0)</f>
        <v>0</v>
      </c>
      <c r="D9" s="375">
        <f ca="1">IF(B1="",'数据-汇总表'!E5,IF(INDIRECT("'数据-取费表'!c"&amp;$G$1)="住宅",INDIRECT("'数据-取费表'!k"&amp;$G$1),0))</f>
        <v>0</v>
      </c>
      <c r="E9" s="374">
        <f>'数据-取费表'!B27</f>
        <v>0</v>
      </c>
      <c r="F9" s="369"/>
      <c r="G9" s="2449"/>
      <c r="H9" s="2450"/>
      <c r="I9" s="2451" t="s">
        <v>1002</v>
      </c>
    </row>
    <row r="10" s="339" customFormat="1" ht="13.5" customHeight="1" spans="1:7">
      <c r="A10" s="372" t="s">
        <v>1003</v>
      </c>
      <c r="B10" s="373" t="s">
        <v>1004</v>
      </c>
      <c r="C10" s="374">
        <f ca="1">ROUND(D10*E10/10000,0)</f>
        <v>7</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7</v>
      </c>
      <c r="D19" s="360">
        <f ca="1">D9+D10</f>
        <v>349.48</v>
      </c>
      <c r="E19" s="359">
        <f>'数据-取费表'!B31</f>
        <v>200</v>
      </c>
      <c r="F19" s="381"/>
      <c r="G19" s="2448"/>
    </row>
    <row r="20" s="339" customFormat="1" ht="13.5" customHeight="1" spans="1:7">
      <c r="A20" s="357" t="s">
        <v>1023</v>
      </c>
      <c r="B20" s="358" t="s">
        <v>1024</v>
      </c>
      <c r="C20" s="382">
        <f ca="1">ROUND((C5+C19)*F20,0)</f>
        <v>0</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8">
        <f ca="1">ROUND(SUM(C23:C25),0)</f>
        <v>0</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 ca="1">ROUND(IF('数据-取费表'!B22&lt;=1,F21*F22*'数据-取费表'!B23/2,F21*(POWER((1+F22),'数据-取费表'!B23/2)-1)),4)</f>
        <v>0.001</v>
      </c>
      <c r="D26" s="392"/>
      <c r="E26" s="395"/>
      <c r="F26" s="393"/>
      <c r="G26" s="397"/>
    </row>
    <row r="27" s="339" customFormat="1" ht="24.75" spans="1:7">
      <c r="A27" s="357" t="s">
        <v>1040</v>
      </c>
      <c r="B27" s="398" t="s">
        <v>1041</v>
      </c>
      <c r="C27" s="399">
        <f ca="1">C28</f>
        <v>1</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ROUND((C5+C19+C20)*F27*'数据-取费表'!B21/'数据-取费表'!B20,0)</f>
        <v>1</v>
      </c>
      <c r="D28" s="385"/>
      <c r="E28" s="386"/>
      <c r="F28" s="400"/>
      <c r="G28" s="401"/>
    </row>
    <row r="29" s="339" customFormat="1" ht="13.5" customHeight="1" spans="1:7">
      <c r="A29" s="390" t="s">
        <v>996</v>
      </c>
      <c r="B29" s="402" t="s">
        <v>1044</v>
      </c>
      <c r="C29" s="392">
        <f ca="1">ROUND(C21*F27*'数据-取费表'!B21/'数据-取费表'!B20,4)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9</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7</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1057</v>
      </c>
    </row>
    <row r="37" s="341" customFormat="1" ht="13.5" customHeight="1" spans="1:7">
      <c r="A37" s="390" t="s">
        <v>1038</v>
      </c>
      <c r="B37" s="363" t="s">
        <v>1058</v>
      </c>
      <c r="C37" s="403">
        <f ca="1">ROUND(E37*D37*F34/10000,0)</f>
        <v>7</v>
      </c>
      <c r="D37" s="365">
        <f ca="1">D19</f>
        <v>349.48</v>
      </c>
      <c r="E37" s="403">
        <f>'数据-取费表'!B35</f>
        <v>200</v>
      </c>
      <c r="F37" s="412"/>
      <c r="G37" s="414" t="s">
        <v>1059</v>
      </c>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0</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0</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0</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 ca="1">ROUND(IF('数据-取费表'!B22&lt;=1,C40*F22*'数据-取费表'!B21/2,C40*(POWER((1+F22),'数据-取费表'!B21/2)-1)),4)</f>
        <v>0.001</v>
      </c>
      <c r="D44" s="392"/>
      <c r="E44" s="392"/>
      <c r="F44" s="393"/>
      <c r="G44" s="418"/>
    </row>
    <row r="45" s="339" customFormat="1" ht="13.5" customHeight="1" spans="1:7">
      <c r="A45" s="357" t="s">
        <v>1030</v>
      </c>
      <c r="B45" s="398" t="s">
        <v>1041</v>
      </c>
      <c r="C45" s="399">
        <f ca="1">C46</f>
        <v>1</v>
      </c>
      <c r="D45" s="385">
        <f ca="1">C47</f>
        <v>0.006</v>
      </c>
      <c r="E45" s="386" t="s">
        <v>1062</v>
      </c>
      <c r="F45" s="400">
        <f ca="1">F27</f>
        <v>0.2</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385">
        <f>ROUND(F30/(1+'数据-取费表'!C42),4)</f>
        <v>0.0533</v>
      </c>
      <c r="D48" s="386" t="s">
        <v>1062</v>
      </c>
      <c r="E48" s="382"/>
      <c r="F48" s="389">
        <f>F30</f>
        <v>0.056</v>
      </c>
      <c r="G48" s="387" t="s">
        <v>1068</v>
      </c>
    </row>
    <row r="49" ht="16.5" customHeight="1" spans="1:7">
      <c r="A49" s="357" t="s">
        <v>1045</v>
      </c>
      <c r="B49" s="358" t="s">
        <v>1069</v>
      </c>
      <c r="C49" s="382">
        <f ca="1">ROUND((C33+C39+C41+C45)/(1-C40-D41-D45-C48),0)</f>
        <v>9</v>
      </c>
      <c r="D49" s="382"/>
      <c r="E49" s="382"/>
      <c r="F49" s="420"/>
      <c r="G49" s="387" t="s">
        <v>1070</v>
      </c>
    </row>
    <row r="50" s="341" customFormat="1" ht="24" spans="1:7">
      <c r="A50" s="357" t="s">
        <v>1071</v>
      </c>
      <c r="B50" s="358" t="s">
        <v>1072</v>
      </c>
      <c r="C50" s="382"/>
      <c r="D50" s="382"/>
      <c r="E50" s="382"/>
      <c r="F50" s="420" t="e">
        <f>IF('数据-取费表'!B24=0,'数据-取费表'!N16,1)</f>
        <v>#DIV/0!</v>
      </c>
      <c r="G50" s="401" t="s">
        <v>1073</v>
      </c>
    </row>
    <row r="51" ht="16.5" customHeight="1" spans="1:7">
      <c r="A51" s="357" t="s">
        <v>1074</v>
      </c>
      <c r="B51" s="358" t="s">
        <v>1075</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郑燚（注册号：1120070131)、吴薇（注册号：1419970001)</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440"/>
      <c r="C1" s="2441" t="s">
        <v>1081</v>
      </c>
      <c r="D1" s="347"/>
      <c r="E1" s="347"/>
      <c r="F1" s="347"/>
      <c r="G1" s="2442">
        <f>MATCH(B1,'数据-取费表'!A6:A16,0)+5</f>
        <v>7</v>
      </c>
      <c r="H1" s="1813" t="str">
        <f>IF(ISERROR(FIND("住宅",B1)),"非住宅","住宅")</f>
        <v>非住宅</v>
      </c>
    </row>
    <row r="2" s="337" customFormat="1" ht="18" customHeight="1" spans="1:7">
      <c r="A2" s="349" t="s">
        <v>985</v>
      </c>
      <c r="B2" s="2443" t="e">
        <f ca="1">ROUND(IF(D2="——",C52/10000,C52/10000-E2),4)</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69896</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IF(G8="已包含在土地购买价格中",0,C9+C10)</f>
        <v>69896</v>
      </c>
      <c r="D8" s="370"/>
      <c r="E8" s="368"/>
      <c r="F8" s="369"/>
      <c r="G8" s="2448"/>
    </row>
    <row r="9" s="339" customFormat="1" ht="13.5" customHeight="1" spans="1:7">
      <c r="A9" s="372" t="s">
        <v>1000</v>
      </c>
      <c r="B9" s="373" t="s">
        <v>1001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1003</v>
      </c>
      <c r="B10" s="373" t="s">
        <v>1004</v>
      </c>
      <c r="C10" s="374">
        <f ca="1">ROUND(D10*E10,0)</f>
        <v>69896</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69896</v>
      </c>
      <c r="D19" s="360">
        <f ca="1">D9+D10</f>
        <v>349.48</v>
      </c>
      <c r="E19" s="359">
        <f>'数据-取费表'!B31</f>
        <v>200</v>
      </c>
      <c r="F19" s="381"/>
      <c r="G19" s="2448"/>
    </row>
    <row r="20" s="339" customFormat="1" ht="13.5" customHeight="1" spans="1:7">
      <c r="A20" s="357" t="s">
        <v>1023</v>
      </c>
      <c r="B20" s="358" t="s">
        <v>1024</v>
      </c>
      <c r="C20" s="382">
        <f ca="1">ROUND((C5+C19)*F20,0)</f>
        <v>4194</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2">
        <f ca="1">ROUND(SUM(C23:C25),0)</f>
        <v>9957</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4906</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4906</v>
      </c>
      <c r="D24" s="392"/>
      <c r="E24" s="392"/>
      <c r="F24" s="393"/>
      <c r="G24" s="394" t="s">
        <v>1035</v>
      </c>
    </row>
    <row r="25" s="339" customFormat="1" ht="24" spans="1:7">
      <c r="A25" s="390" t="s">
        <v>998</v>
      </c>
      <c r="B25" s="363" t="s">
        <v>1036</v>
      </c>
      <c r="C25" s="392">
        <f ca="1">ROUND(IF('数据-取费表'!B22&lt;=1,C20*F22*'数据-取费表'!B22/2,C20*(POWER((1+F22),'数据-取费表'!B22/2)-1)),0)</f>
        <v>145</v>
      </c>
      <c r="D25" s="392"/>
      <c r="E25" s="395"/>
      <c r="F25" s="393"/>
      <c r="G25" s="396" t="s">
        <v>1037</v>
      </c>
    </row>
    <row r="26" s="339" customFormat="1" spans="1:7">
      <c r="A26" s="390" t="s">
        <v>1038</v>
      </c>
      <c r="B26" s="363" t="s">
        <v>1039</v>
      </c>
      <c r="C26" s="392">
        <f ca="1">ROUND(IF('数据-取费表'!B22&lt;=1,F21*F22*'数据-取费表'!B22/2,F21*(POWER((1+F22),'数据-取费表'!B22/2)-1)),4)</f>
        <v>0.001</v>
      </c>
      <c r="D26" s="392"/>
      <c r="E26" s="395"/>
      <c r="F26" s="393"/>
      <c r="G26" s="397"/>
    </row>
    <row r="27" s="339" customFormat="1" ht="24.75" spans="1:7">
      <c r="A27" s="357" t="s">
        <v>1040</v>
      </c>
      <c r="B27" s="398" t="s">
        <v>1041</v>
      </c>
      <c r="C27" s="399">
        <f ca="1">C28</f>
        <v>28797</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ROUND((C5+C19+C20)*F27,0)</f>
        <v>28797</v>
      </c>
      <c r="D28" s="385"/>
      <c r="E28" s="386"/>
      <c r="F28" s="400"/>
      <c r="G28" s="401"/>
    </row>
    <row r="29" s="339" customFormat="1" ht="13.5" customHeight="1" spans="1:7">
      <c r="A29" s="390" t="s">
        <v>996</v>
      </c>
      <c r="B29" s="402" t="s">
        <v>1044</v>
      </c>
      <c r="C29" s="392">
        <f ca="1">ROUND(C21*F27,4)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200879</v>
      </c>
      <c r="D31" s="405"/>
      <c r="E31" s="359"/>
      <c r="F31" s="406"/>
      <c r="G31" s="387" t="s">
        <v>1049</v>
      </c>
    </row>
    <row r="32" s="338" customFormat="1" ht="15.75" spans="1:7">
      <c r="A32" s="407" t="s">
        <v>1082</v>
      </c>
      <c r="B32" s="408"/>
      <c r="C32" s="408"/>
      <c r="D32" s="408"/>
      <c r="E32" s="408"/>
      <c r="F32" s="408"/>
      <c r="G32" s="409"/>
    </row>
    <row r="33" s="339" customFormat="1" ht="13.5" customHeight="1" spans="1:7">
      <c r="A33" s="357" t="s">
        <v>990</v>
      </c>
      <c r="B33" s="358" t="s">
        <v>1083</v>
      </c>
      <c r="C33" s="410">
        <f ca="1">SUM(C34:C38)</f>
        <v>69896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ROUND(IF(B1="",SUM('数据-取费表'!AP6:AP13)*F36,IF(INDIRECT("'数据-取费表'!c"&amp;$G$1)="住宅",INDIRECT("'数据-取费表'!k"&amp;$G$1)*INDIRECT("'数据-取费表'!l"&amp;$G$1)*F36,0)),0)</f>
        <v>0</v>
      </c>
      <c r="D36" s="368"/>
      <c r="E36" s="368"/>
      <c r="F36" s="412">
        <f>'数据-取费表'!B34</f>
        <v>0</v>
      </c>
      <c r="G36" s="413" t="s">
        <v>1057</v>
      </c>
    </row>
    <row r="37" s="341" customFormat="1" ht="13.5" customHeight="1" spans="1:7">
      <c r="A37" s="390" t="s">
        <v>1038</v>
      </c>
      <c r="B37" s="363" t="s">
        <v>1058</v>
      </c>
      <c r="C37" s="403">
        <f ca="1">ROUND(E37*D37,0)</f>
        <v>69896</v>
      </c>
      <c r="D37" s="365">
        <f ca="1">D19</f>
        <v>349.48</v>
      </c>
      <c r="E37" s="403">
        <f>'数据-取费表'!B35</f>
        <v>200</v>
      </c>
      <c r="F37" s="412"/>
      <c r="G37" s="414"/>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2097</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2483</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2411</v>
      </c>
      <c r="D42" s="392"/>
      <c r="E42" s="392"/>
      <c r="F42" s="393"/>
      <c r="G42" s="416" t="s">
        <v>1084</v>
      </c>
    </row>
    <row r="43" ht="13.5" customHeight="1" spans="1:7">
      <c r="A43" s="390" t="s">
        <v>996</v>
      </c>
      <c r="B43" s="363" t="s">
        <v>1034</v>
      </c>
      <c r="C43" s="392">
        <f ca="1">ROUND(IF('数据-取费表'!B22&lt;=1,C39*F22*'数据-取费表'!B20/2,C39*(POWER((1+F22),'数据-取费表'!B20/2)-1)),0)</f>
        <v>72</v>
      </c>
      <c r="D43" s="392"/>
      <c r="E43" s="392"/>
      <c r="F43" s="393"/>
      <c r="G43" s="417"/>
    </row>
    <row r="44" ht="13.5" customHeight="1" spans="1:7">
      <c r="A44" s="390" t="s">
        <v>998</v>
      </c>
      <c r="B44" s="363" t="s">
        <v>1036</v>
      </c>
      <c r="C44" s="392">
        <f ca="1">ROUND(IF('数据-取费表'!B22&lt;=1,C40*F22*'数据-取费表'!B20/2,C40*(POWER((1+F22),'数据-取费表'!B20/2)-1)),4)</f>
        <v>0.001</v>
      </c>
      <c r="D44" s="392"/>
      <c r="E44" s="392"/>
      <c r="F44" s="393"/>
      <c r="G44" s="418"/>
    </row>
    <row r="45" s="339" customFormat="1" ht="13.5" customHeight="1" spans="1:7">
      <c r="A45" s="357" t="s">
        <v>1030</v>
      </c>
      <c r="B45" s="398" t="s">
        <v>1041</v>
      </c>
      <c r="C45" s="399">
        <f ca="1">C46</f>
        <v>14399</v>
      </c>
      <c r="D45" s="385">
        <f ca="1">C47</f>
        <v>0.006</v>
      </c>
      <c r="E45" s="386" t="s">
        <v>1062</v>
      </c>
      <c r="F45" s="400">
        <f ca="1">F27</f>
        <v>0.2</v>
      </c>
      <c r="G45" s="401" t="s">
        <v>1065</v>
      </c>
    </row>
    <row r="46" s="339" customFormat="1" ht="13.5" customHeight="1" spans="1:7">
      <c r="A46" s="390" t="s">
        <v>994</v>
      </c>
      <c r="B46" s="402" t="s">
        <v>1066</v>
      </c>
      <c r="C46" s="403">
        <f ca="1">ROUND((C33+C39)*F27,0)</f>
        <v>14399</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415">
        <f>ROUND(F30/(1+'数据-取费表'!C42),4)</f>
        <v>0.0533</v>
      </c>
      <c r="D48" s="386" t="s">
        <v>1062</v>
      </c>
      <c r="E48" s="382"/>
      <c r="F48" s="389">
        <f>F30</f>
        <v>0.056</v>
      </c>
      <c r="G48" s="387" t="s">
        <v>1068</v>
      </c>
    </row>
    <row r="49" ht="16.5" customHeight="1" spans="1:7">
      <c r="A49" s="357" t="s">
        <v>1045</v>
      </c>
      <c r="B49" s="358" t="s">
        <v>1085</v>
      </c>
      <c r="C49" s="382">
        <f ca="1">ROUND((C33+C39+C41+C45)/(1-C40-D41-D45-C48),0)</f>
        <v>97697</v>
      </c>
      <c r="D49" s="382"/>
      <c r="E49" s="382"/>
      <c r="F49" s="420"/>
      <c r="G49" s="387" t="s">
        <v>1070</v>
      </c>
    </row>
    <row r="50" s="341" customFormat="1" spans="1:7">
      <c r="A50" s="357" t="s">
        <v>1071</v>
      </c>
      <c r="B50" s="358" t="s">
        <v>1072</v>
      </c>
      <c r="C50" s="382"/>
      <c r="D50" s="382"/>
      <c r="E50" s="382"/>
      <c r="F50" s="420" t="e">
        <f>IF('数据-取费表'!B24=0,'数据-取费表'!N16,1)</f>
        <v>#DIV/0!</v>
      </c>
      <c r="G50" s="401"/>
    </row>
    <row r="51" ht="16.5" customHeight="1" spans="1:7">
      <c r="A51" s="357" t="s">
        <v>1074</v>
      </c>
      <c r="B51" s="358" t="s">
        <v>1086</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1087</v>
      </c>
      <c r="B1" s="1417"/>
      <c r="C1" s="2358"/>
      <c r="D1" s="2359"/>
      <c r="E1" s="2360"/>
      <c r="F1" s="2360"/>
      <c r="G1" s="2361"/>
      <c r="H1" s="2360"/>
      <c r="I1" s="2360"/>
      <c r="J1" s="2360"/>
      <c r="K1" s="2428">
        <f>MATCH(C1,'数据-取费表'!A6:A16,0)+5</f>
        <v>7</v>
      </c>
    </row>
    <row r="2" ht="18" customHeight="1" spans="1:11">
      <c r="A2" s="349" t="s">
        <v>985</v>
      </c>
      <c r="B2" s="353">
        <f ca="1">C32</f>
        <v>-8</v>
      </c>
      <c r="C2" s="2362" t="s">
        <v>1088</v>
      </c>
      <c r="D2" s="2362"/>
      <c r="E2" s="2360"/>
      <c r="F2" s="2360"/>
      <c r="G2" s="2360"/>
      <c r="H2" s="2360"/>
      <c r="I2" s="2360"/>
      <c r="J2" s="2360"/>
      <c r="K2" s="2360"/>
    </row>
    <row r="3" ht="18" customHeight="1" spans="1:11">
      <c r="A3" s="352" t="s">
        <v>987</v>
      </c>
      <c r="B3" s="353">
        <f ca="1">ROUND(B2*10000/IF(C1="",'数据-汇总表'!E3,INDIRECT("'数据-取费表'!K"&amp;$K$1)),0)</f>
        <v>-229</v>
      </c>
      <c r="C3" s="2362" t="s">
        <v>1089</v>
      </c>
      <c r="D3" s="2362"/>
      <c r="E3" s="2360"/>
      <c r="F3" s="2360"/>
      <c r="G3" s="2360"/>
      <c r="H3" s="2360"/>
      <c r="I3" s="2360"/>
      <c r="J3" s="2360"/>
      <c r="K3" s="2360"/>
    </row>
    <row r="4" s="2348" customFormat="1" ht="16.5" customHeight="1" spans="1:11">
      <c r="A4" s="2363" t="s">
        <v>1090</v>
      </c>
      <c r="B4" s="2364"/>
      <c r="C4" s="2365">
        <f>SUM(C8:K8)</f>
        <v>0</v>
      </c>
      <c r="D4" s="2364"/>
      <c r="E4" s="2364"/>
      <c r="F4" s="2364"/>
      <c r="G4" s="2364"/>
      <c r="H4" s="2364"/>
      <c r="I4" s="2364"/>
      <c r="J4" s="2364"/>
      <c r="K4" s="2429"/>
    </row>
    <row r="5" s="2349" customFormat="1" ht="15" spans="1:33">
      <c r="A5" s="2366" t="s">
        <v>1091</v>
      </c>
      <c r="B5" s="2367" t="s">
        <v>1092</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895</v>
      </c>
      <c r="B6" s="2138" t="s">
        <v>1093</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899</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944</v>
      </c>
      <c r="B8" s="2373" t="s">
        <v>1094</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1095</v>
      </c>
      <c r="B9" s="2364"/>
      <c r="C9" s="2364"/>
      <c r="D9" s="2364"/>
      <c r="E9" s="2364"/>
      <c r="F9" s="2364"/>
      <c r="G9" s="2364"/>
      <c r="H9" s="2364"/>
      <c r="I9" s="2364"/>
      <c r="J9" s="2364"/>
      <c r="K9" s="2429"/>
    </row>
    <row r="10" s="2350" customFormat="1" ht="13.5" customHeight="1" spans="1:11">
      <c r="A10" s="2366" t="s">
        <v>1091</v>
      </c>
      <c r="B10" s="2376" t="s">
        <v>1092</v>
      </c>
      <c r="C10" s="2377" t="s">
        <v>1096</v>
      </c>
      <c r="D10" s="2378" t="s">
        <v>1097</v>
      </c>
      <c r="E10" s="2378" t="s">
        <v>1098</v>
      </c>
      <c r="F10" s="2378" t="s">
        <v>1099</v>
      </c>
      <c r="G10" s="2376"/>
      <c r="H10" s="2379"/>
      <c r="I10" s="2379"/>
      <c r="J10" s="2379"/>
      <c r="K10" s="2434"/>
    </row>
    <row r="11" s="2351" customFormat="1" ht="13.5" customHeight="1" spans="1:11">
      <c r="A11" s="2380" t="s">
        <v>1000</v>
      </c>
      <c r="B11" s="2381" t="s">
        <v>1100</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1003</v>
      </c>
      <c r="B12" s="2381" t="s">
        <v>1101</v>
      </c>
      <c r="C12" s="1428">
        <f ca="1">ROUND(C11*F12,0)</f>
        <v>0</v>
      </c>
      <c r="D12" s="2383"/>
      <c r="E12" s="1378"/>
      <c r="F12" s="2384">
        <f>'数据-取费表'!B33</f>
        <v>0.05</v>
      </c>
      <c r="G12" s="2376" t="s">
        <v>1102</v>
      </c>
      <c r="H12" s="2379"/>
      <c r="I12" s="2379"/>
      <c r="J12" s="2379"/>
      <c r="K12" s="2434"/>
    </row>
    <row r="13" s="2351" customFormat="1" ht="13.5" customHeight="1" spans="1:11">
      <c r="A13" s="2380" t="s">
        <v>1103</v>
      </c>
      <c r="B13" s="2381" t="s">
        <v>1104</v>
      </c>
      <c r="C13" s="1428">
        <f ca="1">ROUND(IF(C1="",SUMIF('数据-取费表'!C:C,"住宅",'数据-取费表'!P:P)*F13,IF(INDIRECT("'数据-取费表'!c"&amp;$K$1)="住宅",INDIRECT("'数据-取费表'!P"&amp;$K$1)*F13,0)),0)</f>
        <v>0</v>
      </c>
      <c r="D13" s="2385"/>
      <c r="E13" s="1378"/>
      <c r="F13" s="2384">
        <f>'数据-取费表'!B34</f>
        <v>0</v>
      </c>
      <c r="G13" s="2376" t="s">
        <v>1105</v>
      </c>
      <c r="H13" s="2379"/>
      <c r="I13" s="2379"/>
      <c r="J13" s="2379"/>
      <c r="K13" s="2434"/>
    </row>
    <row r="14" s="2352" customFormat="1" ht="13.5" customHeight="1" spans="1:33">
      <c r="A14" s="2380" t="s">
        <v>1106</v>
      </c>
      <c r="B14" s="2381" t="s">
        <v>1107</v>
      </c>
      <c r="C14" s="1428">
        <f ca="1">ROUND(D14*E14*F11/10000,0)</f>
        <v>0</v>
      </c>
      <c r="D14" s="2385">
        <f ca="1">IF(C1="",'数据-汇总表'!E3,INDIRECT("'数据-取费表'!K"&amp;$K$1)+INDIRECT("'数据-取费表'!S"&amp;$K$1))</f>
        <v>349.48</v>
      </c>
      <c r="E14" s="1428">
        <f>'数据-取费表'!B35</f>
        <v>200</v>
      </c>
      <c r="F14" s="2386"/>
      <c r="G14" s="2376" t="s">
        <v>1108</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1109</v>
      </c>
      <c r="B15" s="2381" t="s">
        <v>1110</v>
      </c>
      <c r="C15" s="2387">
        <f ca="1">ROUND(C11*F15,0)</f>
        <v>0</v>
      </c>
      <c r="D15" s="2388"/>
      <c r="E15" s="2387"/>
      <c r="F15" s="2384">
        <f>'数据-取费表'!B36</f>
        <v>0.02</v>
      </c>
      <c r="G15" s="2138" t="s">
        <v>1111</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918</v>
      </c>
      <c r="B16" s="2381" t="s">
        <v>1112</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922</v>
      </c>
      <c r="B17" s="2381" t="s">
        <v>1113</v>
      </c>
      <c r="C17" s="1428">
        <f ca="1">ROUND(D17*E17/10000,0)</f>
        <v>0</v>
      </c>
      <c r="D17" s="2385">
        <f ca="1">D14</f>
        <v>349.48</v>
      </c>
      <c r="E17" s="1428">
        <f>'数据-取费表'!B32</f>
        <v>0</v>
      </c>
      <c r="F17" s="2388"/>
      <c r="G17" s="2138" t="s">
        <v>1114</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1115</v>
      </c>
      <c r="B18" s="2381" t="s">
        <v>1116</v>
      </c>
      <c r="C18" s="1428">
        <f ca="1">C19+C20-IF(C1="",'数据-取费表'!B29,IF(G18="已全部缴纳",C19+C20,H18))</f>
        <v>7</v>
      </c>
      <c r="D18" s="2385"/>
      <c r="E18" s="1428"/>
      <c r="F18" s="2386"/>
      <c r="G18" s="2390"/>
      <c r="H18" s="2391"/>
      <c r="I18" s="2435" t="s">
        <v>1117</v>
      </c>
      <c r="J18" s="2249"/>
      <c r="K18" s="2250"/>
    </row>
    <row r="19" s="2351" customFormat="1" ht="13.5" customHeight="1" spans="1:11">
      <c r="A19" s="2380" t="s">
        <v>1000</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1003</v>
      </c>
      <c r="B20" s="2381" t="s">
        <v>1118</v>
      </c>
      <c r="C20" s="1428">
        <f ca="1">ROUND(D20*E20/10000,0)</f>
        <v>7</v>
      </c>
      <c r="D20" s="2385">
        <f ca="1">IF(C1="",'数据-汇总表'!E6,IF(INDIRECT("'数据-取费表'!c"&amp;$K$1)="住宅",INDIRECT("'数据-取费表'!s"&amp;$K$1),INDIRECT("'数据-取费表'!k"&amp;$K$1)+INDIRECT("'数据-取费表'!s"&amp;$K$1)))</f>
        <v>349.48</v>
      </c>
      <c r="E20" s="1428">
        <f>'数据-取费表'!B28</f>
        <v>200</v>
      </c>
      <c r="F20" s="2386"/>
      <c r="G20" s="2248"/>
      <c r="H20" s="2393"/>
      <c r="I20" s="2393"/>
      <c r="J20" s="2393"/>
      <c r="K20" s="2436"/>
    </row>
    <row r="21" s="2351" customFormat="1" ht="13.5" customHeight="1" spans="1:11">
      <c r="A21" s="2369" t="s">
        <v>895</v>
      </c>
      <c r="B21" s="2394" t="s">
        <v>1119</v>
      </c>
      <c r="C21" s="2395">
        <f ca="1">C16+C17+C18</f>
        <v>7</v>
      </c>
      <c r="D21" s="2396"/>
      <c r="E21" s="2397"/>
      <c r="F21" s="2397"/>
      <c r="G21" s="2138" t="s">
        <v>1120</v>
      </c>
      <c r="H21" s="2249"/>
      <c r="I21" s="2249"/>
      <c r="J21" s="2249"/>
      <c r="K21" s="2250"/>
    </row>
    <row r="22" s="2351" customFormat="1" ht="13.5" customHeight="1" spans="1:11">
      <c r="A22" s="2369" t="s">
        <v>899</v>
      </c>
      <c r="B22" s="2394" t="s">
        <v>1121</v>
      </c>
      <c r="C22" s="2395">
        <f ca="1">ROUND(C21*F22,0)</f>
        <v>0</v>
      </c>
      <c r="D22" s="2397"/>
      <c r="E22" s="2397"/>
      <c r="F22" s="2398">
        <f>'数据-取费表'!B37</f>
        <v>0.03</v>
      </c>
      <c r="G22" s="2376" t="s">
        <v>1122</v>
      </c>
      <c r="H22" s="2379"/>
      <c r="I22" s="2379"/>
      <c r="J22" s="2379"/>
      <c r="K22" s="2434"/>
    </row>
    <row r="23" s="2351" customFormat="1" ht="13.5" customHeight="1" spans="1:11">
      <c r="A23" s="2369" t="s">
        <v>944</v>
      </c>
      <c r="B23" s="2394" t="s">
        <v>1123</v>
      </c>
      <c r="C23" s="2395">
        <f ca="1">ROUND(C4*F23*F11,0)</f>
        <v>0</v>
      </c>
      <c r="D23" s="2397"/>
      <c r="E23" s="2397"/>
      <c r="F23" s="2398">
        <f>'数据-取费表'!B38</f>
        <v>0.03</v>
      </c>
      <c r="G23" s="2376" t="s">
        <v>1124</v>
      </c>
      <c r="H23" s="2379"/>
      <c r="I23" s="2379"/>
      <c r="J23" s="2379"/>
      <c r="K23" s="2434"/>
    </row>
    <row r="24" s="2351" customFormat="1" ht="13.5" customHeight="1" spans="1:11">
      <c r="A24" s="2369" t="s">
        <v>947</v>
      </c>
      <c r="B24" s="2394" t="s">
        <v>1125</v>
      </c>
      <c r="C24" s="2399">
        <f>ROUND(F24/(1+'数据-取费表'!C42),4)</f>
        <v>0.029</v>
      </c>
      <c r="D24" s="2397" t="s">
        <v>1126</v>
      </c>
      <c r="E24" s="2397"/>
      <c r="F24" s="2398">
        <f>IF(项目基本情况!B8="出让",0,'数据-取费表'!B48+'数据-取费表'!B49)</f>
        <v>0.0305</v>
      </c>
      <c r="G24" s="2376" t="s">
        <v>1127</v>
      </c>
      <c r="H24" s="2400"/>
      <c r="I24" s="2400"/>
      <c r="J24" s="2400"/>
      <c r="K24" s="2437"/>
    </row>
    <row r="25" s="2351" customFormat="1" ht="13.5" customHeight="1" spans="1:11">
      <c r="A25" s="2369" t="s">
        <v>951</v>
      </c>
      <c r="B25" s="2396" t="s">
        <v>1128</v>
      </c>
      <c r="C25" s="2401">
        <f ca="1">C27</f>
        <v>0</v>
      </c>
      <c r="D25" s="2399">
        <f ca="1">C26</f>
        <v>0</v>
      </c>
      <c r="E25" s="2402" t="s">
        <v>1126</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918</v>
      </c>
      <c r="B26" s="2404" t="s">
        <v>1129</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922</v>
      </c>
      <c r="B27" s="2404" t="s">
        <v>1130</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952</v>
      </c>
      <c r="B28" s="2411" t="s">
        <v>1131</v>
      </c>
      <c r="C28" s="2412">
        <f ca="1">C30</f>
        <v>1</v>
      </c>
      <c r="D28" s="2399">
        <f ca="1">C29</f>
        <v>0</v>
      </c>
      <c r="E28" s="2402" t="s">
        <v>1126</v>
      </c>
      <c r="F28" s="1609">
        <f ca="1">IF(C1="",'数据-取费表'!Q16,INDIRECT("'数据-取费表'!q"&amp;$K$1))</f>
        <v>0.2</v>
      </c>
      <c r="G28" s="2413"/>
      <c r="H28" s="2400"/>
      <c r="I28" s="2400"/>
      <c r="J28" s="2400"/>
      <c r="K28" s="2437"/>
    </row>
    <row r="29" s="2355" customFormat="1" ht="13.5" customHeight="1" spans="1:11">
      <c r="A29" s="2380" t="s">
        <v>918</v>
      </c>
      <c r="B29" s="2414" t="s">
        <v>1132</v>
      </c>
      <c r="C29" s="2406">
        <f ca="1">ROUND((1+C24)*F28*'数据-取费表'!B24/'数据-取费表'!B20,4)</f>
        <v>0</v>
      </c>
      <c r="D29" s="2406"/>
      <c r="E29" s="2407"/>
      <c r="F29" s="2415"/>
      <c r="G29" s="2138" t="s">
        <v>1133</v>
      </c>
      <c r="H29" s="2249"/>
      <c r="I29" s="2249"/>
      <c r="J29" s="2249"/>
      <c r="K29" s="2250"/>
    </row>
    <row r="30" s="2355" customFormat="1" ht="13.5" customHeight="1" spans="1:11">
      <c r="A30" s="2380" t="s">
        <v>922</v>
      </c>
      <c r="B30" s="2414" t="s">
        <v>1134</v>
      </c>
      <c r="C30" s="2416">
        <f ca="1">ROUND((C21+C22+C23)*F28,0)</f>
        <v>1</v>
      </c>
      <c r="D30" s="2406"/>
      <c r="E30" s="2407"/>
      <c r="F30" s="2415"/>
      <c r="G30" s="2138"/>
      <c r="H30" s="2249"/>
      <c r="I30" s="2249"/>
      <c r="J30" s="2249"/>
      <c r="K30" s="2250"/>
    </row>
    <row r="31" s="2351" customFormat="1" ht="13.5" customHeight="1" spans="1:11">
      <c r="A31" s="2417" t="s">
        <v>1135</v>
      </c>
      <c r="B31" s="2418" t="s">
        <v>1136</v>
      </c>
      <c r="C31" s="2419">
        <f>ROUND(C4*F31/(1+'数据-取费表'!C42),0)</f>
        <v>0</v>
      </c>
      <c r="D31" s="2420"/>
      <c r="E31" s="2421"/>
      <c r="F31" s="2422">
        <f>'数据-取费表'!B41</f>
        <v>0.056</v>
      </c>
      <c r="G31" s="2423" t="s">
        <v>1137</v>
      </c>
      <c r="H31" s="2424"/>
      <c r="I31" s="2424"/>
      <c r="J31" s="2424"/>
      <c r="K31" s="2438"/>
    </row>
    <row r="32" s="2350" customFormat="1" ht="13.5" customHeight="1" spans="1:11">
      <c r="A32" s="1073" t="s">
        <v>1138</v>
      </c>
      <c r="B32" s="2425"/>
      <c r="C32" s="2426">
        <f ca="1">ROUND((C4-C21-C22-C23-C25-C28-C31)/(1+C24+D25+D28),0)</f>
        <v>-8</v>
      </c>
      <c r="D32" s="2425"/>
      <c r="E32" s="2425"/>
      <c r="F32" s="2425"/>
      <c r="G32" s="2427" t="s">
        <v>1139</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340" t="e">
        <f ca="1">C40+J29+L46</f>
        <v>#DIV/0!</v>
      </c>
      <c r="C2" s="2073" t="s">
        <v>1143</v>
      </c>
      <c r="D2" s="2073"/>
      <c r="E2" s="2075"/>
      <c r="F2" s="2076"/>
      <c r="G2" s="2077"/>
      <c r="H2" s="2078"/>
      <c r="I2" s="2078"/>
      <c r="J2" s="2078"/>
      <c r="K2" s="2236"/>
      <c r="L2" s="2078"/>
      <c r="M2" s="2078"/>
    </row>
    <row r="3" ht="18" customHeight="1" spans="1:13">
      <c r="A3" s="2079" t="s">
        <v>1144</v>
      </c>
      <c r="B3" s="2080">
        <f ca="1">IF(ISERROR(B2*10000/F43),0,ROUND(B2*10000/F43,0))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ROUND(F6*F8*F7*(1-F9)/10000,0)</f>
        <v>0</v>
      </c>
      <c r="D6" s="2095" t="s">
        <v>1155</v>
      </c>
      <c r="E6" s="2096" t="s">
        <v>1156</v>
      </c>
      <c r="F6" s="2097">
        <f ca="1">INDIRECT("'数据-取费表'!u"&amp;$G$1)</f>
        <v>0</v>
      </c>
      <c r="G6" s="739"/>
      <c r="H6" s="2092" t="s">
        <v>895</v>
      </c>
      <c r="I6" s="2093" t="s">
        <v>1154</v>
      </c>
      <c r="J6" s="2169">
        <f ca="1">ROUND(M6*M8*M7*(1-M9)/10000,0)</f>
        <v>0</v>
      </c>
      <c r="K6" s="2095" t="s">
        <v>1157</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108" t="s">
        <v>1162</v>
      </c>
      <c r="L10" s="2109" t="s">
        <v>1163</v>
      </c>
      <c r="M10" s="2110"/>
    </row>
    <row r="11" ht="18" customHeight="1" spans="1:13">
      <c r="A11" s="2111"/>
      <c r="B11" s="2112" t="s">
        <v>1164</v>
      </c>
      <c r="C11" s="2113"/>
      <c r="D11" s="2341"/>
      <c r="E11" s="2109" t="s">
        <v>1165</v>
      </c>
      <c r="F11" s="2114">
        <f ca="1">'数据-取费表'!B39</f>
        <v>0.015</v>
      </c>
      <c r="G11" s="739"/>
      <c r="H11" s="2115"/>
      <c r="I11" s="2112" t="s">
        <v>1164</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INDIRECT("'数据-取费表'!m"&amp;$G$1)+INDIRECT("'数据-取费表'!t"&amp;$G$1)</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ROUND(INDIRECT("'数据-取费表'!m"&amp;$G$1)*F16,0)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ROUND(F17*(F43+INDIRECT("'数据-取费表'!S"&amp;$G$1))/10000,0)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ROUND(IF(AND(项目基本情况!B11="自然人",项目基本情况!B10="北京市"),J6*M17/(1+'数据-取费表'!C42),J18+J19+J20),2)</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ROUND(J6*M18/(1+'数据-取费表'!C42),2)</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IF(K19="按租金收入计税",ROUND(J6*M19/(1+'数据-取费表'!C42),2),ROUND(C29*M19*0.7,2))</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ROUND(M20*M21/10000,2)</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ROUND(J14*M22,2)</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ROUND(J13*M23,2)</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ROUND(J5*M24,2)</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ROUND(IF(AND(项目基本情况!B11="自然人",项目基本情况!B10="北京市"),C6*F31/(1+'数据-取费表'!C42),C32+C33+C34),2)</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IF(项目基本情况!B11="自然人","——",ROUND(C6*F32/(1+'数据-取费表'!C42),2))</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IF(项目基本情况!B11="自然人","——",IF(D33="按租金收入计税",ROUND(C6*F33/(1+'数据-取费表'!C42),2),IF(D33="按房产原值计税",ROUND(C29*F33*0.7,2),INDIRECT("'数据-取费表'!Aj"&amp;$G$1))))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IF(项目基本情况!B11="自然人","——",ROUND(F34*F35/10000,2))</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ROUND(C29*F36,2)</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ROUND(C13*F37,2)</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ROUND(C5*F38,2)</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ROUND(C40*10000/F43,0)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1240</v>
      </c>
      <c r="P45" s="2170"/>
      <c r="Q45" s="2170"/>
      <c r="R45" s="2170"/>
    </row>
    <row r="46" s="739" customFormat="1" ht="13.5" spans="1:18">
      <c r="A46" s="2185" t="s">
        <v>1241</v>
      </c>
      <c r="C46" s="2186" t="e">
        <f ca="1">C68-C40</f>
        <v>#DIV/0!</v>
      </c>
      <c r="D46" s="2187" t="str">
        <f>C2</f>
        <v>万元</v>
      </c>
      <c r="E46" s="2180"/>
      <c r="F46" s="2180"/>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342"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ROUND(F49*F51*F50*(1-F52)/10000,0)</f>
        <v>0</v>
      </c>
      <c r="D49" s="2200" t="s">
        <v>1157</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343"/>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24.75" spans="1:18">
      <c r="A53" s="2344" t="s">
        <v>1276</v>
      </c>
      <c r="B53" s="2345" t="s">
        <v>1161</v>
      </c>
      <c r="C53" s="1427">
        <f ca="1">ROUND(IF(F53="押一",C49/12*F11,IF(F53="押二",C49/12*2*F11,IF(F53="押三",C49/12*3*F11,C54*F11))),0)</f>
        <v>0</v>
      </c>
      <c r="D53" s="2108" t="s">
        <v>1162</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346"/>
      <c r="B54" s="2112" t="s">
        <v>1164</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25.5" spans="1:18">
      <c r="A56" s="2215">
        <v>2</v>
      </c>
      <c r="B56" s="2216" t="s">
        <v>1167</v>
      </c>
      <c r="C56" s="382">
        <f ca="1">C13</f>
        <v>0</v>
      </c>
      <c r="D56" s="2217"/>
      <c r="E56" s="2218"/>
      <c r="F56" s="2214"/>
      <c r="I56" s="2303" t="s">
        <v>1284</v>
      </c>
      <c r="J56" s="2304"/>
      <c r="K56" s="2278" t="s">
        <v>1285</v>
      </c>
      <c r="L56" s="2281">
        <f ca="1">IF(L48&lt;J51,"——",L48-J53)</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1287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1291</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IF(项目基本情况!B11="自然人","——",ROUND(C48*F60/(1+'数据-取费表'!C42),2))</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IF(项目基本情况!B11="自然人","——",IF(D61="按租金收入计税",ROUND(C49*F61/(1+'数据-取费表'!C42),2),IF(D61="按房产原值计税",ROUND(C57*F61*0.7,2),INDIRECT("'数据-取费表'!Aj"&amp;$G$1))))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IF(项目基本情况!B11="自然人","——",ROUND(F62*F63/10000,2))</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ROUND(C57*F64,2)</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ROUND(C56*F65,2)</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ROUND(C48*F66,2)</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ROUND(C68*10000/F71,0)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072" t="e">
        <f ca="1">ROUND(D2/10000,4)</f>
        <v>#DIV/0!</v>
      </c>
      <c r="C2" s="2073" t="s">
        <v>1143</v>
      </c>
      <c r="D2" s="2074" t="e">
        <f ca="1">C40+J29+L46</f>
        <v>#DIV/0!</v>
      </c>
      <c r="E2" s="2075" t="s">
        <v>1327</v>
      </c>
      <c r="F2" s="2076"/>
      <c r="G2" s="2077"/>
      <c r="H2" s="2078"/>
      <c r="I2" s="2078"/>
      <c r="J2" s="2078"/>
      <c r="K2" s="2236"/>
      <c r="L2" s="2078"/>
      <c r="M2" s="2078"/>
    </row>
    <row r="3" ht="18" customHeight="1" spans="1:13">
      <c r="A3" s="2079" t="s">
        <v>1144</v>
      </c>
      <c r="B3" s="2080">
        <f ca="1">IF(ISERROR(D2/F43),0,ROUND(D2/F43,0))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ROUND(F6*F8*F7*(1-F9),0)</f>
        <v>0</v>
      </c>
      <c r="D6" s="2095" t="s">
        <v>1328</v>
      </c>
      <c r="E6" s="2096" t="s">
        <v>1156</v>
      </c>
      <c r="F6" s="2097">
        <f ca="1">INDIRECT("'数据-取费表'!u"&amp;$G$1)</f>
        <v>0</v>
      </c>
      <c r="G6" s="739"/>
      <c r="H6" s="2092" t="s">
        <v>895</v>
      </c>
      <c r="I6" s="2093" t="s">
        <v>1154</v>
      </c>
      <c r="J6" s="2169">
        <f ca="1">ROUND(M6*M8*M7*(1-M9),0)</f>
        <v>0</v>
      </c>
      <c r="K6" s="2239" t="s">
        <v>1329</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240" t="s">
        <v>1330</v>
      </c>
      <c r="L10" s="2109" t="s">
        <v>1163</v>
      </c>
      <c r="M10" s="2110"/>
    </row>
    <row r="11" ht="18" customHeight="1" spans="1:13">
      <c r="A11" s="2111"/>
      <c r="B11" s="2112" t="s">
        <v>1331</v>
      </c>
      <c r="C11" s="2113"/>
      <c r="D11" s="2101"/>
      <c r="E11" s="2109" t="s">
        <v>1165</v>
      </c>
      <c r="F11" s="2114">
        <f ca="1">'数据-取费表'!B39</f>
        <v>0.015</v>
      </c>
      <c r="G11" s="739"/>
      <c r="H11" s="2115"/>
      <c r="I11" s="2112" t="s">
        <v>1332</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ROUND(INDIRECT("'数据-取费表'!l"&amp;$G$1)*F43+'数据-取费表'!L14*INDIRECT("'数据-取费表'!S"&amp;$G$1),0)</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ROUND(INDIRECT("'数据-取费表'!l"&amp;$G$1)*F43*F16,0)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ROUND(IF(AND(项目基本情况!B11="自然人",项目基本情况!B10="北京市"),J6*M17/(1+'数据-取费表'!C42),J18+J19+J20),0)</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ROUND(J6*M18/(1+'数据-取费表'!C42),0)</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IF(K19="按租金收入计税",ROUND(J6*M19/(1+'数据-取费表'!C42),0),ROUND(C29*M19*0.7,0))</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ROUND(M20*M21,0)</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ROUND(J14*M22,0)</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ROUND(J13*M23,0)</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ROUND(J5*M24,0)</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ht="18" customHeight="1"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ROUND(IF(AND(项目基本情况!B11="自然人",项目基本情况!B10="北京市"),C6*F31/(1+'数据-取费表'!C42),C32+C33+C34),0)</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IF(项目基本情况!B11="自然人","——",ROUND(C6*F32/(1+'数据-取费表'!C42),0))</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IF(项目基本情况!B11="自然人","——",IF(D33="按租金收入计税",ROUND(C6*F33/(1+'数据-取费表'!C42),0),IF(D33="按房产原值计税",ROUND(C29*F33*0.7,0),INDIRECT("'数据-取费表'!Aj"&amp;$G$1))))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IF(项目基本情况!B11="自然人","——",ROUND(F34*F35,0))</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ROUND(C29*F36,0)</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ROUND(C13*F37,0)</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ROUND(C5*F38,0)</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1333</v>
      </c>
      <c r="B45" s="2180"/>
      <c r="C45" s="2183" t="e">
        <f ca="1">ROUND((C68-C40)/10000,4)</f>
        <v>#DIV/0!</v>
      </c>
      <c r="D45" s="2184" t="s">
        <v>1334</v>
      </c>
      <c r="E45" s="2180"/>
      <c r="F45" s="2180"/>
      <c r="O45" s="2264" t="s">
        <v>1240</v>
      </c>
      <c r="P45" s="2170"/>
      <c r="Q45" s="2170"/>
      <c r="R45" s="2170"/>
    </row>
    <row r="46" s="739" customFormat="1" ht="13.5" spans="1:18">
      <c r="A46" s="2185" t="s">
        <v>1241</v>
      </c>
      <c r="C46" s="2186" t="e">
        <f ca="1">ROUND(C45,0)</f>
        <v>#DIV/0!</v>
      </c>
      <c r="D46" s="2187" t="str">
        <f>C2</f>
        <v>万元</v>
      </c>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189"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ROUND(F49*F51*F50*(1-F52),0)</f>
        <v>0</v>
      </c>
      <c r="D49" s="2200" t="s">
        <v>1335</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204"/>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30.75" customHeight="1" spans="1:18">
      <c r="A53" s="2211" t="s">
        <v>1276</v>
      </c>
      <c r="B53" s="2139" t="s">
        <v>1161</v>
      </c>
      <c r="C53" s="1427">
        <f ca="1">ROUND(IF(F53="押一",C49/12*F11,IF(F53="押二",C49/12*2*F11,IF(F53="押三",C49/12*3*F11,C54*F11))),0)</f>
        <v>0</v>
      </c>
      <c r="D53" s="2108" t="s">
        <v>1336</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197"/>
      <c r="B54" s="2212" t="s">
        <v>1332</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36" customHeight="1" spans="1:18">
      <c r="A56" s="2215">
        <v>2</v>
      </c>
      <c r="B56" s="2216" t="s">
        <v>1167</v>
      </c>
      <c r="C56" s="382">
        <f ca="1">C13</f>
        <v>0</v>
      </c>
      <c r="D56" s="2217"/>
      <c r="E56" s="2218"/>
      <c r="F56" s="2214"/>
      <c r="I56" s="2303" t="s">
        <v>1284</v>
      </c>
      <c r="J56" s="2304"/>
      <c r="K56" s="2278" t="s">
        <v>1285</v>
      </c>
      <c r="L56" s="2281">
        <f ca="1">IF(L48&lt;J51,"——",L48-J51)</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1337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1338</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IF(项目基本情况!B11="自然人","——",ROUND(C48*F60/(1+'数据-取费表'!C42),0))</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IF(项目基本情况!B11="自然人","——",IF(D61="按租金收入计税",ROUND(C49*F61/(1+'数据-取费表'!C42),0),IF(D61="按房产原值计税",ROUND(C57*F61*0.7,0),INDIRECT("'数据-取费表'!Aj"&amp;$G$1))))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IF(项目基本情况!B11="自然人","——",ROUND(F62*F63,0))</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ROUND(C57*F64,0)</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ROUND(C56*F65,0)</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ROUND(C48*F66,0)</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1339</v>
      </c>
      <c r="B1" s="1884"/>
      <c r="C1" s="1885"/>
      <c r="D1" s="1885"/>
      <c r="E1" s="1886"/>
      <c r="F1" s="1887"/>
      <c r="G1" s="1888"/>
      <c r="J1" s="1994" t="s">
        <v>1340</v>
      </c>
      <c r="K1" s="1995"/>
      <c r="L1" s="1995"/>
      <c r="M1" s="1995"/>
      <c r="N1" s="1995"/>
      <c r="O1" s="1995"/>
      <c r="P1" s="1995"/>
      <c r="Q1" s="1995"/>
      <c r="R1" s="2041"/>
      <c r="S1" s="1954"/>
      <c r="T1" s="1954"/>
      <c r="U1" s="1954"/>
    </row>
    <row r="2" s="1877" customFormat="1" customHeight="1" spans="1:22">
      <c r="A2" s="1889" t="s">
        <v>1142</v>
      </c>
      <c r="B2" s="1890" t="e">
        <f>IF(D2="——",C40,C40+E2)</f>
        <v>#DIV/0!</v>
      </c>
      <c r="C2" s="1885" t="s">
        <v>1143</v>
      </c>
      <c r="D2" s="1891" t="s">
        <v>1341</v>
      </c>
      <c r="E2" s="1892"/>
      <c r="F2" s="1893"/>
      <c r="G2" s="1894"/>
      <c r="H2" s="1895"/>
      <c r="I2" s="1985"/>
      <c r="J2" s="1996" t="s">
        <v>1342</v>
      </c>
      <c r="K2" s="1997"/>
      <c r="L2" s="1998" t="s">
        <v>1343</v>
      </c>
      <c r="M2" s="1998" t="s">
        <v>1344</v>
      </c>
      <c r="N2" s="1998" t="s">
        <v>1345</v>
      </c>
      <c r="O2" s="1998" t="s">
        <v>1346</v>
      </c>
      <c r="P2" s="1998" t="s">
        <v>1347</v>
      </c>
      <c r="Q2" s="2042" t="s">
        <v>1348</v>
      </c>
      <c r="R2" s="2043" t="s">
        <v>1349</v>
      </c>
      <c r="S2" s="1954"/>
      <c r="T2" s="1954"/>
      <c r="U2" s="1954"/>
      <c r="V2" s="1985"/>
    </row>
    <row r="3" s="1877" customFormat="1" customHeight="1" spans="1:22">
      <c r="A3" s="1896" t="s">
        <v>1144</v>
      </c>
      <c r="B3" s="1897" t="e">
        <f>ROUND(B2*10000/B4,0)</f>
        <v>#DIV/0!</v>
      </c>
      <c r="C3" s="1885" t="s">
        <v>1145</v>
      </c>
      <c r="D3" s="1885"/>
      <c r="E3" s="1898"/>
      <c r="F3" s="1893"/>
      <c r="G3" s="1894"/>
      <c r="H3" s="1895"/>
      <c r="I3" s="1985"/>
      <c r="J3" s="1999" t="s">
        <v>1350</v>
      </c>
      <c r="K3" s="2000"/>
      <c r="L3" s="2001"/>
      <c r="M3" s="2001"/>
      <c r="N3" s="2001"/>
      <c r="O3" s="2001"/>
      <c r="P3" s="2001"/>
      <c r="Q3" s="2044"/>
      <c r="R3" s="2045">
        <f>SUM(L3:Q3)</f>
        <v>0</v>
      </c>
      <c r="S3" s="1954"/>
      <c r="T3" s="1954"/>
      <c r="U3" s="1954"/>
      <c r="V3" s="1985"/>
    </row>
    <row r="4" s="1877" customFormat="1" customHeight="1" spans="1:22">
      <c r="A4" s="1899" t="s">
        <v>1351</v>
      </c>
      <c r="B4" s="1900"/>
      <c r="C4" s="1885"/>
      <c r="D4" s="1885"/>
      <c r="E4" s="1898"/>
      <c r="F4" s="1893"/>
      <c r="G4" s="1894"/>
      <c r="H4" s="1895"/>
      <c r="I4" s="1985"/>
      <c r="J4" s="1999" t="s">
        <v>1352</v>
      </c>
      <c r="K4" s="2000"/>
      <c r="L4" s="2002"/>
      <c r="M4" s="2002"/>
      <c r="N4" s="2002"/>
      <c r="O4" s="2002"/>
      <c r="P4" s="2002"/>
      <c r="Q4" s="2046"/>
      <c r="R4" s="2047">
        <f>SUM(L4:Q4)</f>
        <v>0</v>
      </c>
      <c r="S4" s="1954"/>
      <c r="T4" s="1954"/>
      <c r="U4" s="1954"/>
      <c r="V4" s="1985"/>
    </row>
    <row r="5" s="1877" customFormat="1" customHeight="1" spans="1:22">
      <c r="A5" s="1901" t="s">
        <v>1353</v>
      </c>
      <c r="B5" s="1902"/>
      <c r="C5" s="1885"/>
      <c r="D5" s="1903"/>
      <c r="E5" s="1893"/>
      <c r="F5" s="1893"/>
      <c r="G5" s="1894"/>
      <c r="H5" s="1895"/>
      <c r="I5" s="1985"/>
      <c r="J5" s="2003" t="s">
        <v>1354</v>
      </c>
      <c r="K5" s="2004"/>
      <c r="L5" s="2004"/>
      <c r="M5" s="2005"/>
      <c r="N5" s="2005"/>
      <c r="O5" s="2005"/>
      <c r="P5" s="2005"/>
      <c r="Q5" s="2005"/>
      <c r="R5" s="2043">
        <f>SUM(R14,R19,R24,R25,R27,R28)</f>
        <v>0</v>
      </c>
      <c r="S5" s="1954"/>
      <c r="T5" s="1954" t="s">
        <v>1355</v>
      </c>
      <c r="U5" s="1954" t="e">
        <f>ROUND(R5*10000/365/R3,1)</f>
        <v>#DIV/0!</v>
      </c>
      <c r="V5" s="1985"/>
    </row>
    <row r="6" s="1877" customFormat="1" customHeight="1" spans="1:22">
      <c r="A6" s="1904" t="s">
        <v>1356</v>
      </c>
      <c r="B6" s="1905"/>
      <c r="C6" s="1906"/>
      <c r="D6" s="1907"/>
      <c r="E6" s="1908"/>
      <c r="F6" s="1909"/>
      <c r="G6" s="1910"/>
      <c r="H6" s="1895"/>
      <c r="I6" s="1985"/>
      <c r="J6" s="2006">
        <v>1</v>
      </c>
      <c r="K6" s="2007" t="s">
        <v>1357</v>
      </c>
      <c r="L6" s="2008" t="s">
        <v>1358</v>
      </c>
      <c r="M6" s="2009" t="s">
        <v>1359</v>
      </c>
      <c r="N6" s="2009" t="s">
        <v>1360</v>
      </c>
      <c r="O6" s="2009" t="s">
        <v>1361</v>
      </c>
      <c r="P6" s="2009" t="s">
        <v>1362</v>
      </c>
      <c r="Q6" s="2009" t="s">
        <v>1363</v>
      </c>
      <c r="R6" s="2045" t="s">
        <v>1364</v>
      </c>
      <c r="S6" s="1954"/>
      <c r="T6" s="1954" t="s">
        <v>1365</v>
      </c>
      <c r="U6" s="1954"/>
      <c r="V6" s="1985"/>
    </row>
    <row r="7" s="1877" customFormat="1" customHeight="1" spans="1:22">
      <c r="A7" s="1911" t="s">
        <v>1366</v>
      </c>
      <c r="B7" s="1912"/>
      <c r="C7" s="1913"/>
      <c r="D7" s="1914">
        <f>SUM(D9,D10,D11,D17,0)</f>
        <v>0</v>
      </c>
      <c r="E7" s="1915" t="e">
        <f>E9+E10+E11+E17</f>
        <v>#DIV/0!</v>
      </c>
      <c r="F7" s="1916"/>
      <c r="G7" s="1917"/>
      <c r="H7" s="1895"/>
      <c r="I7" s="1985"/>
      <c r="J7" s="2006"/>
      <c r="K7" s="2010"/>
      <c r="L7" s="2011" t="s">
        <v>1367</v>
      </c>
      <c r="M7" s="2012"/>
      <c r="N7" s="1900"/>
      <c r="O7" s="2013"/>
      <c r="P7" s="2013"/>
      <c r="Q7" s="1936">
        <v>365</v>
      </c>
      <c r="R7" s="2048">
        <f>ROUND(M7*N7*O7*P7*Q7/10000,0)</f>
        <v>0</v>
      </c>
      <c r="S7" s="1954"/>
      <c r="T7" s="1954" t="s">
        <v>1368</v>
      </c>
      <c r="U7" s="1954"/>
      <c r="V7" s="1985"/>
    </row>
    <row r="8" s="1877" customFormat="1" customHeight="1" spans="1:22">
      <c r="A8" s="1918" t="s">
        <v>1369</v>
      </c>
      <c r="B8" s="1919" t="s">
        <v>1370</v>
      </c>
      <c r="C8" s="1920"/>
      <c r="D8" s="1921" t="s">
        <v>1371</v>
      </c>
      <c r="E8" s="1922" t="s">
        <v>1372</v>
      </c>
      <c r="F8" s="1923" t="s">
        <v>1373</v>
      </c>
      <c r="G8" s="1924"/>
      <c r="H8" s="1895"/>
      <c r="I8" s="1985"/>
      <c r="J8" s="2006"/>
      <c r="K8" s="2010"/>
      <c r="L8" s="2011" t="s">
        <v>1374</v>
      </c>
      <c r="M8" s="2012"/>
      <c r="N8" s="1900"/>
      <c r="O8" s="2013"/>
      <c r="P8" s="2013"/>
      <c r="Q8" s="1936">
        <v>365</v>
      </c>
      <c r="R8" s="2048">
        <f t="shared" ref="R8:R13" si="0">ROUND(M8*N8*O8*P8*Q8/10000,0)</f>
        <v>0</v>
      </c>
      <c r="S8" s="1954"/>
      <c r="T8" s="1954" t="s">
        <v>1375</v>
      </c>
      <c r="U8" s="1954"/>
      <c r="V8" s="1985"/>
    </row>
    <row r="9" s="1877" customFormat="1" customHeight="1" spans="1:22">
      <c r="A9" s="1918">
        <v>1</v>
      </c>
      <c r="B9" s="1919" t="s">
        <v>1376</v>
      </c>
      <c r="C9" s="1920"/>
      <c r="D9" s="1921">
        <f>ROUND(D6*E9,0)</f>
        <v>0</v>
      </c>
      <c r="E9" s="1925"/>
      <c r="F9" s="1926" t="s">
        <v>1377</v>
      </c>
      <c r="G9" s="1910"/>
      <c r="H9" s="1895"/>
      <c r="I9" s="1985"/>
      <c r="J9" s="2006"/>
      <c r="K9" s="2010"/>
      <c r="L9" s="2011" t="s">
        <v>1378</v>
      </c>
      <c r="M9" s="2012"/>
      <c r="N9" s="1900"/>
      <c r="O9" s="2013"/>
      <c r="P9" s="2013"/>
      <c r="Q9" s="1936">
        <v>365</v>
      </c>
      <c r="R9" s="2048">
        <f t="shared" si="0"/>
        <v>0</v>
      </c>
      <c r="S9" s="1954"/>
      <c r="T9" s="1954"/>
      <c r="U9" s="1954"/>
      <c r="V9" s="1985"/>
    </row>
    <row r="10" s="1877" customFormat="1" customHeight="1" spans="1:22">
      <c r="A10" s="1918">
        <v>2</v>
      </c>
      <c r="B10" s="1919" t="s">
        <v>1379</v>
      </c>
      <c r="C10" s="1920"/>
      <c r="D10" s="1921">
        <f>ROUND(D6*E10,0)</f>
        <v>0</v>
      </c>
      <c r="E10" s="1925"/>
      <c r="F10" s="1926" t="s">
        <v>1380</v>
      </c>
      <c r="G10" s="1910"/>
      <c r="H10" s="1895"/>
      <c r="I10" s="1985"/>
      <c r="J10" s="2006"/>
      <c r="K10" s="2010"/>
      <c r="L10" s="2011" t="s">
        <v>1381</v>
      </c>
      <c r="M10" s="2012"/>
      <c r="N10" s="1900"/>
      <c r="O10" s="2013"/>
      <c r="P10" s="2013"/>
      <c r="Q10" s="1936">
        <v>365</v>
      </c>
      <c r="R10" s="2048">
        <f t="shared" si="0"/>
        <v>0</v>
      </c>
      <c r="S10" s="1954"/>
      <c r="T10" s="1954"/>
      <c r="U10" s="1954"/>
      <c r="V10" s="1985"/>
    </row>
    <row r="11" s="1877" customFormat="1" customHeight="1" spans="1:22">
      <c r="A11" s="1918">
        <v>3</v>
      </c>
      <c r="B11" s="1919" t="s">
        <v>1382</v>
      </c>
      <c r="C11" s="1920"/>
      <c r="D11" s="1921">
        <f>D12+D14+D15+D16</f>
        <v>0</v>
      </c>
      <c r="E11" s="1927" t="e">
        <f>D11/D6</f>
        <v>#DIV/0!</v>
      </c>
      <c r="F11" s="1923"/>
      <c r="G11" s="1924"/>
      <c r="H11" s="1895"/>
      <c r="I11" s="1985"/>
      <c r="J11" s="2006"/>
      <c r="K11" s="2010"/>
      <c r="L11" s="2011" t="s">
        <v>1383</v>
      </c>
      <c r="M11" s="2012"/>
      <c r="N11" s="1900"/>
      <c r="O11" s="2013"/>
      <c r="P11" s="2013"/>
      <c r="Q11" s="1936">
        <v>365</v>
      </c>
      <c r="R11" s="2048">
        <f t="shared" si="0"/>
        <v>0</v>
      </c>
      <c r="S11" s="1954"/>
      <c r="T11" s="1954"/>
      <c r="U11" s="1954"/>
      <c r="V11" s="1985"/>
    </row>
    <row r="12" s="1877" customFormat="1" customHeight="1" spans="1:22">
      <c r="A12" s="1928" t="s">
        <v>1384</v>
      </c>
      <c r="B12" s="1929" t="s">
        <v>1385</v>
      </c>
      <c r="C12" s="1930"/>
      <c r="D12" s="1931">
        <f>ROUND(D13*1.2%*(1-30%),0)</f>
        <v>0</v>
      </c>
      <c r="E12" s="1932">
        <v>0.012</v>
      </c>
      <c r="F12" s="1923" t="s">
        <v>1386</v>
      </c>
      <c r="G12" s="1924"/>
      <c r="H12" s="1895"/>
      <c r="I12" s="1985"/>
      <c r="J12" s="2006"/>
      <c r="K12" s="2010"/>
      <c r="L12" s="2011" t="s">
        <v>1387</v>
      </c>
      <c r="M12" s="2012"/>
      <c r="N12" s="1900"/>
      <c r="O12" s="2013"/>
      <c r="P12" s="2013"/>
      <c r="Q12" s="1936">
        <v>365</v>
      </c>
      <c r="R12" s="2048">
        <f t="shared" si="0"/>
        <v>0</v>
      </c>
      <c r="S12" s="1954"/>
      <c r="T12" s="1954"/>
      <c r="U12" s="1954"/>
      <c r="V12" s="1985"/>
    </row>
    <row r="13" s="1877" customFormat="1" customHeight="1" spans="1:22">
      <c r="A13" s="1928"/>
      <c r="B13" s="1929"/>
      <c r="C13" s="1933" t="s">
        <v>1388</v>
      </c>
      <c r="D13" s="1934"/>
      <c r="E13" s="1935"/>
      <c r="F13" s="1923"/>
      <c r="G13" s="1924"/>
      <c r="H13" s="1895"/>
      <c r="I13" s="1985"/>
      <c r="J13" s="2006"/>
      <c r="K13" s="2010"/>
      <c r="L13" s="2011" t="s">
        <v>1389</v>
      </c>
      <c r="M13" s="2012"/>
      <c r="N13" s="1900"/>
      <c r="O13" s="2013"/>
      <c r="P13" s="2013"/>
      <c r="Q13" s="1936">
        <v>365</v>
      </c>
      <c r="R13" s="2048">
        <f t="shared" si="0"/>
        <v>0</v>
      </c>
      <c r="S13" s="1954"/>
      <c r="T13" s="1954"/>
      <c r="U13" s="1954"/>
      <c r="V13" s="1985"/>
    </row>
    <row r="14" s="1877" customFormat="1" customHeight="1" spans="1:22">
      <c r="A14" s="1928" t="s">
        <v>1390</v>
      </c>
      <c r="B14" s="1929" t="s">
        <v>1391</v>
      </c>
      <c r="C14" s="1930"/>
      <c r="D14" s="1931">
        <f>ROUND(E14*B5/10000,0)</f>
        <v>0</v>
      </c>
      <c r="E14" s="1936"/>
      <c r="F14" s="1923" t="s">
        <v>1392</v>
      </c>
      <c r="G14" s="1924"/>
      <c r="H14" s="1895"/>
      <c r="I14" s="1985"/>
      <c r="J14" s="2006"/>
      <c r="K14" s="2014"/>
      <c r="L14" s="2015" t="s">
        <v>1393</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1394</v>
      </c>
      <c r="B15" s="1929" t="s">
        <v>1395</v>
      </c>
      <c r="C15" s="1930"/>
      <c r="D15" s="1931">
        <f>ROUND(D6*E15,0)</f>
        <v>0</v>
      </c>
      <c r="E15" s="1932">
        <v>0.055</v>
      </c>
      <c r="F15" s="1923" t="s">
        <v>1396</v>
      </c>
      <c r="G15" s="1910"/>
      <c r="H15" s="1895"/>
      <c r="I15" s="1985"/>
      <c r="J15" s="2006">
        <v>2</v>
      </c>
      <c r="K15" s="2007" t="s">
        <v>1397</v>
      </c>
      <c r="L15" s="2011" t="s">
        <v>1398</v>
      </c>
      <c r="M15" s="2012" t="s">
        <v>1399</v>
      </c>
      <c r="N15" s="2012" t="s">
        <v>1400</v>
      </c>
      <c r="O15" s="2013" t="s">
        <v>1401</v>
      </c>
      <c r="P15" s="2013" t="s">
        <v>1363</v>
      </c>
      <c r="Q15" s="1900" t="s">
        <v>124</v>
      </c>
      <c r="R15" s="2050" t="s">
        <v>1364</v>
      </c>
      <c r="S15" s="1954"/>
      <c r="T15" s="1954"/>
      <c r="U15" s="1954"/>
      <c r="V15" s="1985"/>
    </row>
    <row r="16" s="1877" customFormat="1" customHeight="1" spans="1:22">
      <c r="A16" s="1928" t="s">
        <v>1402</v>
      </c>
      <c r="B16" s="1929" t="s">
        <v>1403</v>
      </c>
      <c r="C16" s="1930"/>
      <c r="D16" s="1937">
        <f>D6*E16</f>
        <v>0</v>
      </c>
      <c r="E16" s="1938"/>
      <c r="F16" s="1926" t="s">
        <v>1404</v>
      </c>
      <c r="G16" s="1910"/>
      <c r="H16" s="1895"/>
      <c r="I16" s="1985"/>
      <c r="J16" s="2006"/>
      <c r="K16" s="2010"/>
      <c r="L16" s="2011" t="s">
        <v>1405</v>
      </c>
      <c r="M16" s="2012"/>
      <c r="N16" s="2012"/>
      <c r="O16" s="2013"/>
      <c r="P16" s="1936">
        <v>365</v>
      </c>
      <c r="Q16" s="1900"/>
      <c r="R16" s="2050">
        <f>ROUND(M16*N16*O16*P16/10000,0)</f>
        <v>0</v>
      </c>
      <c r="S16" s="1954"/>
      <c r="T16" s="1954"/>
      <c r="U16" s="1954"/>
      <c r="V16" s="1985"/>
    </row>
    <row r="17" s="1877" customFormat="1" customHeight="1" spans="1:22">
      <c r="A17" s="1939">
        <v>4</v>
      </c>
      <c r="B17" s="1940" t="s">
        <v>1406</v>
      </c>
      <c r="C17" s="1941"/>
      <c r="D17" s="1942">
        <f>ROUND(D6*E17,0)</f>
        <v>0</v>
      </c>
      <c r="E17" s="1943"/>
      <c r="F17" s="1944" t="s">
        <v>1407</v>
      </c>
      <c r="G17" s="1910"/>
      <c r="H17" s="1895"/>
      <c r="I17" s="1985"/>
      <c r="J17" s="2006"/>
      <c r="K17" s="2010"/>
      <c r="L17" s="2011" t="s">
        <v>1408</v>
      </c>
      <c r="M17" s="2012"/>
      <c r="N17" s="2012"/>
      <c r="O17" s="2013"/>
      <c r="P17" s="1936">
        <v>365</v>
      </c>
      <c r="Q17" s="1900"/>
      <c r="R17" s="2050">
        <f>ROUND(M17*N17*O17*P17/10000,0)</f>
        <v>0</v>
      </c>
      <c r="S17" s="1954"/>
      <c r="T17" s="1954"/>
      <c r="U17" s="1954"/>
      <c r="V17" s="1985"/>
    </row>
    <row r="18" s="1877" customFormat="1" customHeight="1" spans="1:22">
      <c r="A18" s="1911" t="s">
        <v>1409</v>
      </c>
      <c r="B18" s="1912"/>
      <c r="C18" s="1912"/>
      <c r="D18" s="1945">
        <f>ROUND(D6*E18,0)</f>
        <v>0</v>
      </c>
      <c r="E18" s="1946"/>
      <c r="F18" s="1947" t="s">
        <v>1410</v>
      </c>
      <c r="G18" s="1910"/>
      <c r="H18" s="1895"/>
      <c r="I18" s="1985"/>
      <c r="J18" s="2006"/>
      <c r="K18" s="2010"/>
      <c r="L18" s="2011" t="s">
        <v>1411</v>
      </c>
      <c r="M18" s="2012"/>
      <c r="N18" s="2012"/>
      <c r="O18" s="2013"/>
      <c r="P18" s="1936">
        <v>365</v>
      </c>
      <c r="Q18" s="1900"/>
      <c r="R18" s="2050">
        <f>ROUND(M18*N18*O18*P18/10000,0)</f>
        <v>0</v>
      </c>
      <c r="S18" s="1954"/>
      <c r="T18" s="1954"/>
      <c r="U18" s="1954"/>
      <c r="V18" s="1985"/>
    </row>
    <row r="19" s="1877" customFormat="1" customHeight="1" spans="1:22">
      <c r="A19" s="1948" t="s">
        <v>1412</v>
      </c>
      <c r="B19" s="1908"/>
      <c r="C19" s="1908"/>
      <c r="D19" s="1908"/>
      <c r="E19" s="1908"/>
      <c r="F19" s="1909"/>
      <c r="G19" s="1924"/>
      <c r="H19" s="1895"/>
      <c r="I19" s="1985"/>
      <c r="J19" s="2006"/>
      <c r="K19" s="2014"/>
      <c r="L19" s="2015" t="s">
        <v>1393</v>
      </c>
      <c r="M19" s="2016"/>
      <c r="N19" s="2016">
        <f>SUM(N16:N18)</f>
        <v>0</v>
      </c>
      <c r="O19" s="2017"/>
      <c r="P19" s="2018" t="s">
        <v>1413</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1414</v>
      </c>
      <c r="L20" s="2011" t="s">
        <v>1415</v>
      </c>
      <c r="M20" s="2012" t="s">
        <v>1416</v>
      </c>
      <c r="N20" s="2019" t="s">
        <v>1417</v>
      </c>
      <c r="O20" s="2013" t="s">
        <v>1418</v>
      </c>
      <c r="P20" s="1936" t="s">
        <v>1363</v>
      </c>
      <c r="Q20" s="1900" t="s">
        <v>124</v>
      </c>
      <c r="R20" s="2050" t="s">
        <v>1364</v>
      </c>
      <c r="S20" s="1954"/>
      <c r="T20" s="1954"/>
      <c r="U20" s="1954"/>
      <c r="V20" s="1985"/>
    </row>
    <row r="21" s="1877" customFormat="1" customHeight="1" spans="1:22">
      <c r="A21" s="1911"/>
      <c r="B21" s="1912"/>
      <c r="C21" s="1919" t="s">
        <v>1419</v>
      </c>
      <c r="D21" s="1950" t="s">
        <v>1420</v>
      </c>
      <c r="E21" s="1920" t="s">
        <v>1421</v>
      </c>
      <c r="F21" s="1949"/>
      <c r="G21" s="1924"/>
      <c r="H21" s="1895"/>
      <c r="I21" s="1985"/>
      <c r="J21" s="2006"/>
      <c r="K21" s="2010"/>
      <c r="L21" s="2011" t="s">
        <v>1422</v>
      </c>
      <c r="M21" s="2012"/>
      <c r="N21" s="2012"/>
      <c r="O21" s="2013"/>
      <c r="P21" s="1936">
        <v>365</v>
      </c>
      <c r="Q21" s="1900"/>
      <c r="R21" s="2052">
        <f>ROUND(M21*N21*O21*P21/10000,0)</f>
        <v>0</v>
      </c>
      <c r="S21" s="1954"/>
      <c r="T21" s="1954"/>
      <c r="U21" s="1954"/>
      <c r="V21" s="1985"/>
    </row>
    <row r="22" s="1877" customFormat="1" customHeight="1" spans="1:22">
      <c r="A22" s="1911"/>
      <c r="B22" s="1912"/>
      <c r="C22" s="1951" t="s">
        <v>1423</v>
      </c>
      <c r="D22" s="1952" t="s">
        <v>1424</v>
      </c>
      <c r="E22" s="1953" t="s">
        <v>1425</v>
      </c>
      <c r="F22" s="1949"/>
      <c r="G22" s="1954"/>
      <c r="H22" s="1895"/>
      <c r="I22" s="1985"/>
      <c r="J22" s="2006"/>
      <c r="K22" s="2010"/>
      <c r="L22" s="2011" t="s">
        <v>1426</v>
      </c>
      <c r="M22" s="2012"/>
      <c r="N22" s="2012"/>
      <c r="O22" s="2013"/>
      <c r="P22" s="1936">
        <v>365</v>
      </c>
      <c r="Q22" s="1900"/>
      <c r="R22" s="2052">
        <f>ROUND(M22*N22*O22*P22/10000,0)</f>
        <v>0</v>
      </c>
      <c r="S22" s="1954"/>
      <c r="T22" s="1954"/>
      <c r="U22" s="1954"/>
      <c r="V22" s="1985"/>
    </row>
    <row r="23" s="1877" customFormat="1" customHeight="1" spans="1:22">
      <c r="A23" s="1955">
        <v>1</v>
      </c>
      <c r="B23" s="1956" t="s">
        <v>1427</v>
      </c>
      <c r="C23" s="1957">
        <f>D6</f>
        <v>0</v>
      </c>
      <c r="D23" s="1958">
        <f>C23*(1+D24)</f>
        <v>0</v>
      </c>
      <c r="E23" s="1959">
        <f>D23*(1+E24)</f>
        <v>0</v>
      </c>
      <c r="F23" s="1960"/>
      <c r="G23" s="1961"/>
      <c r="H23" s="1895"/>
      <c r="I23" s="1985"/>
      <c r="J23" s="2006"/>
      <c r="K23" s="2010"/>
      <c r="L23" s="2011" t="s">
        <v>1428</v>
      </c>
      <c r="M23" s="2012"/>
      <c r="N23" s="2012"/>
      <c r="O23" s="2013"/>
      <c r="P23" s="1936">
        <v>365</v>
      </c>
      <c r="Q23" s="1900"/>
      <c r="R23" s="2052">
        <f>ROUND(M23*N23*O23*P23/10000,0)</f>
        <v>0</v>
      </c>
      <c r="S23" s="1954"/>
      <c r="T23" s="1954"/>
      <c r="U23" s="1954"/>
      <c r="V23" s="1985"/>
    </row>
    <row r="24" s="1877" customFormat="1" customHeight="1" spans="1:22">
      <c r="A24" s="1962"/>
      <c r="B24" s="1963" t="s">
        <v>1429</v>
      </c>
      <c r="C24" s="1964"/>
      <c r="D24" s="1965"/>
      <c r="E24" s="1966"/>
      <c r="F24" s="1967"/>
      <c r="G24" s="1961"/>
      <c r="H24" s="1895"/>
      <c r="I24" s="1985"/>
      <c r="J24" s="2006"/>
      <c r="K24" s="2014"/>
      <c r="L24" s="2015" t="s">
        <v>1393</v>
      </c>
      <c r="M24" s="2016">
        <f>SUM(M21:M23)</f>
        <v>0</v>
      </c>
      <c r="N24" s="2016"/>
      <c r="O24" s="2017"/>
      <c r="P24" s="2018" t="s">
        <v>1413</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1430</v>
      </c>
      <c r="L25" s="2021"/>
      <c r="M25" s="2021"/>
      <c r="N25" s="2021"/>
      <c r="O25" s="2021"/>
      <c r="P25" s="2022"/>
      <c r="Q25" s="2053">
        <v>0</v>
      </c>
      <c r="R25" s="2051">
        <f>ROUND(R14*Q25,0)</f>
        <v>0</v>
      </c>
      <c r="S25" s="1954"/>
      <c r="T25" s="1954"/>
      <c r="U25" s="1954"/>
      <c r="V25" s="2029"/>
    </row>
    <row r="26" s="1878" customFormat="1" customHeight="1" spans="1:22">
      <c r="A26" s="1955">
        <v>2</v>
      </c>
      <c r="B26" s="1956" t="s">
        <v>1431</v>
      </c>
      <c r="C26" s="1957">
        <f>D7</f>
        <v>0</v>
      </c>
      <c r="D26" s="1958">
        <f>D23*D27</f>
        <v>0</v>
      </c>
      <c r="E26" s="1959">
        <f>E23*E27</f>
        <v>0</v>
      </c>
      <c r="F26" s="1960"/>
      <c r="G26" s="1961"/>
      <c r="H26" s="1895"/>
      <c r="I26" s="1985"/>
      <c r="J26" s="2023">
        <v>5</v>
      </c>
      <c r="K26" s="2024" t="s">
        <v>1432</v>
      </c>
      <c r="L26" s="2025"/>
      <c r="M26" s="2026"/>
      <c r="N26" s="2027" t="s">
        <v>456</v>
      </c>
      <c r="O26" s="2027" t="s">
        <v>1433</v>
      </c>
      <c r="P26" s="2028" t="s">
        <v>1434</v>
      </c>
      <c r="Q26" s="2028" t="s">
        <v>1435</v>
      </c>
      <c r="R26" s="2045" t="s">
        <v>1364</v>
      </c>
      <c r="S26" s="1924"/>
      <c r="T26" s="1924"/>
      <c r="U26" s="1924"/>
      <c r="V26" s="2029"/>
    </row>
    <row r="27" s="1877" customFormat="1" customHeight="1" spans="1:22">
      <c r="A27" s="1962"/>
      <c r="B27" s="1963" t="s">
        <v>1436</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1437</v>
      </c>
      <c r="F28" s="1967"/>
      <c r="G28" s="1954"/>
      <c r="H28" s="1969"/>
      <c r="I28" s="2029"/>
      <c r="J28" s="2035">
        <v>6</v>
      </c>
      <c r="K28" s="2036" t="s">
        <v>1438</v>
      </c>
      <c r="L28" s="2037" t="s">
        <v>1439</v>
      </c>
      <c r="M28" s="2038"/>
      <c r="N28" s="2037" t="s">
        <v>1440</v>
      </c>
      <c r="O28" s="2039"/>
      <c r="P28" s="2037" t="s">
        <v>1441</v>
      </c>
      <c r="Q28" s="2055">
        <v>0.015</v>
      </c>
      <c r="R28" s="2056"/>
      <c r="S28" s="1954"/>
      <c r="T28" s="1954"/>
      <c r="U28" s="1954"/>
      <c r="V28" s="2029"/>
    </row>
    <row r="29" s="1878" customFormat="1" customHeight="1" spans="1:22">
      <c r="A29" s="1955">
        <v>3</v>
      </c>
      <c r="B29" s="1956" t="s">
        <v>1442</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1436</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1443</v>
      </c>
      <c r="K31" s="1995"/>
      <c r="L31" s="1995"/>
      <c r="M31" s="1995"/>
      <c r="N31" s="1995"/>
      <c r="O31" s="1995"/>
      <c r="P31" s="1995"/>
      <c r="Q31" s="1995"/>
      <c r="R31" s="2041"/>
      <c r="S31" s="1954"/>
      <c r="T31" s="1954"/>
      <c r="U31" s="1954"/>
      <c r="V31" s="2029"/>
    </row>
    <row r="32" s="1878" customFormat="1" customHeight="1" spans="1:22">
      <c r="A32" s="1955">
        <v>4</v>
      </c>
      <c r="B32" s="1956" t="s">
        <v>1444</v>
      </c>
      <c r="C32" s="1957">
        <f>C23-C26-C29</f>
        <v>0</v>
      </c>
      <c r="D32" s="1958">
        <f>D23-D26-D29</f>
        <v>0</v>
      </c>
      <c r="E32" s="1959">
        <f>E23-E26-E29</f>
        <v>0</v>
      </c>
      <c r="F32" s="1960"/>
      <c r="G32" s="1954"/>
      <c r="H32" s="1895"/>
      <c r="I32" s="1985"/>
      <c r="J32" s="1996" t="s">
        <v>1342</v>
      </c>
      <c r="K32" s="1997"/>
      <c r="L32" s="1998" t="s">
        <v>1343</v>
      </c>
      <c r="M32" s="1998" t="s">
        <v>1344</v>
      </c>
      <c r="N32" s="1998" t="s">
        <v>1345</v>
      </c>
      <c r="O32" s="1998" t="s">
        <v>1346</v>
      </c>
      <c r="P32" s="1998" t="s">
        <v>1347</v>
      </c>
      <c r="Q32" s="2042" t="s">
        <v>1348</v>
      </c>
      <c r="R32" s="2057" t="s">
        <v>1349</v>
      </c>
      <c r="S32" s="1954"/>
      <c r="T32" s="1954"/>
      <c r="U32" s="1954"/>
      <c r="V32" s="2029"/>
    </row>
    <row r="33" s="1877" customFormat="1" customHeight="1" spans="1:22">
      <c r="A33" s="1955"/>
      <c r="B33" s="1956"/>
      <c r="C33" s="1957"/>
      <c r="D33" s="1972"/>
      <c r="E33" s="1930"/>
      <c r="F33" s="1960"/>
      <c r="G33" s="1954"/>
      <c r="H33" s="1969"/>
      <c r="I33" s="2029"/>
      <c r="J33" s="1999" t="s">
        <v>1350</v>
      </c>
      <c r="K33" s="2000"/>
      <c r="L33" s="2001"/>
      <c r="M33" s="2001"/>
      <c r="N33" s="2001"/>
      <c r="O33" s="2001"/>
      <c r="P33" s="2001"/>
      <c r="Q33" s="2044"/>
      <c r="R33" s="2058">
        <f>SUM(L33:Q33)</f>
        <v>0</v>
      </c>
      <c r="S33" s="1954"/>
      <c r="T33" s="1954"/>
      <c r="U33" s="1954"/>
      <c r="V33" s="1985"/>
    </row>
    <row r="34" s="1877" customFormat="1" customHeight="1" spans="1:22">
      <c r="A34" s="1955">
        <v>5</v>
      </c>
      <c r="B34" s="1956" t="s">
        <v>1445</v>
      </c>
      <c r="C34" s="1973"/>
      <c r="D34" s="1974"/>
      <c r="E34" s="1975"/>
      <c r="F34" s="1960"/>
      <c r="G34" s="1954"/>
      <c r="H34" s="1969"/>
      <c r="I34" s="2029"/>
      <c r="J34" s="1999" t="s">
        <v>1352</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1446</v>
      </c>
      <c r="C35" s="1976"/>
      <c r="D35" s="1977"/>
      <c r="E35" s="1978"/>
      <c r="F35" s="1960"/>
      <c r="G35" s="1979"/>
      <c r="H35" s="1895"/>
      <c r="I35" s="2029"/>
      <c r="J35" s="2003" t="s">
        <v>1354</v>
      </c>
      <c r="K35" s="2004"/>
      <c r="L35" s="2004"/>
      <c r="M35" s="2005"/>
      <c r="N35" s="2005"/>
      <c r="O35" s="2005"/>
      <c r="P35" s="2005"/>
      <c r="Q35" s="2005"/>
      <c r="R35" s="2060">
        <f>R40+R41+R43</f>
        <v>0</v>
      </c>
      <c r="S35" s="1954"/>
      <c r="T35" s="1954" t="s">
        <v>1355</v>
      </c>
      <c r="U35" s="1954"/>
      <c r="V35" s="1985"/>
    </row>
    <row r="36" s="1877" customFormat="1" customHeight="1" spans="1:22">
      <c r="A36" s="1955">
        <v>7</v>
      </c>
      <c r="B36" s="1980" t="s">
        <v>1447</v>
      </c>
      <c r="C36" s="1981"/>
      <c r="D36" s="1982"/>
      <c r="E36" s="1983"/>
      <c r="F36" s="1984">
        <f>C36+D36+E36</f>
        <v>0</v>
      </c>
      <c r="G36" s="1954"/>
      <c r="H36" s="1895"/>
      <c r="I36" s="1985"/>
      <c r="J36" s="2006">
        <v>1</v>
      </c>
      <c r="K36" s="2007" t="s">
        <v>1448</v>
      </c>
      <c r="L36" s="2008"/>
      <c r="M36" s="2009"/>
      <c r="N36" s="2009"/>
      <c r="O36" s="2009"/>
      <c r="P36" s="2009"/>
      <c r="Q36" s="2009"/>
      <c r="R36" s="2045" t="s">
        <v>1364</v>
      </c>
      <c r="S36" s="1954"/>
      <c r="T36" s="1954" t="s">
        <v>1365</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1368</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1375</v>
      </c>
      <c r="U38" s="1954"/>
      <c r="V38" s="1985"/>
    </row>
    <row r="39" s="1877" customFormat="1" customHeight="1" spans="1:22">
      <c r="A39" s="1955">
        <v>9</v>
      </c>
      <c r="B39" s="1956" t="s">
        <v>1449</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1450</v>
      </c>
      <c r="C40" s="1987" t="e">
        <f>C39+D39+E39</f>
        <v>#DIV/0!</v>
      </c>
      <c r="D40" s="1988"/>
      <c r="E40" s="1988"/>
      <c r="F40" s="1989"/>
      <c r="G40" s="1954"/>
      <c r="H40" s="1895"/>
      <c r="I40" s="1985"/>
      <c r="J40" s="2006"/>
      <c r="K40" s="2014"/>
      <c r="L40" s="2015" t="s">
        <v>1393</v>
      </c>
      <c r="M40" s="2016"/>
      <c r="N40" s="2016"/>
      <c r="O40" s="2017"/>
      <c r="P40" s="2017"/>
      <c r="Q40" s="2049"/>
      <c r="R40" s="2043">
        <f>SUM(R37:R39)</f>
        <v>0</v>
      </c>
      <c r="S40" s="1954"/>
      <c r="T40" s="1954"/>
      <c r="U40" s="1954"/>
      <c r="V40" s="1985"/>
    </row>
    <row r="41" s="1877" customFormat="1" customHeight="1" spans="1:22">
      <c r="A41" s="1990">
        <v>11</v>
      </c>
      <c r="B41" s="1991" t="s">
        <v>1451</v>
      </c>
      <c r="C41" s="1991" t="e">
        <f>ROUND(C40*10000/B4,0)</f>
        <v>#DIV/0!</v>
      </c>
      <c r="D41" s="1992"/>
      <c r="E41" s="1992"/>
      <c r="F41" s="1993"/>
      <c r="G41" s="1895"/>
      <c r="H41" s="1895"/>
      <c r="I41" s="1985"/>
      <c r="J41" s="2006">
        <v>2</v>
      </c>
      <c r="K41" s="2020" t="s">
        <v>1430</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1432</v>
      </c>
      <c r="L42" s="2025"/>
      <c r="M42" s="2026"/>
      <c r="N42" s="2027" t="s">
        <v>456</v>
      </c>
      <c r="O42" s="2027" t="s">
        <v>1433</v>
      </c>
      <c r="P42" s="2028" t="s">
        <v>1434</v>
      </c>
      <c r="Q42" s="2028" t="s">
        <v>1435</v>
      </c>
      <c r="R42" s="2045" t="s">
        <v>1364</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1438</v>
      </c>
      <c r="L44" s="2040" t="s">
        <v>1439</v>
      </c>
      <c r="M44" s="2038"/>
      <c r="N44" s="2040" t="s">
        <v>1440</v>
      </c>
      <c r="O44" s="2038"/>
      <c r="P44" s="2040" t="s">
        <v>1441</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1452</v>
      </c>
      <c r="B1" s="705"/>
      <c r="C1" s="705"/>
      <c r="D1" s="705"/>
      <c r="E1" s="1858"/>
      <c r="F1" s="1859"/>
      <c r="G1" s="1740"/>
      <c r="H1" s="1740"/>
      <c r="I1" s="1740"/>
      <c r="J1" s="1740"/>
      <c r="K1" s="1740"/>
      <c r="L1" s="1740"/>
      <c r="M1" s="1740"/>
      <c r="N1" s="1740"/>
      <c r="O1" s="1740"/>
      <c r="P1" s="1740"/>
      <c r="Q1" s="1740"/>
      <c r="R1" s="1740"/>
      <c r="S1" s="1740"/>
    </row>
    <row r="2" spans="1:19">
      <c r="A2" s="1860" t="s">
        <v>985</v>
      </c>
      <c r="B2" s="733">
        <f ca="1">SUMIF(B6:B13,"&lt;&gt;#ref!",B6:B13)</f>
        <v>0</v>
      </c>
      <c r="C2" s="1861" t="s">
        <v>1453</v>
      </c>
      <c r="D2" s="1862" t="s">
        <v>1454</v>
      </c>
      <c r="E2" s="1863">
        <f>SUM(E6:E13)</f>
        <v>0</v>
      </c>
      <c r="F2" s="1859"/>
      <c r="G2" s="1740"/>
      <c r="H2" s="1740"/>
      <c r="I2" s="1740"/>
      <c r="J2" s="1740"/>
      <c r="K2" s="1740"/>
      <c r="L2" s="1740"/>
      <c r="M2" s="1740"/>
      <c r="N2" s="1740"/>
      <c r="O2" s="1740"/>
      <c r="P2" s="1740"/>
      <c r="Q2" s="1740"/>
      <c r="R2" s="1740"/>
      <c r="S2" s="1740"/>
    </row>
    <row r="3" spans="1:19">
      <c r="A3" s="1860" t="s">
        <v>987</v>
      </c>
      <c r="B3" s="1864" t="e">
        <f ca="1">ROUND(B2*10000/E2,0)</f>
        <v>#DIV/0!</v>
      </c>
      <c r="C3" s="1861" t="s">
        <v>1455</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1456</v>
      </c>
      <c r="B5" s="1868" t="s">
        <v>1457</v>
      </c>
      <c r="C5" s="1869"/>
      <c r="D5" s="1870"/>
      <c r="E5" s="1868" t="s">
        <v>1458</v>
      </c>
      <c r="F5" s="1826" t="s">
        <v>1459</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1453</v>
      </c>
      <c r="D6" s="1859"/>
      <c r="E6" s="1872">
        <f>IF(OR(A6=0,F6="否"),0,'数据-取费表'!K6+'数据-取费表'!S6)</f>
        <v>0</v>
      </c>
      <c r="F6" s="1873" t="s">
        <v>1460</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1453</v>
      </c>
      <c r="D7" s="1859"/>
      <c r="E7" s="1872">
        <f>IF(OR(A7=0,F7="否"),0,'数据-取费表'!K7+'数据-取费表'!S7)</f>
        <v>0</v>
      </c>
      <c r="F7" s="1873" t="s">
        <v>1460</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1453</v>
      </c>
      <c r="D8" s="1859"/>
      <c r="E8" s="1872">
        <f>IF(OR(A8=0,F8="否"),0,'数据-取费表'!K8+'数据-取费表'!S8)</f>
        <v>0</v>
      </c>
      <c r="F8" s="1873" t="s">
        <v>1460</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1453</v>
      </c>
      <c r="D9" s="1859"/>
      <c r="E9" s="1872">
        <f>IF(OR(A9=0,F9="否"),0,'数据-取费表'!K9+'数据-取费表'!S9)</f>
        <v>0</v>
      </c>
      <c r="F9" s="1873" t="s">
        <v>1460</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1453</v>
      </c>
      <c r="D10" s="1859"/>
      <c r="E10" s="1872">
        <f>IF(OR(A10=0,F10="否"),0,'数据-取费表'!K10+'数据-取费表'!S10)</f>
        <v>0</v>
      </c>
      <c r="F10" s="1873" t="s">
        <v>1460</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1453</v>
      </c>
      <c r="D11" s="1859"/>
      <c r="E11" s="1872">
        <f>IF(OR(A11=0,F11="否"),0,'数据-取费表'!K11+'数据-取费表'!S11)</f>
        <v>0</v>
      </c>
      <c r="F11" s="1873" t="s">
        <v>1460</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1453</v>
      </c>
      <c r="D12" s="1859"/>
      <c r="E12" s="1872">
        <f>IF(OR(A12=0,F12="否"),0,'数据-取费表'!K12+'数据-取费表'!S12)</f>
        <v>0</v>
      </c>
      <c r="F12" s="1873" t="s">
        <v>1460</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1453</v>
      </c>
      <c r="D13" s="1876"/>
      <c r="E13" s="1872">
        <f>IF(OR(A13=0,F13="否"),0,'数据-取费表'!K13+'数据-取费表'!S13)</f>
        <v>0</v>
      </c>
      <c r="F13" s="1873" t="s">
        <v>1460</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5" customWidth="1"/>
    <col min="2" max="3" width="15.75" style="925" customWidth="1"/>
    <col min="4" max="4" width="12.25" style="925" customWidth="1"/>
    <col min="5" max="5" width="17.125" style="925" customWidth="1"/>
    <col min="6" max="6" width="12.25" style="925" customWidth="1"/>
    <col min="7" max="7" width="16.5" style="925" customWidth="1"/>
    <col min="8" max="8" width="12.25" style="925" customWidth="1"/>
    <col min="9" max="9" width="15.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1462</v>
      </c>
      <c r="C1" s="931" t="s">
        <v>1463</v>
      </c>
      <c r="D1" s="932"/>
      <c r="E1" s="933"/>
      <c r="F1" s="934"/>
      <c r="G1" s="935" t="s">
        <v>1464</v>
      </c>
      <c r="H1" s="936"/>
      <c r="I1" s="936"/>
      <c r="J1" s="936"/>
      <c r="K1" s="1086"/>
      <c r="L1" s="1087"/>
      <c r="M1" s="931"/>
      <c r="N1" s="931"/>
      <c r="O1" s="931"/>
      <c r="P1" s="1790"/>
      <c r="Q1" s="1648"/>
      <c r="R1" s="1648"/>
      <c r="S1" s="1648"/>
      <c r="T1" s="1648"/>
      <c r="U1" s="1648"/>
      <c r="V1" s="1648"/>
      <c r="W1" s="1648"/>
      <c r="X1" s="1648"/>
      <c r="Y1" s="1648"/>
      <c r="Z1" s="1648"/>
      <c r="AA1" s="1648"/>
      <c r="AB1" s="1648"/>
      <c r="AC1" s="1659"/>
    </row>
    <row r="2" s="1780" customFormat="1" ht="28.5" customHeight="1" spans="1:29">
      <c r="A2" s="937" t="s">
        <v>985</v>
      </c>
      <c r="B2" s="1781" t="b">
        <f ca="1">IF(E1="项目模式",IF(C2="——",ROUND(C49*D3/10000,0),ROUND(C49*D3/10000,0)-D2),IF(E1="单套模式",IF(C2="——",ROUND(C49*D3/10000,4),ROUND(C49*D3/10000,4)-D2)))</f>
        <v>0</v>
      </c>
      <c r="C2" s="939"/>
      <c r="D2" s="940" t="e">
        <f ca="1">IF(E1="项目模式",SUMIF(INDIRECT("'"&amp;F2&amp;"'"&amp;"!A:A"),"承租人权益价值",INDIRECT("'"&amp;F2&amp;"'"&amp;"!c:c")),SUMIF(INDIRECT("'"&amp;F2&amp;"'"&amp;"!A:A"),"承租人权益价值（单套）",INDIRECT("'"&amp;F2&amp;"'"&amp;"!c:c")))</f>
        <v>#REF!</v>
      </c>
      <c r="E2" s="941" t="s">
        <v>986</v>
      </c>
      <c r="F2" s="942"/>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987</v>
      </c>
      <c r="B3" s="946">
        <f ca="1">IF(C2="——",C49,ROUND(B2*10000/D3,0))</f>
        <v>0</v>
      </c>
      <c r="C3" s="945" t="s">
        <v>1465</v>
      </c>
      <c r="D3" s="946">
        <f>IF(D1="",'数据-汇总表'!E3,SUMIF('数据-汇总表'!$C19:$C33,D1,'数据-汇总表'!$E19:$E33))</f>
        <v>349.48</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49" t="s">
        <v>1466</v>
      </c>
      <c r="B4" s="950"/>
      <c r="C4" s="951" t="s">
        <v>1467</v>
      </c>
      <c r="D4" s="952"/>
      <c r="E4" s="953" t="s">
        <v>1468</v>
      </c>
      <c r="F4" s="954"/>
      <c r="G4" s="951" t="s">
        <v>1469</v>
      </c>
      <c r="H4" s="952"/>
      <c r="I4" s="951" t="s">
        <v>1470</v>
      </c>
      <c r="J4" s="952"/>
      <c r="K4" s="1795"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73" t="s">
        <v>1469</v>
      </c>
      <c r="AC4" s="1173" t="s">
        <v>1470</v>
      </c>
    </row>
    <row r="5" ht="15" spans="1:29">
      <c r="A5" s="955"/>
      <c r="B5" s="956"/>
      <c r="C5" s="957" t="s">
        <v>1473</v>
      </c>
      <c r="D5" s="958"/>
      <c r="E5" s="1509" t="s">
        <v>1474</v>
      </c>
      <c r="F5" s="960"/>
      <c r="G5" s="957" t="s">
        <v>1475</v>
      </c>
      <c r="H5" s="958"/>
      <c r="I5" s="957" t="s">
        <v>1476</v>
      </c>
      <c r="J5" s="958"/>
      <c r="K5" s="1796"/>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796"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SUMIF(58:58,YEAR(E7)&amp;"-"&amp;MONTH(E7),59:59)</f>
        <v>0</v>
      </c>
      <c r="G7" s="971"/>
      <c r="H7" s="970">
        <f>SUMIF(58:58,YEAR(G7)&amp;"-"&amp;MONTH(G7),59:59)</f>
        <v>0</v>
      </c>
      <c r="I7" s="971"/>
      <c r="J7" s="970">
        <f>SUMIF(58:58,YEAR(I7)&amp;"-"&amp;MONTH(I7),59:59)</f>
        <v>0</v>
      </c>
      <c r="K7" s="1797"/>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1783"/>
      <c r="F8" s="972">
        <f>SUMIF(61:61,E8,62:62)-SUMIF(61:61,C8,62:62)+100</f>
        <v>100</v>
      </c>
      <c r="G8" s="973"/>
      <c r="H8" s="970">
        <f>SUMIF(61:61,G8,62:62)-SUMIF(61:61,C8,62:62)+100</f>
        <v>100</v>
      </c>
      <c r="I8" s="1783"/>
      <c r="J8" s="970">
        <f>SUMIF(61:61,I8,62:62)-SUMIF(61:61,C8,62:62)+100</f>
        <v>100</v>
      </c>
      <c r="K8" s="1797"/>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19" si="3">D8/F8</f>
        <v>1</v>
      </c>
      <c r="AB8" s="1175">
        <f t="shared" ref="AB8:AB19" si="4">D8/H8</f>
        <v>1</v>
      </c>
      <c r="AC8" s="1175">
        <f t="shared" ref="AC8:AC19" si="5">D8/J8</f>
        <v>1</v>
      </c>
    </row>
    <row r="9" s="920" customFormat="1" spans="1:29">
      <c r="A9" s="974" t="s">
        <v>1484</v>
      </c>
      <c r="B9" s="975" t="s">
        <v>1485</v>
      </c>
      <c r="C9" s="1650"/>
      <c r="D9" s="977">
        <v>100</v>
      </c>
      <c r="E9" s="978"/>
      <c r="F9" s="975">
        <f>SUMIF(63:63,E9,64:64)-SUMIF(63:63,C9,64:64)+100</f>
        <v>100</v>
      </c>
      <c r="G9" s="1651"/>
      <c r="H9" s="977">
        <f>SUMIF(63:63,G9,64:64)-SUMIF(63:63,C9,64:64)+100</f>
        <v>100</v>
      </c>
      <c r="I9" s="1651"/>
      <c r="J9" s="977">
        <f>SUMIF(63:63,I9,64:64)-SUMIF(63:63,C9,64:64)+100</f>
        <v>100</v>
      </c>
      <c r="K9" s="1797"/>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797"/>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t="e">
        <f>LOOKUP(E11,68:68,69:69)-LOOKUP(C11,68:68,69:69)+100</f>
        <v>#N/A</v>
      </c>
      <c r="G11" s="985"/>
      <c r="H11" s="982" t="e">
        <f>LOOKUP(G11,68:68,69:69)-LOOKUP(C11,68:68,69:69)+100</f>
        <v>#N/A</v>
      </c>
      <c r="I11" s="985"/>
      <c r="J11" s="982" t="e">
        <f>LOOKUP(I11,68:68,69:69)-LOOKUP(C11,68:68,69:69)+100</f>
        <v>#N/A</v>
      </c>
      <c r="K11" s="1798"/>
      <c r="L11" s="1104"/>
      <c r="M11" s="1054"/>
      <c r="N11" s="1054"/>
      <c r="O11" s="1054"/>
      <c r="P11" s="1100"/>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989"/>
      <c r="F12" s="980">
        <f>SUMIF(70:70,E12,71:71)-SUMIF(70:70,C12,71:71)+100</f>
        <v>100</v>
      </c>
      <c r="G12" s="989"/>
      <c r="H12" s="982">
        <f>SUMIF(70:70,G12,71:71)-SUMIF(70:70,C12,71:71)+100</f>
        <v>100</v>
      </c>
      <c r="I12" s="989"/>
      <c r="J12" s="982">
        <f>SUMIF(70:70,I12,71:71)-SUMIF(70:70,C12,71:71)+100</f>
        <v>100</v>
      </c>
      <c r="K12" s="1799"/>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799"/>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6">
        <f>SUMIF(74:74,E14,75:75)-SUMIF(74:74,C14,75:75)+100</f>
        <v>100</v>
      </c>
      <c r="G14" s="994"/>
      <c r="H14" s="995">
        <f>SUMIF(74:74,G14,75:75)-SUMIF(74:74,C14,75:75)+100</f>
        <v>100</v>
      </c>
      <c r="I14" s="994"/>
      <c r="J14" s="995">
        <f>SUMIF(74:74,I14,75:75)-SUMIF(74:74,C14,75:75)+100</f>
        <v>100</v>
      </c>
      <c r="K14" s="1799"/>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81" spans="1:29">
      <c r="A15" s="997" t="s">
        <v>1490</v>
      </c>
      <c r="B15" s="998" t="s">
        <v>1491</v>
      </c>
      <c r="C15" s="999" t="str">
        <f>估价对象房地状况!C3</f>
        <v>估价对象周边居住用地比例、居住小区规模和社区发展完善程度，综合评价居住社区成熟度一般</v>
      </c>
      <c r="D15" s="1000">
        <v>100</v>
      </c>
      <c r="E15" s="1003"/>
      <c r="F15" s="1000">
        <f>SUMIF(76:76,E16,77:77)-SUMIF(76:76,C16,77:77)+100</f>
        <v>100</v>
      </c>
      <c r="G15" s="1001"/>
      <c r="H15" s="1000">
        <f>SUMIF(76:76,G16,77:77)-SUMIF(76:76,C16,77:77)+100</f>
        <v>100</v>
      </c>
      <c r="I15" s="1001"/>
      <c r="J15" s="1000">
        <f>SUMIF(76:76,I16,77:77)-SUMIF(76:76,C16,77:77)+100</f>
        <v>100</v>
      </c>
      <c r="K15" s="1800"/>
      <c r="L15" s="1106"/>
      <c r="M15" s="1054"/>
      <c r="N15" s="1054"/>
      <c r="O15" s="1054"/>
      <c r="P15" s="1010"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88"/>
      <c r="F16" s="1006"/>
      <c r="G16" s="1522"/>
      <c r="H16" s="1008"/>
      <c r="I16" s="1522"/>
      <c r="J16" s="1006"/>
      <c r="K16" s="1801"/>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3"/>
      <c r="F17" s="1008">
        <f>SUMIF(78:78,E18,79:79)-SUMIF(78:78,C18,79:79)+100</f>
        <v>100</v>
      </c>
      <c r="G17" s="1011"/>
      <c r="H17" s="1014">
        <f>SUMIF(78:78,G18,79:79)-SUMIF(78:78,C18,79:79)+100</f>
        <v>100</v>
      </c>
      <c r="I17" s="1011"/>
      <c r="J17" s="1014">
        <f>SUMIF(78:78,I18,79:79)-SUMIF(78:78,C18,79:79)+100</f>
        <v>100</v>
      </c>
      <c r="K17" s="1800"/>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3"/>
      <c r="F18" s="1008"/>
      <c r="G18" s="1628"/>
      <c r="H18" s="1006"/>
      <c r="I18" s="1628"/>
      <c r="J18" s="1006"/>
      <c r="K18" s="1801"/>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9"/>
      <c r="F19" s="1014">
        <f>SUMIF(80:80,E20,81:81)-SUMIF(80:80,C20,81:81)+100</f>
        <v>100</v>
      </c>
      <c r="G19" s="1017"/>
      <c r="H19" s="1008">
        <f>SUMIF(80:80,G20,81:81)-SUMIF(80:80,C20,81:81)+100</f>
        <v>100</v>
      </c>
      <c r="I19" s="1017"/>
      <c r="J19" s="1008">
        <f>SUMIF(80:80,I20,81:81)-SUMIF(80:80,C20,81:81)+100</f>
        <v>100</v>
      </c>
      <c r="K19" s="1800"/>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88"/>
      <c r="F20" s="1006"/>
      <c r="G20" s="1522"/>
      <c r="H20" s="1006"/>
      <c r="I20" s="1522"/>
      <c r="J20" s="1006"/>
      <c r="K20" s="1801"/>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08">
        <v>100</v>
      </c>
      <c r="E21" s="1019"/>
      <c r="F21" s="1014">
        <f>SUMIF(82:82,E22,83:83)-SUMIF(82:82,C22,83:83)+100</f>
        <v>100</v>
      </c>
      <c r="G21" s="1017"/>
      <c r="H21" s="1008">
        <f>SUMIF(82:82,G22,83:83)-SUMIF(82:82,C22,83:83)+100</f>
        <v>100</v>
      </c>
      <c r="I21" s="1017"/>
      <c r="J21" s="1008">
        <f>SUMIF(82:82,I22,83:83)-SUMIF(82:82,C22,83:83)+100</f>
        <v>100</v>
      </c>
      <c r="K21" s="1800"/>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6"/>
      <c r="G22" s="1520"/>
      <c r="H22" s="1006"/>
      <c r="I22" s="1005"/>
      <c r="J22" s="1006"/>
      <c r="K22" s="1802"/>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1010" t="str">
        <f>估价对象房地状况!C9</f>
        <v>区域自然环境：；人文环境；综合评价环境状况一般</v>
      </c>
      <c r="D23" s="1008">
        <v>100</v>
      </c>
      <c r="E23" s="1013"/>
      <c r="F23" s="1008">
        <f>SUMIF(84:84,E24,85:85)-SUMIF(84:84,C24,85:85)+100</f>
        <v>100</v>
      </c>
      <c r="G23" s="1011"/>
      <c r="H23" s="1008">
        <f>SUMIF(84:84,G24,85:85)-SUMIF(84:84,C24,85:85)+100</f>
        <v>100</v>
      </c>
      <c r="I23" s="1011"/>
      <c r="J23" s="1008">
        <f>SUMIF(84:84,I24,85:85)-SUMIF(84:84,C24,85:85)+100</f>
        <v>100</v>
      </c>
      <c r="K23" s="1800"/>
      <c r="L23" s="1106"/>
      <c r="M23" s="1054"/>
      <c r="N23" s="1054"/>
      <c r="O23" s="1054"/>
      <c r="P23" s="1109"/>
      <c r="Q23" s="644" t="str">
        <f>B23</f>
        <v>自然及人文环境</v>
      </c>
      <c r="R23" s="1162" t="s">
        <v>1481</v>
      </c>
      <c r="S23" s="1163">
        <f>F23</f>
        <v>100</v>
      </c>
      <c r="T23" s="1162" t="s">
        <v>1481</v>
      </c>
      <c r="U23" s="1163">
        <f>H23</f>
        <v>100</v>
      </c>
      <c r="V23" s="1162" t="s">
        <v>1481</v>
      </c>
      <c r="W23" s="1163">
        <f>J23</f>
        <v>100</v>
      </c>
      <c r="X23" s="1150"/>
      <c r="Y23" s="1177"/>
      <c r="Z23" s="1149" t="str">
        <f>Q23</f>
        <v>自然及人文环境</v>
      </c>
      <c r="AA23" s="1149">
        <f>D23/F23</f>
        <v>1</v>
      </c>
      <c r="AB23" s="1149">
        <f>D23/H23</f>
        <v>1</v>
      </c>
      <c r="AC23" s="1149">
        <f>D23/J23</f>
        <v>1</v>
      </c>
    </row>
    <row r="24" ht="15" spans="1:29">
      <c r="A24" s="984"/>
      <c r="B24" s="1015"/>
      <c r="C24" s="1005"/>
      <c r="D24" s="1006"/>
      <c r="E24" s="1588"/>
      <c r="F24" s="1006"/>
      <c r="G24" s="1522"/>
      <c r="H24" s="1006"/>
      <c r="I24" s="1522"/>
      <c r="J24" s="1006"/>
      <c r="K24" s="1801"/>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1497</v>
      </c>
      <c r="C25" s="1031"/>
      <c r="D25" s="780">
        <v>100</v>
      </c>
      <c r="E25" s="1032"/>
      <c r="F25" s="780">
        <f>SUMIF(86:86,E25,87:87)-SUMIF(86:86,C25,87:87)+100</f>
        <v>100</v>
      </c>
      <c r="G25" s="1784"/>
      <c r="H25" s="780">
        <f>SUMIF(86:86,G25,87:87)-SUMIF(86:86,C25,87:87)+100</f>
        <v>100</v>
      </c>
      <c r="I25" s="1784"/>
      <c r="J25" s="780">
        <f>SUMIF(86:86,I25,87:87)-SUMIF(86:86,C25,87:87)+100</f>
        <v>100</v>
      </c>
      <c r="K25" s="1798"/>
      <c r="L25" s="1106"/>
      <c r="M25" s="1054"/>
      <c r="N25" s="1054"/>
      <c r="O25" s="1054"/>
      <c r="P25" s="1109"/>
      <c r="Q25" s="644" t="str">
        <f t="shared" ref="Q25:Q46" si="11">B25</f>
        <v>楼层-1</v>
      </c>
      <c r="R25" s="1162" t="s">
        <v>1481</v>
      </c>
      <c r="S25" s="1163">
        <f t="shared" ref="S25:S46" si="12">F25</f>
        <v>100</v>
      </c>
      <c r="T25" s="1162" t="s">
        <v>1481</v>
      </c>
      <c r="U25" s="1163">
        <f t="shared" ref="U25:U46" si="13">H25</f>
        <v>100</v>
      </c>
      <c r="V25" s="1162" t="s">
        <v>1481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4"/>
      <c r="B26" s="980" t="s">
        <v>1498</v>
      </c>
      <c r="C26" s="1031"/>
      <c r="D26" s="780">
        <v>100</v>
      </c>
      <c r="E26" s="1032"/>
      <c r="F26" s="780">
        <f>SUMIF(88:88,E26,89:89)-SUMIF(88:88,C26,89:89)+100</f>
        <v>100</v>
      </c>
      <c r="G26" s="1784"/>
      <c r="H26" s="780">
        <f>SUMIF(88:88,G26,89:89)-SUMIF(88:88,C26,89:89)+100</f>
        <v>100</v>
      </c>
      <c r="I26" s="1784"/>
      <c r="J26" s="780">
        <f>SUMIF(88:88,I26,89:89)-SUMIF(88:88,C26,89:89)+100</f>
        <v>100</v>
      </c>
      <c r="K26" s="1798"/>
      <c r="L26" s="1106"/>
      <c r="M26" s="1054"/>
      <c r="N26" s="1054"/>
      <c r="O26" s="1054"/>
      <c r="P26" s="1109"/>
      <c r="Q26" s="644" t="str">
        <f t="shared" si="11"/>
        <v>朝向</v>
      </c>
      <c r="R26" s="1162" t="s">
        <v>1481</v>
      </c>
      <c r="S26" s="1163">
        <f t="shared" si="12"/>
        <v>100</v>
      </c>
      <c r="T26" s="1162" t="s">
        <v>1481</v>
      </c>
      <c r="U26" s="1163">
        <f t="shared" si="13"/>
        <v>100</v>
      </c>
      <c r="V26" s="1162" t="s">
        <v>1481</v>
      </c>
      <c r="W26" s="1163">
        <f t="shared" si="14"/>
        <v>100</v>
      </c>
      <c r="X26" s="1150"/>
      <c r="Y26" s="1177"/>
      <c r="Z26" s="1149" t="str">
        <f>Q26</f>
        <v>朝向</v>
      </c>
      <c r="AA26" s="1149">
        <f t="shared" si="15"/>
        <v>1</v>
      </c>
      <c r="AB26" s="1149">
        <f t="shared" si="16"/>
        <v>1</v>
      </c>
      <c r="AC26" s="1149">
        <f t="shared" si="17"/>
        <v>1</v>
      </c>
    </row>
    <row r="27" s="920" customFormat="1" ht="15" spans="1:29">
      <c r="A27" s="987"/>
      <c r="B27" s="1023">
        <v>111</v>
      </c>
      <c r="C27" s="989"/>
      <c r="D27" s="1026">
        <v>100</v>
      </c>
      <c r="E27" s="1626"/>
      <c r="F27" s="1026">
        <f>SUMIF(90:90,E27,91:91)-SUMIF(90:90,C27,91:91)+100</f>
        <v>100</v>
      </c>
      <c r="G27" s="1627"/>
      <c r="H27" s="1026">
        <f>SUMIF(90:90,G27,91:91)-SUMIF(90:90,C27,91:91)+100</f>
        <v>100</v>
      </c>
      <c r="I27" s="1627"/>
      <c r="J27" s="1026">
        <f>SUMIF(90:90,I27,91:91)-SUMIF(90:90,C27,91:91)+100</f>
        <v>100</v>
      </c>
      <c r="K27" s="1799"/>
      <c r="L27" s="1097"/>
      <c r="M27" s="1098"/>
      <c r="N27" s="1098"/>
      <c r="O27" s="1098"/>
      <c r="P27" s="1109"/>
      <c r="Q27" s="815">
        <f t="shared" si="11"/>
        <v>111</v>
      </c>
      <c r="R27" s="1158" t="s">
        <v>1481</v>
      </c>
      <c r="S27" s="1159">
        <f t="shared" si="12"/>
        <v>100</v>
      </c>
      <c r="T27" s="1158" t="s">
        <v>1481</v>
      </c>
      <c r="U27" s="1159">
        <f t="shared" si="13"/>
        <v>100</v>
      </c>
      <c r="V27" s="1158" t="s">
        <v>1481</v>
      </c>
      <c r="W27" s="1159">
        <f t="shared" si="14"/>
        <v>100</v>
      </c>
      <c r="X27" s="1160"/>
      <c r="Y27" s="1177"/>
      <c r="Z27" s="1175">
        <f>Q27</f>
        <v>111</v>
      </c>
      <c r="AA27" s="1149">
        <f t="shared" si="15"/>
        <v>1</v>
      </c>
      <c r="AB27" s="1149">
        <f t="shared" si="16"/>
        <v>1</v>
      </c>
      <c r="AC27" s="1149">
        <f t="shared" si="17"/>
        <v>1</v>
      </c>
    </row>
    <row r="28" ht="15" spans="1:29">
      <c r="A28" s="984"/>
      <c r="B28" s="1023">
        <v>111</v>
      </c>
      <c r="C28" s="991"/>
      <c r="D28" s="780">
        <v>100</v>
      </c>
      <c r="E28" s="991"/>
      <c r="F28" s="780">
        <f>SUMIF(92:92,E28,93:93)-SUMIF(92:92,C28,93:93)+100</f>
        <v>100</v>
      </c>
      <c r="G28" s="1754"/>
      <c r="H28" s="780">
        <f>SUMIF(92:92,G28,93:93)-SUMIF(92:92,C28,93:93)+100</f>
        <v>100</v>
      </c>
      <c r="I28" s="991"/>
      <c r="J28" s="780">
        <f>SUMIF(92:92,I28,93:93)-SUMIF(92:92,C28,93:93)+100</f>
        <v>100</v>
      </c>
      <c r="K28" s="1799"/>
      <c r="L28" s="1106"/>
      <c r="M28" s="1054"/>
      <c r="N28" s="1054"/>
      <c r="O28" s="1054"/>
      <c r="P28" s="1109"/>
      <c r="Q28" s="644">
        <f t="shared" si="11"/>
        <v>111</v>
      </c>
      <c r="R28" s="1162" t="s">
        <v>1481</v>
      </c>
      <c r="S28" s="1163">
        <f t="shared" si="12"/>
        <v>100</v>
      </c>
      <c r="T28" s="1162" t="s">
        <v>1481</v>
      </c>
      <c r="U28" s="1163">
        <f t="shared" si="13"/>
        <v>100</v>
      </c>
      <c r="V28" s="1162" t="s">
        <v>1481</v>
      </c>
      <c r="W28" s="1163">
        <f t="shared" si="14"/>
        <v>100</v>
      </c>
      <c r="X28" s="1150"/>
      <c r="Y28" s="1177"/>
      <c r="Z28" s="1149">
        <f t="shared" ref="Z28:Z46" si="18">Q28</f>
        <v>111</v>
      </c>
      <c r="AA28" s="1149">
        <f t="shared" si="15"/>
        <v>1</v>
      </c>
      <c r="AB28" s="1149">
        <f t="shared" si="16"/>
        <v>1</v>
      </c>
      <c r="AC28" s="1149">
        <f t="shared" si="17"/>
        <v>1</v>
      </c>
    </row>
    <row r="29" ht="15" spans="1:29">
      <c r="A29" s="984"/>
      <c r="B29" s="1023">
        <v>111</v>
      </c>
      <c r="C29" s="991"/>
      <c r="D29" s="780">
        <v>100</v>
      </c>
      <c r="E29" s="991"/>
      <c r="F29" s="780">
        <f>SUMIF(94:94,E29,95:95)-SUMIF(94:94,C29,95:95)+100</f>
        <v>100</v>
      </c>
      <c r="G29" s="1754"/>
      <c r="H29" s="780">
        <f>SUMIF(94:94,G29,95:95)-SUMIF(94:94,C29,95:95)+100</f>
        <v>100</v>
      </c>
      <c r="I29" s="991"/>
      <c r="J29" s="780">
        <f>SUMIF(94:94,I29,95:95)-SUMIF(94:94,C29,95:95)+100</f>
        <v>100</v>
      </c>
      <c r="K29" s="1799"/>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8"/>
        <v>111</v>
      </c>
      <c r="AA29" s="1149">
        <f t="shared" si="15"/>
        <v>1</v>
      </c>
      <c r="AB29" s="1149">
        <f t="shared" si="16"/>
        <v>1</v>
      </c>
      <c r="AC29" s="1149">
        <f t="shared" si="17"/>
        <v>1</v>
      </c>
    </row>
    <row r="30" ht="15" spans="1:29">
      <c r="A30" s="984"/>
      <c r="B30" s="1023">
        <v>111</v>
      </c>
      <c r="C30" s="991"/>
      <c r="D30" s="780">
        <v>100</v>
      </c>
      <c r="E30" s="991"/>
      <c r="F30" s="780">
        <f>SUMIF(96:96,E30,97:97)-SUMIF(96:96,C30,97:97)+100</f>
        <v>100</v>
      </c>
      <c r="G30" s="1754"/>
      <c r="H30" s="780">
        <f>SUMIF(96:96,G30,97:97)-SUMIF(96:96,C30,97:97)+100</f>
        <v>100</v>
      </c>
      <c r="I30" s="991"/>
      <c r="J30" s="780">
        <f>SUMIF(96:96,I30,97:97)-SUMIF(96:96,C30,97:97)+100</f>
        <v>100</v>
      </c>
      <c r="K30" s="1799"/>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8"/>
        <v>111</v>
      </c>
      <c r="AA30" s="1149">
        <f t="shared" si="15"/>
        <v>1</v>
      </c>
      <c r="AB30" s="1149">
        <f t="shared" si="16"/>
        <v>1</v>
      </c>
      <c r="AC30" s="1149">
        <f t="shared" si="17"/>
        <v>1</v>
      </c>
    </row>
    <row r="31" ht="15.75" spans="1:29">
      <c r="A31" s="992"/>
      <c r="B31" s="1023">
        <v>111</v>
      </c>
      <c r="C31" s="994"/>
      <c r="D31" s="995">
        <v>100</v>
      </c>
      <c r="E31" s="994"/>
      <c r="F31" s="995">
        <f>SUMIF(98:98,E31,99:99)-SUMIF(98:98,C31,99:99)+100</f>
        <v>100</v>
      </c>
      <c r="G31" s="1756"/>
      <c r="H31" s="995">
        <f>SUMIF(98:98,G31,99:99)-SUMIF(98:98,C31,99:99)+100</f>
        <v>100</v>
      </c>
      <c r="I31" s="994"/>
      <c r="J31" s="995">
        <f>SUMIF(98:98,I31,99:99)-SUMIF(98:98,C31,99:99)+100</f>
        <v>100</v>
      </c>
      <c r="K31" s="1799"/>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8"/>
        <v>111</v>
      </c>
      <c r="AA31" s="1149">
        <f t="shared" si="15"/>
        <v>1</v>
      </c>
      <c r="AB31" s="1149">
        <f t="shared" si="16"/>
        <v>1</v>
      </c>
      <c r="AC31" s="1149">
        <f t="shared" si="17"/>
        <v>1</v>
      </c>
    </row>
    <row r="32" ht="15" spans="1:29">
      <c r="A32" s="997" t="s">
        <v>1499</v>
      </c>
      <c r="B32" s="975" t="s">
        <v>1500</v>
      </c>
      <c r="C32" s="1027"/>
      <c r="D32" s="952">
        <v>100</v>
      </c>
      <c r="E32" s="1785"/>
      <c r="F32" s="1022">
        <f>SUMIF(100:100,E32,101:101)-SUMIF(100:100,C32,101:101)+100</f>
        <v>100</v>
      </c>
      <c r="G32" s="1027"/>
      <c r="H32" s="952">
        <f>SUMIF(100:100,G32,101:101)-SUMIF(100:100,C32,101:101)+100</f>
        <v>100</v>
      </c>
      <c r="I32" s="1785"/>
      <c r="J32" s="780">
        <f>SUMIF(100:100,I32,101:101)-SUMIF(100:100,C32,101:101)+100</f>
        <v>100</v>
      </c>
      <c r="K32" s="1798"/>
      <c r="L32" s="1106"/>
      <c r="M32" s="1054"/>
      <c r="N32" s="1054"/>
      <c r="O32" s="1054"/>
      <c r="P32" s="1111" t="s">
        <v>1501</v>
      </c>
      <c r="Q32" s="644" t="str">
        <f t="shared" si="11"/>
        <v>建筑类型</v>
      </c>
      <c r="R32" s="1162" t="s">
        <v>1481</v>
      </c>
      <c r="S32" s="1163">
        <f t="shared" si="12"/>
        <v>100</v>
      </c>
      <c r="T32" s="1162" t="s">
        <v>1481</v>
      </c>
      <c r="U32" s="1163">
        <f t="shared" si="13"/>
        <v>100</v>
      </c>
      <c r="V32" s="1162" t="s">
        <v>1481</v>
      </c>
      <c r="W32" s="1163">
        <f t="shared" si="14"/>
        <v>100</v>
      </c>
      <c r="X32" s="1150"/>
      <c r="Y32" s="1178" t="s">
        <v>1501</v>
      </c>
      <c r="Z32" s="1149" t="str">
        <f t="shared" si="18"/>
        <v>建筑类型</v>
      </c>
      <c r="AA32" s="1149">
        <f t="shared" si="15"/>
        <v>1</v>
      </c>
      <c r="AB32" s="1149">
        <f t="shared" si="16"/>
        <v>1</v>
      </c>
      <c r="AC32" s="1149">
        <f t="shared" si="17"/>
        <v>1</v>
      </c>
    </row>
    <row r="33" s="922" customFormat="1" ht="15" spans="1:29">
      <c r="A33" s="1028"/>
      <c r="B33" s="980" t="s">
        <v>1502</v>
      </c>
      <c r="C33" s="1029"/>
      <c r="D33" s="982">
        <v>100</v>
      </c>
      <c r="E33" s="986"/>
      <c r="F33" s="980" t="e">
        <f>LOOKUP(E33,103:103,104:104)-LOOKUP(C33,103:103,104:104)+100</f>
        <v>#N/A</v>
      </c>
      <c r="G33" s="985"/>
      <c r="H33" s="982" t="e">
        <f>LOOKUP(G33,103:103,104:104)-LOOKUP(C33,103:103,104:104)+100</f>
        <v>#N/A</v>
      </c>
      <c r="I33" s="986"/>
      <c r="J33" s="982" t="e">
        <f>LOOKUP(I33,103:103,104:104)-LOOKUP(C33,103:103,104:104)+100</f>
        <v>#N/A</v>
      </c>
      <c r="K33" s="1799"/>
      <c r="L33" s="1104"/>
      <c r="M33" s="1112"/>
      <c r="N33" s="1112"/>
      <c r="O33" s="1112"/>
      <c r="P33" s="1113"/>
      <c r="Q33" s="1164" t="str">
        <f t="shared" si="11"/>
        <v>项目建筑规模</v>
      </c>
      <c r="R33" s="1165" t="s">
        <v>1481</v>
      </c>
      <c r="S33" s="1166" t="e">
        <f t="shared" si="12"/>
        <v>#N/A</v>
      </c>
      <c r="T33" s="1165" t="s">
        <v>1481</v>
      </c>
      <c r="U33" s="1166" t="e">
        <f t="shared" si="13"/>
        <v>#N/A</v>
      </c>
      <c r="V33" s="1165" t="s">
        <v>1481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0" t="s">
        <v>1503</v>
      </c>
      <c r="C34" s="1031"/>
      <c r="D34" s="780">
        <v>100</v>
      </c>
      <c r="E34" s="1786"/>
      <c r="F34" s="1022">
        <f>SUMIF(105:105,E34,106:106)-SUMIF(105:105,C34,106:106)+100</f>
        <v>100</v>
      </c>
      <c r="G34" s="1031"/>
      <c r="H34" s="780">
        <f>SUMIF(105:105,G34,106:106)-SUMIF(105:105,C34,106:106)+100</f>
        <v>100</v>
      </c>
      <c r="I34" s="1786"/>
      <c r="J34" s="780">
        <f>SUMIF(105:105,I34,106:106)-SUMIF(105:105,C34,106:106)+100</f>
        <v>100</v>
      </c>
      <c r="K34" s="1798"/>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8"/>
        <v>建筑结构</v>
      </c>
      <c r="AA34" s="1149">
        <f t="shared" si="15"/>
        <v>1</v>
      </c>
      <c r="AB34" s="1149">
        <f t="shared" si="16"/>
        <v>1</v>
      </c>
      <c r="AC34" s="1149">
        <f t="shared" si="17"/>
        <v>1</v>
      </c>
    </row>
    <row r="35" ht="15" spans="1:29">
      <c r="A35" s="1030"/>
      <c r="B35" s="980" t="s">
        <v>1504</v>
      </c>
      <c r="C35" s="1032"/>
      <c r="D35" s="780">
        <v>100</v>
      </c>
      <c r="E35" s="1784"/>
      <c r="F35" s="1022">
        <f>SUMIF(107:107,E35,108:108)-SUMIF(107:107,C35,108:108)+100</f>
        <v>100</v>
      </c>
      <c r="G35" s="1032"/>
      <c r="H35" s="780">
        <f>SUMIF(107:107,G35,108:108)-SUMIF(107:107,C35,108:108)+100</f>
        <v>100</v>
      </c>
      <c r="I35" s="1784"/>
      <c r="J35" s="780">
        <f>SUMIF(107:107,I35,108:108)-SUMIF(107:107,C35,108:108)+100</f>
        <v>100</v>
      </c>
      <c r="K35" s="1798"/>
      <c r="L35" s="1106"/>
      <c r="M35" s="1054"/>
      <c r="N35" s="1054"/>
      <c r="O35" s="1054"/>
      <c r="P35" s="1113"/>
      <c r="Q35" s="644" t="str">
        <f t="shared" si="11"/>
        <v>建筑品质</v>
      </c>
      <c r="R35" s="1162" t="s">
        <v>1481</v>
      </c>
      <c r="S35" s="1163">
        <f t="shared" si="12"/>
        <v>100</v>
      </c>
      <c r="T35" s="1162" t="s">
        <v>1481</v>
      </c>
      <c r="U35" s="1163">
        <f t="shared" si="13"/>
        <v>100</v>
      </c>
      <c r="V35" s="1162" t="s">
        <v>1481</v>
      </c>
      <c r="W35" s="1163">
        <f t="shared" si="14"/>
        <v>100</v>
      </c>
      <c r="X35" s="1150"/>
      <c r="Y35" s="1178"/>
      <c r="Z35" s="1149" t="str">
        <f t="shared" si="18"/>
        <v>建筑品质</v>
      </c>
      <c r="AA35" s="1149">
        <f t="shared" si="15"/>
        <v>1</v>
      </c>
      <c r="AB35" s="1149">
        <f t="shared" si="16"/>
        <v>1</v>
      </c>
      <c r="AC35" s="1149">
        <f t="shared" si="17"/>
        <v>1</v>
      </c>
    </row>
    <row r="36" ht="15" spans="1:29">
      <c r="A36" s="1030"/>
      <c r="B36" s="980" t="s">
        <v>1505</v>
      </c>
      <c r="C36" s="1032"/>
      <c r="D36" s="780">
        <v>100</v>
      </c>
      <c r="E36" s="1784"/>
      <c r="F36" s="1022">
        <f>SUMIF(109:109,E36,110:110)-SUMIF(109:109,C36,110:110)+100</f>
        <v>100</v>
      </c>
      <c r="G36" s="1032"/>
      <c r="H36" s="780">
        <f>SUMIF(109:109,G36,110:110)-SUMIF(109:109,C36,110:110)+100</f>
        <v>100</v>
      </c>
      <c r="I36" s="1784"/>
      <c r="J36" s="780">
        <f>SUMIF(109:109,I36,110:110)-SUMIF(109:109,C36,110:110)+100</f>
        <v>100</v>
      </c>
      <c r="K36" s="1798"/>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8"/>
        <v>公共部分装修</v>
      </c>
      <c r="AA36" s="1149">
        <f t="shared" si="15"/>
        <v>1</v>
      </c>
      <c r="AB36" s="1149">
        <f t="shared" si="16"/>
        <v>1</v>
      </c>
      <c r="AC36" s="1149">
        <f t="shared" si="17"/>
        <v>1</v>
      </c>
    </row>
    <row r="37" s="920" customFormat="1" ht="15" spans="1:29">
      <c r="A37" s="1034"/>
      <c r="B37" s="980" t="s">
        <v>634</v>
      </c>
      <c r="C37" s="1033"/>
      <c r="D37" s="982">
        <v>100</v>
      </c>
      <c r="E37" s="1033"/>
      <c r="F37" s="980" t="e">
        <f>LOOKUP(E37,112:112,113:113)-LOOKUP(C37,112:112,113:113)+100</f>
        <v>#N/A</v>
      </c>
      <c r="G37" s="1656"/>
      <c r="H37" s="982" t="e">
        <f>LOOKUP(G37,112:112,113:113)-LOOKUP(C37,112:112,113:113)+100</f>
        <v>#N/A</v>
      </c>
      <c r="I37" s="1655"/>
      <c r="J37" s="982" t="e">
        <f>LOOKUP(I37,112:112,113:113)-LOOKUP(C37,112:112,113:113)+100</f>
        <v>#N/A</v>
      </c>
      <c r="K37" s="1798"/>
      <c r="L37" s="1097"/>
      <c r="M37" s="1098"/>
      <c r="N37" s="1098"/>
      <c r="O37" s="1098"/>
      <c r="P37" s="1113"/>
      <c r="Q37" s="815" t="str">
        <f t="shared" si="11"/>
        <v>成新度</v>
      </c>
      <c r="R37" s="1158" t="s">
        <v>1481</v>
      </c>
      <c r="S37" s="1159" t="e">
        <f t="shared" si="12"/>
        <v>#N/A</v>
      </c>
      <c r="T37" s="1158" t="s">
        <v>1481</v>
      </c>
      <c r="U37" s="1159" t="e">
        <f t="shared" si="13"/>
        <v>#N/A</v>
      </c>
      <c r="V37" s="1158" t="s">
        <v>1481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0" t="s">
        <v>1506</v>
      </c>
      <c r="C38" s="1032"/>
      <c r="D38" s="780">
        <v>100</v>
      </c>
      <c r="E38" s="1784"/>
      <c r="F38" s="1022">
        <f>SUMIF(114:114,E38,115:115)-SUMIF(114:114,C38,115:115)+100</f>
        <v>100</v>
      </c>
      <c r="G38" s="1032"/>
      <c r="H38" s="780">
        <f>SUMIF(114:114,G38,115:115)-SUMIF(114:114,C38,115:115)+100</f>
        <v>100</v>
      </c>
      <c r="I38" s="1784"/>
      <c r="J38" s="780">
        <f>SUMIF(114:114,I38,115:115)-SUMIF(114:114,C38,115:115)+100</f>
        <v>100</v>
      </c>
      <c r="K38" s="1798"/>
      <c r="L38" s="1106"/>
      <c r="M38" s="1054"/>
      <c r="N38" s="1054"/>
      <c r="O38" s="1054"/>
      <c r="P38" s="1113" t="s">
        <v>1501</v>
      </c>
      <c r="Q38" s="644" t="str">
        <f t="shared" si="11"/>
        <v>物业管理</v>
      </c>
      <c r="R38" s="1162" t="s">
        <v>1481</v>
      </c>
      <c r="S38" s="1163">
        <f t="shared" si="12"/>
        <v>100</v>
      </c>
      <c r="T38" s="1162" t="s">
        <v>1481</v>
      </c>
      <c r="U38" s="1163">
        <f t="shared" si="13"/>
        <v>100</v>
      </c>
      <c r="V38" s="1162" t="s">
        <v>1481</v>
      </c>
      <c r="W38" s="1163">
        <f t="shared" si="14"/>
        <v>100</v>
      </c>
      <c r="X38" s="1150"/>
      <c r="Y38" s="1178" t="s">
        <v>1501</v>
      </c>
      <c r="Z38" s="1149" t="str">
        <f t="shared" si="18"/>
        <v>物业管理</v>
      </c>
      <c r="AA38" s="1149">
        <f t="shared" si="15"/>
        <v>1</v>
      </c>
      <c r="AB38" s="1149">
        <f t="shared" si="16"/>
        <v>1</v>
      </c>
      <c r="AC38" s="1149">
        <f t="shared" si="17"/>
        <v>1</v>
      </c>
    </row>
    <row r="39" ht="15" spans="1:29">
      <c r="A39" s="1030"/>
      <c r="B39" s="980" t="s">
        <v>1507</v>
      </c>
      <c r="C39" s="1032"/>
      <c r="D39" s="780">
        <v>100</v>
      </c>
      <c r="E39" s="1784"/>
      <c r="F39" s="1022">
        <f>SUMIF(116:116,E39,117:117)-SUMIF(116:116,C39,117:117)+100</f>
        <v>100</v>
      </c>
      <c r="G39" s="1032"/>
      <c r="H39" s="780">
        <f>SUMIF(116:116,G39,117:117)-SUMIF(116:116,C39,117:117)+100</f>
        <v>100</v>
      </c>
      <c r="I39" s="1784"/>
      <c r="J39" s="780">
        <f>SUMIF(116:116,I39,117:117)-SUMIF(116:116,C39,117:117)+100</f>
        <v>100</v>
      </c>
      <c r="K39" s="1798"/>
      <c r="L39" s="1106"/>
      <c r="M39" s="1054"/>
      <c r="N39" s="1054"/>
      <c r="O39" s="1054"/>
      <c r="P39" s="1113"/>
      <c r="Q39" s="644" t="str">
        <f t="shared" si="11"/>
        <v>市政基础设施</v>
      </c>
      <c r="R39" s="1162" t="s">
        <v>1481</v>
      </c>
      <c r="S39" s="1163">
        <f t="shared" si="12"/>
        <v>100</v>
      </c>
      <c r="T39" s="1162" t="s">
        <v>1481</v>
      </c>
      <c r="U39" s="1163">
        <f t="shared" si="13"/>
        <v>100</v>
      </c>
      <c r="V39" s="1162" t="s">
        <v>1481</v>
      </c>
      <c r="W39" s="1163">
        <f t="shared" si="14"/>
        <v>100</v>
      </c>
      <c r="X39" s="1150"/>
      <c r="Y39" s="1178"/>
      <c r="Z39" s="1149" t="str">
        <f t="shared" si="18"/>
        <v>市政基础设施</v>
      </c>
      <c r="AA39" s="1149">
        <f t="shared" si="15"/>
        <v>1</v>
      </c>
      <c r="AB39" s="1149">
        <f t="shared" si="16"/>
        <v>1</v>
      </c>
      <c r="AC39" s="1149">
        <f t="shared" si="17"/>
        <v>1</v>
      </c>
    </row>
    <row r="40" ht="15" spans="1:29">
      <c r="A40" s="1030"/>
      <c r="B40" s="980" t="s">
        <v>1508</v>
      </c>
      <c r="C40" s="1032"/>
      <c r="D40" s="780">
        <v>100</v>
      </c>
      <c r="E40" s="1784"/>
      <c r="F40" s="1022">
        <f>SUMIF(118:118,E40,119:119)-SUMIF(118:118,C40,119:119)+100</f>
        <v>100</v>
      </c>
      <c r="G40" s="1032"/>
      <c r="H40" s="780">
        <f>SUMIF(118:118,G40,119:119)-SUMIF(118:118,C40,119:119)+100</f>
        <v>100</v>
      </c>
      <c r="I40" s="1784"/>
      <c r="J40" s="780">
        <f>SUMIF(118:118,I40,119:119)-SUMIF(118:118,C40,119:119)+100</f>
        <v>100</v>
      </c>
      <c r="K40" s="1798"/>
      <c r="L40" s="1106"/>
      <c r="M40" s="1054"/>
      <c r="N40" s="1054"/>
      <c r="O40" s="1054"/>
      <c r="P40" s="1113"/>
      <c r="Q40" s="644" t="str">
        <f t="shared" si="11"/>
        <v>房型</v>
      </c>
      <c r="R40" s="1162" t="s">
        <v>1481</v>
      </c>
      <c r="S40" s="1163">
        <f t="shared" si="12"/>
        <v>100</v>
      </c>
      <c r="T40" s="1162" t="s">
        <v>1481</v>
      </c>
      <c r="U40" s="1163">
        <f t="shared" si="13"/>
        <v>100</v>
      </c>
      <c r="V40" s="1162" t="s">
        <v>1481</v>
      </c>
      <c r="W40" s="1163">
        <f t="shared" si="14"/>
        <v>100</v>
      </c>
      <c r="X40" s="1150"/>
      <c r="Y40" s="1178"/>
      <c r="Z40" s="1149" t="str">
        <f t="shared" si="18"/>
        <v>房型</v>
      </c>
      <c r="AA40" s="1149">
        <f t="shared" si="15"/>
        <v>1</v>
      </c>
      <c r="AB40" s="1149">
        <f t="shared" si="16"/>
        <v>1</v>
      </c>
      <c r="AC40" s="1149">
        <f t="shared" si="17"/>
        <v>1</v>
      </c>
    </row>
    <row r="41" s="922" customFormat="1" ht="27.75" spans="1:29">
      <c r="A41" s="1028"/>
      <c r="B41" s="980" t="s">
        <v>1509</v>
      </c>
      <c r="C41" s="1029"/>
      <c r="D41" s="982">
        <v>100</v>
      </c>
      <c r="E41" s="986"/>
      <c r="F41" s="980">
        <f>SUMIF(120:120,E41,121:121)-SUMIF(120:120,C41,121:121)+100</f>
        <v>100</v>
      </c>
      <c r="G41" s="985"/>
      <c r="H41" s="982">
        <f>SUMIF(120:120,G41,121:121)-SUMIF(120:120,C41,121:121)+100</f>
        <v>100</v>
      </c>
      <c r="I41" s="1529"/>
      <c r="J41" s="780">
        <f>SUMIF(120:120,I41,121:121)-SUMIF(120:120,C41,121:121)+100</f>
        <v>100</v>
      </c>
      <c r="K41" s="1799"/>
      <c r="L41" s="1104"/>
      <c r="M41" s="1112"/>
      <c r="N41" s="1112"/>
      <c r="O41" s="1112"/>
      <c r="P41" s="1113"/>
      <c r="Q41" s="1164" t="str">
        <f t="shared" si="11"/>
        <v>单套/主力户型建筑面积</v>
      </c>
      <c r="R41" s="1165" t="s">
        <v>1481</v>
      </c>
      <c r="S41" s="1166">
        <f t="shared" si="12"/>
        <v>100</v>
      </c>
      <c r="T41" s="1165" t="s">
        <v>1481</v>
      </c>
      <c r="U41" s="1166">
        <f t="shared" si="13"/>
        <v>100</v>
      </c>
      <c r="V41" s="1165" t="s">
        <v>1481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0" t="s">
        <v>1510</v>
      </c>
      <c r="C42" s="1032"/>
      <c r="D42" s="780">
        <v>100</v>
      </c>
      <c r="E42" s="1784"/>
      <c r="F42" s="1022">
        <f>SUMIF(122:122,E42,123:123)-SUMIF(122:122,C42,123:123)+100</f>
        <v>100</v>
      </c>
      <c r="G42" s="1032"/>
      <c r="H42" s="780">
        <f>SUMIF(122:122,G42,123:123)-SUMIF(122:122,C42,123:123)+100</f>
        <v>100</v>
      </c>
      <c r="I42" s="1784"/>
      <c r="J42" s="780">
        <f>SUMIF(122:122,I42,123:123)-SUMIF(122:122,C42,123:123)+100</f>
        <v>100</v>
      </c>
      <c r="K42" s="1798"/>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8"/>
        <v>内部装修</v>
      </c>
      <c r="AA42" s="1149">
        <f t="shared" si="15"/>
        <v>1</v>
      </c>
      <c r="AB42" s="1149">
        <f t="shared" si="16"/>
        <v>1</v>
      </c>
      <c r="AC42" s="1149">
        <f t="shared" si="17"/>
        <v>1</v>
      </c>
    </row>
    <row r="43" ht="15" spans="1:29">
      <c r="A43" s="1030"/>
      <c r="B43" s="980" t="s">
        <v>1511</v>
      </c>
      <c r="C43" s="1032"/>
      <c r="D43" s="780">
        <v>100</v>
      </c>
      <c r="E43" s="1784"/>
      <c r="F43" s="1022">
        <f>SUMIF(124:124,E43,125:125)-SUMIF(124:124,C43,125:125)+100</f>
        <v>100</v>
      </c>
      <c r="G43" s="1032"/>
      <c r="H43" s="780">
        <f>SUMIF(124:124,G43,125:125)-SUMIF(124:124,C43,125:125)+100</f>
        <v>100</v>
      </c>
      <c r="I43" s="1784"/>
      <c r="J43" s="780">
        <f>SUMIF(124:124,I43,125:125)-SUMIF(124:124,C43,125:125)+100</f>
        <v>100</v>
      </c>
      <c r="K43" s="1798"/>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8"/>
        <v>内部装修维护情况</v>
      </c>
      <c r="AA43" s="1149">
        <f t="shared" si="15"/>
        <v>1</v>
      </c>
      <c r="AB43" s="1149">
        <f t="shared" si="16"/>
        <v>1</v>
      </c>
      <c r="AC43" s="1149">
        <f t="shared" si="17"/>
        <v>1</v>
      </c>
    </row>
    <row r="44" s="920" customFormat="1" ht="15" spans="1:29">
      <c r="A44" s="1034"/>
      <c r="B44" s="1023">
        <v>111</v>
      </c>
      <c r="C44" s="1029"/>
      <c r="D44" s="982">
        <v>100</v>
      </c>
      <c r="E44" s="1029"/>
      <c r="F44" s="980">
        <f>SUMIF(126:126,E44,127:127)-SUMIF(126:126,C44,127:127)+100</f>
        <v>100</v>
      </c>
      <c r="G44" s="1029"/>
      <c r="H44" s="982">
        <f>SUMIF(126:126,G44,127:127)-SUMIF(126:126,C44,127:127)+100</f>
        <v>100</v>
      </c>
      <c r="I44" s="1029"/>
      <c r="J44" s="982">
        <f>SUMIF(126:126,I44,127:127)-SUMIF(126:126,C44,127:127)+100</f>
        <v>100</v>
      </c>
      <c r="K44" s="1799"/>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8"/>
        <v>111</v>
      </c>
      <c r="AA44" s="1175">
        <f t="shared" si="15"/>
        <v>1</v>
      </c>
      <c r="AB44" s="1175">
        <f t="shared" si="16"/>
        <v>1</v>
      </c>
      <c r="AC44" s="1175">
        <f t="shared" si="17"/>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799"/>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8"/>
        <v>111</v>
      </c>
      <c r="AA45" s="1149">
        <f t="shared" si="15"/>
        <v>1</v>
      </c>
      <c r="AB45" s="1149">
        <f t="shared" si="16"/>
        <v>1</v>
      </c>
      <c r="AC45" s="1149">
        <f t="shared" si="17"/>
        <v>1</v>
      </c>
    </row>
    <row r="46" ht="15.75" spans="1:29">
      <c r="A46" s="1037"/>
      <c r="B46" s="993">
        <v>111</v>
      </c>
      <c r="C46" s="994"/>
      <c r="D46" s="995">
        <v>100</v>
      </c>
      <c r="E46" s="994"/>
      <c r="F46" s="996">
        <f>SUMIF(130:130,E46,131:131)-SUMIF(130:130,C46,131:131)+100</f>
        <v>100</v>
      </c>
      <c r="G46" s="994"/>
      <c r="H46" s="995">
        <f>SUMIF(130:130,G46,131:131)-SUMIF(130:130,C46,131:131)+100</f>
        <v>100</v>
      </c>
      <c r="I46" s="994"/>
      <c r="J46" s="995">
        <f>SUMIF(130:130,I46,131:131)-SUMIF(130:130,C46,131:131)+100</f>
        <v>100</v>
      </c>
      <c r="K46" s="1799"/>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8"/>
        <v>111</v>
      </c>
      <c r="AA46" s="1149">
        <f t="shared" si="15"/>
        <v>1</v>
      </c>
      <c r="AB46" s="1149">
        <f t="shared" si="16"/>
        <v>1</v>
      </c>
      <c r="AC46" s="1149">
        <f t="shared" si="17"/>
        <v>1</v>
      </c>
    </row>
    <row r="47" ht="15" spans="1:29">
      <c r="A47" s="1038" t="s">
        <v>1512</v>
      </c>
      <c r="B47" s="1039"/>
      <c r="C47" s="1040" t="s">
        <v>124</v>
      </c>
      <c r="D47" s="1041"/>
      <c r="E47" s="1042"/>
      <c r="F47" s="1043"/>
      <c r="G47" s="1044"/>
      <c r="H47" s="1045"/>
      <c r="I47" s="1042"/>
      <c r="J47" s="1045"/>
      <c r="K47" s="1803"/>
      <c r="L47" s="1593"/>
      <c r="M47" s="1054"/>
      <c r="N47" s="1054"/>
      <c r="O47" s="1054"/>
      <c r="P47" s="644" t="str">
        <f>A47</f>
        <v>成交单价（元/平方米）</v>
      </c>
      <c r="Q47" s="644"/>
      <c r="R47" s="1149">
        <f>E47</f>
        <v>0</v>
      </c>
      <c r="S47" s="1149"/>
      <c r="T47" s="1149">
        <f>G47</f>
        <v>0</v>
      </c>
      <c r="U47" s="1149"/>
      <c r="V47" s="1149">
        <f>I47</f>
        <v>0</v>
      </c>
      <c r="W47" s="1149"/>
      <c r="X47" s="1004"/>
      <c r="Y47" s="1181"/>
      <c r="Z47" s="1004"/>
      <c r="AA47" s="1004"/>
      <c r="AB47" s="1004"/>
      <c r="AC47" s="1004"/>
    </row>
    <row r="48" ht="15.75" spans="1:29">
      <c r="A48" s="1046" t="s">
        <v>1513</v>
      </c>
      <c r="B48" s="1047"/>
      <c r="C48" s="1048" t="e">
        <f>R49</f>
        <v>#DIV/0!</v>
      </c>
      <c r="D48" s="1049" t="s">
        <v>1514</v>
      </c>
      <c r="E48" s="1050" t="e">
        <f>R48</f>
        <v>#DIV/0!</v>
      </c>
      <c r="F48" s="1051"/>
      <c r="G48" s="1048" t="e">
        <f>T48</f>
        <v>#DIV/0!</v>
      </c>
      <c r="H48" s="1051"/>
      <c r="I48" s="1050" t="e">
        <f>V48</f>
        <v>#DIV/0!</v>
      </c>
      <c r="J48" s="1051"/>
      <c r="K48" s="1804">
        <f>F48+H48+J48</f>
        <v>0</v>
      </c>
      <c r="L48" s="1593"/>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4"/>
      <c r="Y48" s="1004"/>
      <c r="Z48" s="1004"/>
      <c r="AA48" s="1004"/>
      <c r="AB48" s="1004"/>
      <c r="AC48" s="1004"/>
    </row>
    <row r="49" ht="15.75" spans="1:29">
      <c r="A49" s="1052" t="s">
        <v>1515</v>
      </c>
      <c r="B49" s="1053"/>
      <c r="C49" s="1787" t="e">
        <f>R49</f>
        <v>#DIV/0!</v>
      </c>
      <c r="D49" s="962"/>
      <c r="E49" s="962"/>
      <c r="F49" s="962"/>
      <c r="G49" s="962"/>
      <c r="H49" s="962"/>
      <c r="I49" s="962"/>
      <c r="J49" s="962"/>
      <c r="K49" s="1805"/>
      <c r="L49" s="1593"/>
      <c r="M49" s="1054"/>
      <c r="N49" s="1054"/>
      <c r="O49" s="1054"/>
      <c r="P49" s="1022"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4"/>
      <c r="Y49" s="1004"/>
      <c r="Z49" s="1004"/>
      <c r="AA49" s="1004"/>
      <c r="AB49" s="1004"/>
      <c r="AC49" s="1004"/>
    </row>
    <row r="50" spans="1:15">
      <c r="A50" s="1054"/>
      <c r="B50" s="1054"/>
      <c r="C50" s="1054"/>
      <c r="D50" s="1054"/>
      <c r="E50" s="1054"/>
      <c r="F50" s="1054"/>
      <c r="G50" s="1547"/>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1516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1517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3" customFormat="1" ht="13.5" customHeight="1" spans="1:16">
      <c r="A54" s="1059"/>
      <c r="B54" s="1059"/>
      <c r="C54" s="1056" t="s">
        <v>1518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06"/>
    </row>
    <row r="55" s="923" customFormat="1" spans="1:16">
      <c r="A55" s="1059"/>
      <c r="B55" s="1060"/>
      <c r="C55" s="1061"/>
      <c r="D55" s="1059"/>
      <c r="E55" s="1059"/>
      <c r="F55" s="1059"/>
      <c r="G55" s="1059"/>
      <c r="H55" s="1059"/>
      <c r="I55" s="1059"/>
      <c r="J55" s="1059"/>
      <c r="K55" s="1122"/>
      <c r="L55" s="1123"/>
      <c r="M55" s="1059"/>
      <c r="N55" s="1059"/>
      <c r="O55" s="1059"/>
      <c r="P55" s="1806"/>
    </row>
    <row r="56" spans="1:15">
      <c r="A56" s="1054"/>
      <c r="B56" s="1060"/>
      <c r="C56" s="1061"/>
      <c r="D56" s="1054"/>
      <c r="E56" s="1054"/>
      <c r="F56" s="1054"/>
      <c r="G56" s="1054"/>
      <c r="H56" s="1054"/>
      <c r="I56" s="1054"/>
      <c r="J56" s="1054"/>
      <c r="K56" s="1119"/>
      <c r="L56" s="1121"/>
      <c r="M56" s="1054"/>
      <c r="N56" s="1054"/>
      <c r="O56" s="1054"/>
    </row>
    <row r="57" ht="21" spans="1:17">
      <c r="A57" s="1062" t="s">
        <v>1519</v>
      </c>
      <c r="B57" s="1004"/>
      <c r="C57" s="1063"/>
      <c r="D57" s="1063"/>
      <c r="E57" s="1063"/>
      <c r="F57" s="1064"/>
      <c r="G57" s="1064"/>
      <c r="H57" s="1063"/>
      <c r="I57" s="1063"/>
      <c r="J57" s="1063"/>
      <c r="K57" s="1644"/>
      <c r="L57" s="1126"/>
      <c r="M57" s="1127"/>
      <c r="N57" s="1127"/>
      <c r="O57" s="1127"/>
      <c r="P57" s="1807"/>
      <c r="Q57" s="1736"/>
    </row>
    <row r="58" s="924" customFormat="1" ht="15" spans="1:16">
      <c r="A58" s="1065" t="s">
        <v>1479</v>
      </c>
      <c r="B58" s="1066"/>
      <c r="C58" s="1788" t="str">
        <f>YEAR(C7)&amp;"-"&amp;MONTH(C7)</f>
        <v>2025-5</v>
      </c>
      <c r="D58" s="1068">
        <f>EDATE(C58,-1)</f>
        <v>45748</v>
      </c>
      <c r="E58" s="1068">
        <f>EDATE(D58,-1)</f>
        <v>45717</v>
      </c>
      <c r="F58" s="1068">
        <f t="shared" ref="F58:O58" si="19">EDATE(E58,-1)</f>
        <v>45689</v>
      </c>
      <c r="G58" s="1068">
        <f t="shared" si="19"/>
        <v>45658</v>
      </c>
      <c r="H58" s="1068">
        <f t="shared" si="19"/>
        <v>45627</v>
      </c>
      <c r="I58" s="1068">
        <f t="shared" si="19"/>
        <v>45597</v>
      </c>
      <c r="J58" s="1068">
        <f t="shared" si="19"/>
        <v>45566</v>
      </c>
      <c r="K58" s="1068">
        <f t="shared" si="19"/>
        <v>45536</v>
      </c>
      <c r="L58" s="1068">
        <f t="shared" si="19"/>
        <v>45505</v>
      </c>
      <c r="M58" s="1068">
        <f t="shared" si="19"/>
        <v>45474</v>
      </c>
      <c r="N58" s="1068">
        <f t="shared" si="19"/>
        <v>45444</v>
      </c>
      <c r="O58" s="1068">
        <f t="shared" si="19"/>
        <v>45413</v>
      </c>
      <c r="P58" s="1808"/>
    </row>
    <row r="59" s="920" customFormat="1" ht="15" spans="1:16">
      <c r="A59" s="1069"/>
      <c r="B59" s="1789"/>
      <c r="C59" s="1071">
        <v>100</v>
      </c>
      <c r="D59" s="1081"/>
      <c r="E59" s="1072"/>
      <c r="F59" s="1072"/>
      <c r="G59" s="1072"/>
      <c r="H59" s="1072"/>
      <c r="I59" s="1072"/>
      <c r="J59" s="1072"/>
      <c r="K59" s="1072"/>
      <c r="L59" s="1072"/>
      <c r="M59" s="988"/>
      <c r="N59" s="1072"/>
      <c r="O59" s="988"/>
      <c r="P59" s="1809"/>
    </row>
    <row r="60" s="920" customFormat="1" ht="15.75" spans="1:17">
      <c r="A60" s="1073" t="s">
        <v>1520</v>
      </c>
      <c r="B60" s="1074"/>
      <c r="C60" s="1075"/>
      <c r="D60" s="1076"/>
      <c r="E60" s="1076"/>
      <c r="F60" s="1076"/>
      <c r="G60" s="1076"/>
      <c r="H60" s="1076"/>
      <c r="I60" s="1076"/>
      <c r="J60" s="1076"/>
      <c r="K60" s="1076"/>
      <c r="L60" s="1076"/>
      <c r="M60" s="1131"/>
      <c r="N60" s="1076"/>
      <c r="O60" s="1131"/>
      <c r="P60" s="1809"/>
      <c r="Q60" s="1736"/>
    </row>
    <row r="61" s="920" customFormat="1" ht="15" spans="1:17">
      <c r="A61" s="1077" t="s">
        <v>1482</v>
      </c>
      <c r="B61" s="1070"/>
      <c r="C61" s="1078" t="s">
        <v>1521</v>
      </c>
      <c r="D61" s="1080"/>
      <c r="E61" s="1080"/>
      <c r="F61" s="1080"/>
      <c r="G61" s="1080"/>
      <c r="H61" s="1080"/>
      <c r="I61" s="1080"/>
      <c r="J61" s="1080"/>
      <c r="K61" s="1080"/>
      <c r="L61" s="1132"/>
      <c r="M61" s="1133"/>
      <c r="N61" s="1739"/>
      <c r="O61" s="1739"/>
      <c r="P61" s="1810"/>
      <c r="Q61" s="1736"/>
    </row>
    <row r="62" s="920" customFormat="1" ht="15.75" spans="1:17">
      <c r="A62" s="1077"/>
      <c r="B62" s="1070"/>
      <c r="C62" s="1081">
        <v>100</v>
      </c>
      <c r="D62" s="1072"/>
      <c r="E62" s="1072"/>
      <c r="F62" s="1072"/>
      <c r="G62" s="1072"/>
      <c r="H62" s="1072"/>
      <c r="I62" s="1072"/>
      <c r="J62" s="1072"/>
      <c r="K62" s="1072"/>
      <c r="L62" s="1072"/>
      <c r="M62" s="1136"/>
      <c r="N62" s="1739"/>
      <c r="O62" s="1739"/>
      <c r="P62" s="1809"/>
      <c r="Q62" s="1736"/>
    </row>
    <row r="63" spans="1:17">
      <c r="A63" s="997" t="s">
        <v>1522</v>
      </c>
      <c r="B63" s="1082" t="s">
        <v>1485</v>
      </c>
      <c r="C63" s="640">
        <f>C9</f>
        <v>0</v>
      </c>
      <c r="D63" s="1083"/>
      <c r="E63" s="1083"/>
      <c r="F63" s="1083"/>
      <c r="G63" s="1083"/>
      <c r="H63" s="1083"/>
      <c r="I63" s="1083"/>
      <c r="J63" s="1083"/>
      <c r="K63" s="1137"/>
      <c r="L63" s="1138"/>
      <c r="M63" s="1139"/>
      <c r="N63" s="1741"/>
      <c r="O63" s="1741"/>
      <c r="P63" s="1811"/>
      <c r="Q63" s="1736"/>
    </row>
    <row r="64" ht="15.75" spans="1:17">
      <c r="A64" s="984"/>
      <c r="B64" s="1084"/>
      <c r="C64" s="1085">
        <v>100</v>
      </c>
      <c r="D64" s="1085"/>
      <c r="E64" s="1085"/>
      <c r="F64" s="1085"/>
      <c r="G64" s="1085"/>
      <c r="H64" s="1085"/>
      <c r="I64" s="1085"/>
      <c r="J64" s="1085"/>
      <c r="K64" s="1085"/>
      <c r="L64" s="1085"/>
      <c r="M64" s="1142"/>
      <c r="N64" s="1743"/>
      <c r="O64" s="1743"/>
      <c r="P64" s="1811"/>
      <c r="Q64" s="1736"/>
    </row>
    <row r="65" ht="27.75" spans="1:17">
      <c r="A65" s="984"/>
      <c r="B65" s="1182" t="s">
        <v>1488</v>
      </c>
      <c r="C65" s="1183"/>
      <c r="D65" s="1183"/>
      <c r="E65" s="1183"/>
      <c r="F65" s="1183"/>
      <c r="G65" s="1183"/>
      <c r="H65" s="1183"/>
      <c r="I65" s="1183"/>
      <c r="J65" s="1183"/>
      <c r="K65" s="1183"/>
      <c r="L65" s="1183"/>
      <c r="M65" s="1183"/>
      <c r="N65" s="1743"/>
      <c r="O65" s="1743"/>
      <c r="P65" s="1811"/>
      <c r="Q65" s="1736"/>
    </row>
    <row r="66" ht="15.75" spans="1:17">
      <c r="A66" s="984"/>
      <c r="B66" s="1184"/>
      <c r="C66" s="1085"/>
      <c r="D66" s="1085"/>
      <c r="E66" s="1085"/>
      <c r="F66" s="1085"/>
      <c r="G66" s="1085"/>
      <c r="H66" s="1085"/>
      <c r="I66" s="1085"/>
      <c r="J66" s="1085"/>
      <c r="K66" s="1085"/>
      <c r="L66" s="1085"/>
      <c r="M66" s="1142"/>
      <c r="N66" s="1743"/>
      <c r="O66" s="1743"/>
      <c r="P66" s="1811"/>
      <c r="Q66" s="1736"/>
    </row>
    <row r="67" ht="15.75" spans="1:17">
      <c r="A67" s="984"/>
      <c r="B67" s="1185" t="s">
        <v>1489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6" t="str">
        <f>M68&amp;"（含）"&amp;"-"&amp;P68</f>
        <v>（含）-</v>
      </c>
      <c r="N67" s="1743"/>
      <c r="O67" s="1743"/>
      <c r="P67" s="1811"/>
      <c r="Q67" s="1736"/>
    </row>
    <row r="68" ht="15" spans="1:17">
      <c r="A68" s="984"/>
      <c r="B68" s="1187"/>
      <c r="C68" s="1188"/>
      <c r="D68" s="1188"/>
      <c r="E68" s="1188"/>
      <c r="F68" s="1188"/>
      <c r="G68" s="1188"/>
      <c r="H68" s="1188"/>
      <c r="I68" s="1188"/>
      <c r="J68" s="1188"/>
      <c r="K68" s="1216"/>
      <c r="L68" s="1217"/>
      <c r="M68" s="1218"/>
      <c r="N68" s="1741"/>
      <c r="O68" s="1741"/>
      <c r="P68" s="1811"/>
      <c r="Q68" s="1736"/>
    </row>
    <row r="69" ht="15.75" spans="1:17">
      <c r="A69" s="984"/>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3"/>
      <c r="O69" s="1743"/>
      <c r="P69" s="1811"/>
      <c r="Q69" s="1736"/>
    </row>
    <row r="70" s="922" customFormat="1" ht="15.75" spans="1:17">
      <c r="A70" s="1190"/>
      <c r="B70" s="1182">
        <f>B12</f>
        <v>111</v>
      </c>
      <c r="C70" s="1191"/>
      <c r="D70" s="1191"/>
      <c r="E70" s="1191"/>
      <c r="F70" s="1191"/>
      <c r="G70" s="1191"/>
      <c r="H70" s="1192"/>
      <c r="I70" s="1192"/>
      <c r="J70" s="1192"/>
      <c r="K70" s="1192"/>
      <c r="L70" s="1220"/>
      <c r="M70" s="1221"/>
      <c r="N70" s="1744"/>
      <c r="O70" s="1744"/>
      <c r="P70" s="1814"/>
      <c r="Q70" s="1746"/>
    </row>
    <row r="71" s="922" customFormat="1" ht="15.75" spans="1:17">
      <c r="A71" s="1190"/>
      <c r="B71" s="1184"/>
      <c r="C71" s="1193"/>
      <c r="D71" s="1085"/>
      <c r="E71" s="1085"/>
      <c r="F71" s="1085"/>
      <c r="G71" s="1085"/>
      <c r="H71" s="1085"/>
      <c r="I71" s="1085"/>
      <c r="J71" s="1085"/>
      <c r="K71" s="1085"/>
      <c r="L71" s="1085"/>
      <c r="M71" s="1142"/>
      <c r="N71" s="1743"/>
      <c r="O71" s="1743"/>
      <c r="P71" s="1814"/>
      <c r="Q71" s="1746"/>
    </row>
    <row r="72" s="922" customFormat="1" ht="15.75" spans="1:17">
      <c r="A72" s="1190"/>
      <c r="B72" s="1182">
        <f>B13</f>
        <v>111</v>
      </c>
      <c r="C72" s="1191"/>
      <c r="D72" s="1191"/>
      <c r="E72" s="1191"/>
      <c r="F72" s="1191"/>
      <c r="G72" s="1191"/>
      <c r="H72" s="1192"/>
      <c r="I72" s="1192"/>
      <c r="J72" s="1192"/>
      <c r="K72" s="1192"/>
      <c r="L72" s="1220"/>
      <c r="M72" s="1221"/>
      <c r="N72" s="1744"/>
      <c r="O72" s="1744"/>
      <c r="P72" s="1815"/>
      <c r="Q72" s="1749"/>
    </row>
    <row r="73" s="922" customFormat="1" ht="15.75" spans="1:17">
      <c r="A73" s="1190"/>
      <c r="B73" s="1184"/>
      <c r="C73" s="1193"/>
      <c r="D73" s="1193"/>
      <c r="E73" s="1193"/>
      <c r="F73" s="1193"/>
      <c r="G73" s="1193"/>
      <c r="H73" s="1194"/>
      <c r="I73" s="1194"/>
      <c r="J73" s="1194"/>
      <c r="K73" s="1194"/>
      <c r="L73" s="1194"/>
      <c r="M73" s="1225"/>
      <c r="N73" s="1744"/>
      <c r="O73" s="1744"/>
      <c r="P73" s="1814"/>
      <c r="Q73" s="1746"/>
    </row>
    <row r="74" s="922" customFormat="1" ht="15.75" spans="1:17">
      <c r="A74" s="1190"/>
      <c r="B74" s="1185">
        <f>B14</f>
        <v>111</v>
      </c>
      <c r="C74" s="1191"/>
      <c r="D74" s="1191"/>
      <c r="E74" s="1191"/>
      <c r="F74" s="1191"/>
      <c r="G74" s="1080"/>
      <c r="H74" s="1195"/>
      <c r="I74" s="1195"/>
      <c r="J74" s="1195"/>
      <c r="K74" s="1195"/>
      <c r="L74" s="1226"/>
      <c r="M74" s="1227"/>
      <c r="N74" s="1744"/>
      <c r="O74" s="1744"/>
      <c r="P74" s="1816"/>
      <c r="Q74" s="1746"/>
    </row>
    <row r="75" s="922" customFormat="1" ht="15.75" spans="1:17">
      <c r="A75" s="1196"/>
      <c r="B75" s="1197"/>
      <c r="C75" s="1198"/>
      <c r="D75" s="1198"/>
      <c r="E75" s="1198"/>
      <c r="F75" s="1198"/>
      <c r="G75" s="1198"/>
      <c r="H75" s="1199"/>
      <c r="I75" s="1199"/>
      <c r="J75" s="1199"/>
      <c r="K75" s="1199"/>
      <c r="L75" s="1199"/>
      <c r="M75" s="1229"/>
      <c r="N75" s="1744"/>
      <c r="O75" s="1744"/>
      <c r="P75" s="1814"/>
      <c r="Q75" s="1746"/>
    </row>
    <row r="76" spans="1:17">
      <c r="A76" s="997" t="s">
        <v>1490</v>
      </c>
      <c r="B76" s="1082" t="s">
        <v>1491</v>
      </c>
      <c r="C76" s="1200" t="s">
        <v>1523</v>
      </c>
      <c r="D76" s="1200" t="s">
        <v>1524</v>
      </c>
      <c r="E76" s="1200" t="s">
        <v>1525</v>
      </c>
      <c r="F76" s="1200" t="s">
        <v>1526</v>
      </c>
      <c r="G76" s="1200" t="s">
        <v>1527</v>
      </c>
      <c r="H76" s="640"/>
      <c r="I76" s="640"/>
      <c r="J76" s="640"/>
      <c r="K76" s="1230"/>
      <c r="L76" s="1231"/>
      <c r="M76" s="1232"/>
      <c r="N76" s="1741"/>
      <c r="O76" s="1741"/>
      <c r="P76" s="1817"/>
      <c r="Q76" s="1736"/>
    </row>
    <row r="77" ht="15.75" spans="1:17">
      <c r="A77" s="984"/>
      <c r="B77" s="1184"/>
      <c r="C77" s="1189">
        <v>100</v>
      </c>
      <c r="D77" s="1189">
        <f>C77-$K15</f>
        <v>100</v>
      </c>
      <c r="E77" s="1189">
        <f>D77-$K15</f>
        <v>100</v>
      </c>
      <c r="F77" s="1189">
        <f>E77-$K15</f>
        <v>100</v>
      </c>
      <c r="G77" s="1189">
        <f>F77-$K15</f>
        <v>100</v>
      </c>
      <c r="H77" s="1189"/>
      <c r="I77" s="1189"/>
      <c r="J77" s="1189"/>
      <c r="K77" s="1189"/>
      <c r="L77" s="1189"/>
      <c r="M77" s="1219"/>
      <c r="N77" s="1743"/>
      <c r="O77" s="1743"/>
      <c r="P77" s="1811"/>
      <c r="Q77" s="1736"/>
    </row>
    <row r="78" ht="15.75" spans="1:17">
      <c r="A78" s="984"/>
      <c r="B78" s="1182" t="s">
        <v>1493</v>
      </c>
      <c r="C78" s="1201" t="s">
        <v>1523</v>
      </c>
      <c r="D78" s="1201" t="s">
        <v>1524</v>
      </c>
      <c r="E78" s="1201" t="s">
        <v>1525</v>
      </c>
      <c r="F78" s="1201" t="s">
        <v>1526</v>
      </c>
      <c r="G78" s="1201" t="s">
        <v>1527</v>
      </c>
      <c r="H78" s="1202"/>
      <c r="I78" s="1202"/>
      <c r="J78" s="1202"/>
      <c r="K78" s="1234"/>
      <c r="L78" s="1235"/>
      <c r="M78" s="1236"/>
      <c r="N78" s="1741"/>
      <c r="O78" s="1741"/>
      <c r="P78" s="1811"/>
      <c r="Q78" s="1736"/>
    </row>
    <row r="79" ht="15.75" spans="1:17">
      <c r="A79" s="984"/>
      <c r="B79" s="1184"/>
      <c r="C79" s="1189">
        <v>100</v>
      </c>
      <c r="D79" s="1189">
        <f>C79-$K17</f>
        <v>100</v>
      </c>
      <c r="E79" s="1189">
        <f>D79-$K17</f>
        <v>100</v>
      </c>
      <c r="F79" s="1189">
        <f>E79-$K17</f>
        <v>100</v>
      </c>
      <c r="G79" s="1189">
        <f>F79-$K17</f>
        <v>100</v>
      </c>
      <c r="H79" s="1189"/>
      <c r="I79" s="1189"/>
      <c r="J79" s="1189"/>
      <c r="K79" s="1189"/>
      <c r="L79" s="1189"/>
      <c r="M79" s="1219"/>
      <c r="N79" s="1743"/>
      <c r="O79" s="1743"/>
      <c r="P79" s="1811"/>
      <c r="Q79" s="1736"/>
    </row>
    <row r="80" ht="15.75" spans="1:17">
      <c r="A80" s="984"/>
      <c r="B80" s="1182" t="s">
        <v>1494</v>
      </c>
      <c r="C80" s="1201" t="s">
        <v>1523</v>
      </c>
      <c r="D80" s="1201" t="s">
        <v>1524</v>
      </c>
      <c r="E80" s="1201" t="s">
        <v>1525</v>
      </c>
      <c r="F80" s="1201" t="s">
        <v>1526</v>
      </c>
      <c r="G80" s="1201" t="s">
        <v>1527</v>
      </c>
      <c r="H80" s="1202"/>
      <c r="I80" s="1202"/>
      <c r="J80" s="1202"/>
      <c r="K80" s="1234"/>
      <c r="L80" s="1235"/>
      <c r="M80" s="1236"/>
      <c r="N80" s="1741"/>
      <c r="O80" s="1741"/>
      <c r="P80" s="1811"/>
      <c r="Q80" s="1736"/>
    </row>
    <row r="81" ht="15.75" spans="1:17">
      <c r="A81" s="984"/>
      <c r="B81" s="1184"/>
      <c r="C81" s="1189">
        <v>100</v>
      </c>
      <c r="D81" s="1189">
        <f>C81-$K19</f>
        <v>100</v>
      </c>
      <c r="E81" s="1189">
        <f>D81-$K19</f>
        <v>100</v>
      </c>
      <c r="F81" s="1189">
        <f>E81-$K19</f>
        <v>100</v>
      </c>
      <c r="G81" s="1189">
        <f>F81-$K19</f>
        <v>100</v>
      </c>
      <c r="H81" s="1189"/>
      <c r="I81" s="1189"/>
      <c r="J81" s="1189"/>
      <c r="K81" s="1189"/>
      <c r="L81" s="1189"/>
      <c r="M81" s="1219"/>
      <c r="N81" s="1743"/>
      <c r="O81" s="1743"/>
      <c r="P81" s="1811"/>
      <c r="Q81" s="1736"/>
    </row>
    <row r="82" ht="15.75" spans="1:17">
      <c r="A82" s="984"/>
      <c r="B82" s="1185" t="s">
        <v>1495</v>
      </c>
      <c r="C82" s="1202" t="s">
        <v>1528</v>
      </c>
      <c r="D82" s="1202" t="s">
        <v>1529</v>
      </c>
      <c r="E82" s="1202" t="s">
        <v>1530</v>
      </c>
      <c r="F82" s="1202" t="s">
        <v>1531</v>
      </c>
      <c r="G82" s="1202" t="s">
        <v>1532</v>
      </c>
      <c r="H82" s="1202"/>
      <c r="I82" s="1202"/>
      <c r="J82" s="1202"/>
      <c r="K82" s="1202"/>
      <c r="L82" s="1202"/>
      <c r="M82" s="1237"/>
      <c r="N82" s="1743"/>
      <c r="O82" s="1743"/>
      <c r="P82" s="1811"/>
      <c r="Q82" s="1736"/>
    </row>
    <row r="83" ht="15.75" spans="1:17">
      <c r="A83" s="984"/>
      <c r="B83" s="1185"/>
      <c r="C83" s="1177">
        <v>100</v>
      </c>
      <c r="D83" s="1177">
        <f>C83-$K21</f>
        <v>100</v>
      </c>
      <c r="E83" s="1177">
        <f t="shared" ref="E83:G83" si="22">D83-$K21</f>
        <v>100</v>
      </c>
      <c r="F83" s="1177">
        <f t="shared" si="22"/>
        <v>100</v>
      </c>
      <c r="G83" s="1177">
        <f t="shared" si="22"/>
        <v>100</v>
      </c>
      <c r="H83" s="1177"/>
      <c r="I83" s="1177"/>
      <c r="J83" s="1177"/>
      <c r="K83" s="1177"/>
      <c r="L83" s="1177"/>
      <c r="M83" s="1008"/>
      <c r="N83" s="1743"/>
      <c r="O83" s="1743"/>
      <c r="P83" s="1811"/>
      <c r="Q83" s="1736"/>
    </row>
    <row r="84" ht="15.75" spans="1:17">
      <c r="A84" s="984"/>
      <c r="B84" s="1182" t="s">
        <v>1496</v>
      </c>
      <c r="C84" s="1201" t="s">
        <v>1523</v>
      </c>
      <c r="D84" s="1201" t="s">
        <v>1524</v>
      </c>
      <c r="E84" s="1201" t="s">
        <v>1525</v>
      </c>
      <c r="F84" s="1201" t="s">
        <v>1526</v>
      </c>
      <c r="G84" s="1201" t="s">
        <v>1527</v>
      </c>
      <c r="H84" s="1202"/>
      <c r="I84" s="1202"/>
      <c r="J84" s="1202"/>
      <c r="K84" s="1234"/>
      <c r="L84" s="1235"/>
      <c r="M84" s="1236"/>
      <c r="N84" s="1741"/>
      <c r="O84" s="1741"/>
      <c r="P84" s="1811"/>
      <c r="Q84" s="1736"/>
    </row>
    <row r="85" ht="15.75" spans="1:17">
      <c r="A85" s="984"/>
      <c r="B85" s="1184"/>
      <c r="C85" s="1189">
        <v>100</v>
      </c>
      <c r="D85" s="1189">
        <f>C85-$K23</f>
        <v>100</v>
      </c>
      <c r="E85" s="1189">
        <f>D85-$K23</f>
        <v>100</v>
      </c>
      <c r="F85" s="1189">
        <f>E85-$K23</f>
        <v>100</v>
      </c>
      <c r="G85" s="1189">
        <f>F85-$K23</f>
        <v>100</v>
      </c>
      <c r="H85" s="1189"/>
      <c r="I85" s="1189"/>
      <c r="J85" s="1189"/>
      <c r="K85" s="1189"/>
      <c r="L85" s="1189"/>
      <c r="M85" s="1219"/>
      <c r="N85" s="1743"/>
      <c r="O85" s="1743"/>
      <c r="P85" s="1811"/>
      <c r="Q85" s="1736"/>
    </row>
    <row r="86" s="920" customFormat="1" ht="15.75" spans="1:17">
      <c r="A86" s="987"/>
      <c r="B86" s="1182" t="s">
        <v>1497</v>
      </c>
      <c r="C86" s="1191"/>
      <c r="D86" s="1191"/>
      <c r="E86" s="1191"/>
      <c r="F86" s="1191"/>
      <c r="G86" s="1191"/>
      <c r="H86" s="1191"/>
      <c r="I86" s="1191"/>
      <c r="J86" s="1191"/>
      <c r="K86" s="1191"/>
      <c r="L86" s="1238"/>
      <c r="M86" s="1239"/>
      <c r="N86" s="1739"/>
      <c r="O86" s="1739"/>
      <c r="P86" s="1811"/>
      <c r="Q86" s="1736"/>
    </row>
    <row r="87" s="920" customFormat="1" ht="15.75" spans="1:17">
      <c r="A87" s="987"/>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3"/>
      <c r="O87" s="1743"/>
      <c r="P87" s="1811"/>
      <c r="Q87" s="1736"/>
    </row>
    <row r="88" s="920" customFormat="1" ht="15.75" spans="1:17">
      <c r="A88" s="987"/>
      <c r="B88" s="1182" t="s">
        <v>1498</v>
      </c>
      <c r="C88" s="1191"/>
      <c r="D88" s="1191"/>
      <c r="E88" s="1191"/>
      <c r="F88" s="1774"/>
      <c r="G88" s="1191"/>
      <c r="H88" s="1191"/>
      <c r="I88" s="1191"/>
      <c r="J88" s="1191"/>
      <c r="K88" s="1191"/>
      <c r="L88" s="1191"/>
      <c r="M88" s="1239"/>
      <c r="N88" s="1739"/>
      <c r="O88" s="1739"/>
      <c r="P88" s="1811"/>
      <c r="Q88" s="1736"/>
    </row>
    <row r="89" s="920" customFormat="1" ht="15.75" spans="1:17">
      <c r="A89" s="987"/>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3"/>
      <c r="O89" s="1743"/>
      <c r="P89" s="1811"/>
      <c r="Q89" s="1736"/>
    </row>
    <row r="90" s="922" customFormat="1" ht="15.75" spans="1:17">
      <c r="A90" s="1190"/>
      <c r="B90" s="1182">
        <f>B27</f>
        <v>111</v>
      </c>
      <c r="C90" s="1191"/>
      <c r="D90" s="1191"/>
      <c r="E90" s="1191"/>
      <c r="F90" s="1191"/>
      <c r="G90" s="1191"/>
      <c r="H90" s="1192"/>
      <c r="I90" s="1192"/>
      <c r="J90" s="1192"/>
      <c r="K90" s="1192"/>
      <c r="L90" s="1220"/>
      <c r="M90" s="1221"/>
      <c r="N90" s="1744"/>
      <c r="O90" s="1744"/>
      <c r="P90" s="1814"/>
      <c r="Q90" s="1746"/>
    </row>
    <row r="91" s="922" customFormat="1" ht="15.75" spans="1:17">
      <c r="A91" s="1190"/>
      <c r="B91" s="1184"/>
      <c r="C91" s="1193"/>
      <c r="D91" s="1193"/>
      <c r="E91" s="1193"/>
      <c r="F91" s="1193"/>
      <c r="G91" s="1193"/>
      <c r="H91" s="1194"/>
      <c r="I91" s="1194"/>
      <c r="J91" s="1194"/>
      <c r="K91" s="1194"/>
      <c r="L91" s="1194"/>
      <c r="M91" s="1225"/>
      <c r="N91" s="1744"/>
      <c r="O91" s="1744"/>
      <c r="P91" s="1814"/>
      <c r="Q91" s="1746"/>
    </row>
    <row r="92" ht="15.75" spans="1:17">
      <c r="A92" s="984"/>
      <c r="B92" s="1182">
        <f>B28</f>
        <v>111</v>
      </c>
      <c r="C92" s="1191"/>
      <c r="D92" s="1191"/>
      <c r="E92" s="1191"/>
      <c r="F92" s="1191"/>
      <c r="G92" s="1183"/>
      <c r="H92" s="1183"/>
      <c r="I92" s="1183"/>
      <c r="J92" s="1183"/>
      <c r="K92" s="1213"/>
      <c r="L92" s="1214"/>
      <c r="M92" s="1215"/>
      <c r="N92" s="1741"/>
      <c r="O92" s="1741"/>
      <c r="P92" s="1811"/>
      <c r="Q92" s="1736"/>
    </row>
    <row r="93" ht="15.75" spans="1:17">
      <c r="A93" s="984"/>
      <c r="B93" s="1184"/>
      <c r="C93" s="1193"/>
      <c r="D93" s="1085"/>
      <c r="E93" s="1085"/>
      <c r="F93" s="1085"/>
      <c r="G93" s="1085"/>
      <c r="H93" s="1085"/>
      <c r="I93" s="1085"/>
      <c r="J93" s="1085"/>
      <c r="K93" s="1085"/>
      <c r="L93" s="1085"/>
      <c r="M93" s="1142"/>
      <c r="N93" s="1743"/>
      <c r="O93" s="1743"/>
      <c r="P93" s="1811"/>
      <c r="Q93" s="1736"/>
    </row>
    <row r="94" ht="15.75" spans="1:17">
      <c r="A94" s="984"/>
      <c r="B94" s="1182">
        <f>B29</f>
        <v>111</v>
      </c>
      <c r="C94" s="1191"/>
      <c r="D94" s="1191"/>
      <c r="E94" s="1191"/>
      <c r="F94" s="1191"/>
      <c r="G94" s="1183"/>
      <c r="H94" s="1183"/>
      <c r="I94" s="1183"/>
      <c r="J94" s="1183"/>
      <c r="K94" s="1213"/>
      <c r="L94" s="1214"/>
      <c r="M94" s="1215"/>
      <c r="N94" s="1741"/>
      <c r="O94" s="1741"/>
      <c r="P94" s="1811"/>
      <c r="Q94" s="1736"/>
    </row>
    <row r="95" ht="15.75" spans="1:17">
      <c r="A95" s="984"/>
      <c r="B95" s="1184"/>
      <c r="C95" s="1193"/>
      <c r="D95" s="1193"/>
      <c r="E95" s="1193"/>
      <c r="F95" s="1193"/>
      <c r="G95" s="1085"/>
      <c r="H95" s="1085"/>
      <c r="I95" s="1085"/>
      <c r="J95" s="1085"/>
      <c r="K95" s="1085"/>
      <c r="L95" s="1085"/>
      <c r="M95" s="1142"/>
      <c r="N95" s="1743"/>
      <c r="O95" s="1743"/>
      <c r="P95" s="1811"/>
      <c r="Q95" s="1736"/>
    </row>
    <row r="96" ht="15.75" spans="1:17">
      <c r="A96" s="984"/>
      <c r="B96" s="1182">
        <f>B30</f>
        <v>111</v>
      </c>
      <c r="C96" s="1191"/>
      <c r="D96" s="1191"/>
      <c r="E96" s="1191"/>
      <c r="F96" s="1191"/>
      <c r="G96" s="1183"/>
      <c r="H96" s="1183"/>
      <c r="I96" s="1183"/>
      <c r="J96" s="1183"/>
      <c r="K96" s="1213"/>
      <c r="L96" s="1214"/>
      <c r="M96" s="1215"/>
      <c r="N96" s="1741"/>
      <c r="O96" s="1741"/>
      <c r="P96" s="1811"/>
      <c r="Q96" s="1736"/>
    </row>
    <row r="97" ht="15.75" spans="1:17">
      <c r="A97" s="984"/>
      <c r="B97" s="1184"/>
      <c r="C97" s="1198"/>
      <c r="D97" s="1198"/>
      <c r="E97" s="1198"/>
      <c r="F97" s="1198"/>
      <c r="G97" s="1085"/>
      <c r="H97" s="1085"/>
      <c r="I97" s="1085"/>
      <c r="J97" s="1085"/>
      <c r="K97" s="1085"/>
      <c r="L97" s="1085"/>
      <c r="M97" s="1142"/>
      <c r="N97" s="1743"/>
      <c r="O97" s="1743"/>
      <c r="P97" s="1811"/>
      <c r="Q97" s="1736"/>
    </row>
    <row r="98" ht="15.75" spans="1:17">
      <c r="A98" s="984"/>
      <c r="B98" s="1185">
        <f>B31</f>
        <v>111</v>
      </c>
      <c r="C98" s="1207"/>
      <c r="D98" s="1207"/>
      <c r="E98" s="1207"/>
      <c r="F98" s="1207"/>
      <c r="G98" s="1207"/>
      <c r="H98" s="1207"/>
      <c r="I98" s="1207"/>
      <c r="J98" s="1207"/>
      <c r="K98" s="1240"/>
      <c r="L98" s="1241"/>
      <c r="M98" s="1242"/>
      <c r="N98" s="1741"/>
      <c r="O98" s="1741"/>
      <c r="P98" s="1811"/>
      <c r="Q98" s="1736"/>
    </row>
    <row r="99" ht="15.75" spans="1:17">
      <c r="A99" s="992"/>
      <c r="B99" s="1197"/>
      <c r="C99" s="1208"/>
      <c r="D99" s="1208"/>
      <c r="E99" s="1208"/>
      <c r="F99" s="1208"/>
      <c r="G99" s="1208"/>
      <c r="H99" s="1208"/>
      <c r="I99" s="1208"/>
      <c r="J99" s="1208"/>
      <c r="K99" s="1208"/>
      <c r="L99" s="1208"/>
      <c r="M99" s="1243"/>
      <c r="N99" s="1743"/>
      <c r="O99" s="1743"/>
      <c r="P99" s="1811"/>
      <c r="Q99" s="1736"/>
    </row>
    <row r="100" spans="1:17">
      <c r="A100" s="997" t="s">
        <v>1499</v>
      </c>
      <c r="B100" s="1082" t="s">
        <v>1500</v>
      </c>
      <c r="C100" s="1083"/>
      <c r="D100" s="1083"/>
      <c r="E100" s="1083"/>
      <c r="F100" s="1083"/>
      <c r="G100" s="1083"/>
      <c r="H100" s="1083"/>
      <c r="I100" s="1083"/>
      <c r="J100" s="1083"/>
      <c r="K100" s="1137"/>
      <c r="L100" s="1138"/>
      <c r="M100" s="1139"/>
      <c r="N100" s="1741"/>
      <c r="O100" s="1741"/>
      <c r="P100" s="1811"/>
      <c r="Q100" s="1736"/>
    </row>
    <row r="101" ht="15.75" spans="1:17">
      <c r="A101" s="984"/>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3"/>
      <c r="O101" s="1743"/>
      <c r="P101" s="1811"/>
      <c r="Q101" s="1736"/>
    </row>
    <row r="102" ht="15.75" spans="1:17">
      <c r="A102" s="984"/>
      <c r="B102" s="1182" t="s">
        <v>1502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39"/>
      <c r="O102" s="1739"/>
      <c r="P102" s="1811"/>
      <c r="Q102" s="1736"/>
    </row>
    <row r="103" s="922" customFormat="1" ht="15" spans="1:17">
      <c r="A103" s="1028"/>
      <c r="B103" s="1210"/>
      <c r="C103" s="1211"/>
      <c r="D103" s="1211"/>
      <c r="E103" s="1211"/>
      <c r="F103" s="1211"/>
      <c r="G103" s="1211"/>
      <c r="H103" s="1211"/>
      <c r="I103" s="1211"/>
      <c r="J103" s="1245"/>
      <c r="K103" s="1245"/>
      <c r="L103" s="1246"/>
      <c r="M103" s="1247"/>
      <c r="N103" s="1744"/>
      <c r="O103" s="1744"/>
      <c r="P103" s="1814"/>
      <c r="Q103" s="1746"/>
    </row>
    <row r="104" s="922" customFormat="1" ht="15.75" spans="1:17">
      <c r="A104" s="1190"/>
      <c r="B104" s="1184"/>
      <c r="C104" s="1193"/>
      <c r="D104" s="1085"/>
      <c r="E104" s="1085"/>
      <c r="F104" s="1085"/>
      <c r="G104" s="1085"/>
      <c r="H104" s="1085"/>
      <c r="I104" s="1085"/>
      <c r="J104" s="1085"/>
      <c r="K104" s="1085"/>
      <c r="L104" s="1085"/>
      <c r="M104" s="1085"/>
      <c r="N104" s="1743"/>
      <c r="O104" s="1743"/>
      <c r="P104" s="1814"/>
      <c r="Q104" s="1746"/>
    </row>
    <row r="105" ht="15.75" spans="1:17">
      <c r="A105" s="1030"/>
      <c r="B105" s="1182" t="s">
        <v>1503</v>
      </c>
      <c r="C105" s="1191"/>
      <c r="D105" s="1191"/>
      <c r="E105" s="1183"/>
      <c r="F105" s="1183"/>
      <c r="G105" s="1183"/>
      <c r="H105" s="1183"/>
      <c r="I105" s="1183"/>
      <c r="J105" s="1183"/>
      <c r="K105" s="1213"/>
      <c r="L105" s="1214"/>
      <c r="M105" s="1215"/>
      <c r="N105" s="1741"/>
      <c r="O105" s="1741"/>
      <c r="P105" s="1811"/>
      <c r="Q105" s="1736"/>
    </row>
    <row r="106" ht="15.75" spans="1:17">
      <c r="A106" s="984"/>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3"/>
      <c r="O106" s="1743"/>
      <c r="P106" s="1811"/>
      <c r="Q106" s="1736"/>
    </row>
    <row r="107" ht="15.75" spans="1:17">
      <c r="A107" s="1030"/>
      <c r="B107" s="1182" t="s">
        <v>1504</v>
      </c>
      <c r="C107" s="1183"/>
      <c r="D107" s="1183"/>
      <c r="E107" s="1183"/>
      <c r="F107" s="1183"/>
      <c r="G107" s="1183"/>
      <c r="H107" s="1183"/>
      <c r="I107" s="1183"/>
      <c r="J107" s="1183"/>
      <c r="K107" s="1213"/>
      <c r="L107" s="1214"/>
      <c r="M107" s="1215"/>
      <c r="N107" s="1741"/>
      <c r="O107" s="1741"/>
      <c r="P107" s="1811"/>
      <c r="Q107" s="1736"/>
    </row>
    <row r="108" ht="15.75" spans="1:17">
      <c r="A108" s="984"/>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3"/>
      <c r="O108" s="1743"/>
      <c r="P108" s="1811"/>
      <c r="Q108" s="1736"/>
    </row>
    <row r="109" ht="15.75" spans="1:17">
      <c r="A109" s="1030"/>
      <c r="B109" s="1182" t="s">
        <v>1505</v>
      </c>
      <c r="C109" s="1191"/>
      <c r="D109" s="1191"/>
      <c r="E109" s="1191"/>
      <c r="F109" s="1183"/>
      <c r="G109" s="1183"/>
      <c r="H109" s="1183"/>
      <c r="I109" s="1183"/>
      <c r="J109" s="1183"/>
      <c r="K109" s="1213"/>
      <c r="L109" s="1214"/>
      <c r="M109" s="1215"/>
      <c r="N109" s="1741"/>
      <c r="O109" s="1741"/>
      <c r="P109" s="1811"/>
      <c r="Q109" s="1736"/>
    </row>
    <row r="110" ht="15.75" spans="1:17">
      <c r="A110" s="984"/>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3"/>
      <c r="O110" s="1743"/>
      <c r="P110" s="1811"/>
      <c r="Q110" s="1736"/>
    </row>
    <row r="111" s="922" customFormat="1" ht="15.75" spans="1:17">
      <c r="A111" s="1028"/>
      <c r="B111" s="1182" t="s">
        <v>634</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11"/>
      <c r="K111" s="1611"/>
      <c r="L111" s="1619"/>
      <c r="M111" s="1620"/>
      <c r="N111" s="1744"/>
      <c r="O111" s="1744"/>
      <c r="P111" s="1814"/>
      <c r="Q111" s="1746"/>
    </row>
    <row r="112" s="922" customFormat="1" ht="15" spans="1:17">
      <c r="A112" s="1028"/>
      <c r="B112" s="1185"/>
      <c r="C112" s="815">
        <v>0.5</v>
      </c>
      <c r="D112" s="815">
        <v>0.6</v>
      </c>
      <c r="E112" s="815">
        <v>0.7</v>
      </c>
      <c r="F112" s="815">
        <v>0.8</v>
      </c>
      <c r="G112" s="815">
        <v>0.9</v>
      </c>
      <c r="H112" s="815">
        <v>1.0001</v>
      </c>
      <c r="I112" s="815"/>
      <c r="J112" s="1164"/>
      <c r="K112" s="1164"/>
      <c r="L112" s="1818"/>
      <c r="M112" s="1819"/>
      <c r="N112" s="1744"/>
      <c r="O112" s="1744"/>
      <c r="P112" s="1814"/>
      <c r="Q112" s="1746"/>
    </row>
    <row r="113" s="922" customFormat="1" ht="15.75" spans="1:17">
      <c r="A113" s="1190"/>
      <c r="B113" s="1184"/>
      <c r="C113" s="1204">
        <v>100</v>
      </c>
      <c r="D113" s="1189">
        <f>C113+$K37</f>
        <v>100</v>
      </c>
      <c r="E113" s="1189">
        <f>D113+$K37</f>
        <v>100</v>
      </c>
      <c r="F113" s="1189">
        <f>E113+$K37</f>
        <v>100</v>
      </c>
      <c r="G113" s="1189">
        <f>F113+$K37</f>
        <v>100</v>
      </c>
      <c r="H113" s="1189">
        <f>G113+$K37</f>
        <v>100</v>
      </c>
      <c r="I113" s="1204"/>
      <c r="J113" s="1612"/>
      <c r="K113" s="1612"/>
      <c r="L113" s="1612"/>
      <c r="M113" s="1621"/>
      <c r="N113" s="1744"/>
      <c r="O113" s="1744"/>
      <c r="P113" s="1814"/>
      <c r="Q113" s="1746"/>
    </row>
    <row r="114" ht="15.75" spans="1:17">
      <c r="A114" s="1030"/>
      <c r="B114" s="1182" t="s">
        <v>1506</v>
      </c>
      <c r="C114" s="1191"/>
      <c r="D114" s="1191"/>
      <c r="E114" s="1183"/>
      <c r="F114" s="1183"/>
      <c r="G114" s="1183"/>
      <c r="H114" s="1183"/>
      <c r="I114" s="1183"/>
      <c r="J114" s="1183"/>
      <c r="K114" s="1213"/>
      <c r="L114" s="1214"/>
      <c r="M114" s="1215"/>
      <c r="N114" s="1741"/>
      <c r="O114" s="1741"/>
      <c r="P114" s="1811"/>
      <c r="Q114" s="1736"/>
    </row>
    <row r="115" ht="15.75" spans="1:17">
      <c r="A115" s="984"/>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3"/>
      <c r="O115" s="1743"/>
      <c r="P115" s="1811"/>
      <c r="Q115" s="1736"/>
    </row>
    <row r="116" ht="15.75" spans="1:17">
      <c r="A116" s="1030"/>
      <c r="B116" s="1182" t="s">
        <v>1507</v>
      </c>
      <c r="C116" s="1191"/>
      <c r="D116" s="1191"/>
      <c r="E116" s="1191"/>
      <c r="F116" s="1191"/>
      <c r="G116" s="1191"/>
      <c r="H116" s="1183"/>
      <c r="I116" s="1183"/>
      <c r="J116" s="1183"/>
      <c r="K116" s="1213"/>
      <c r="L116" s="1214"/>
      <c r="M116" s="1215"/>
      <c r="N116" s="1741"/>
      <c r="O116" s="1741"/>
      <c r="P116" s="1811"/>
      <c r="Q116" s="1736"/>
    </row>
    <row r="117" ht="15.75" spans="1:17">
      <c r="A117" s="984"/>
      <c r="B117" s="1184"/>
      <c r="C117" s="1189">
        <v>100</v>
      </c>
      <c r="D117" s="1189">
        <f>C117-$K39</f>
        <v>100</v>
      </c>
      <c r="E117" s="1189">
        <f>D117-$K39</f>
        <v>100</v>
      </c>
      <c r="F117" s="1189">
        <f>E117-$K39</f>
        <v>100</v>
      </c>
      <c r="G117" s="1189">
        <f>F117-$K39</f>
        <v>100</v>
      </c>
      <c r="H117" s="1189"/>
      <c r="I117" s="1189"/>
      <c r="J117" s="1189"/>
      <c r="K117" s="1189"/>
      <c r="L117" s="1189"/>
      <c r="M117" s="1219"/>
      <c r="N117" s="1743"/>
      <c r="O117" s="1743"/>
      <c r="P117" s="1811"/>
      <c r="Q117" s="1736"/>
    </row>
    <row r="118" ht="15.75" spans="1:17">
      <c r="A118" s="1030"/>
      <c r="B118" s="1182" t="s">
        <v>1508</v>
      </c>
      <c r="C118" s="1183"/>
      <c r="D118" s="1183"/>
      <c r="E118" s="1183"/>
      <c r="F118" s="1183"/>
      <c r="G118" s="1183"/>
      <c r="H118" s="1183"/>
      <c r="I118" s="1183"/>
      <c r="J118" s="1183"/>
      <c r="K118" s="1213"/>
      <c r="L118" s="1214"/>
      <c r="M118" s="1215"/>
      <c r="N118" s="1741"/>
      <c r="O118" s="1741"/>
      <c r="P118" s="1811"/>
      <c r="Q118" s="1736"/>
    </row>
    <row r="119" ht="15.75" spans="1:17">
      <c r="A119" s="984"/>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3"/>
      <c r="O119" s="1743"/>
      <c r="P119" s="1811"/>
      <c r="Q119" s="1736"/>
    </row>
    <row r="120" s="922" customFormat="1" ht="28.5" spans="1:17">
      <c r="A120" s="1028"/>
      <c r="B120" s="1182" t="s">
        <v>1509</v>
      </c>
      <c r="C120" s="1191"/>
      <c r="D120" s="1191"/>
      <c r="E120" s="1191"/>
      <c r="F120" s="1191"/>
      <c r="G120" s="1191"/>
      <c r="H120" s="1191"/>
      <c r="I120" s="1191"/>
      <c r="J120" s="1191"/>
      <c r="K120" s="1191"/>
      <c r="L120" s="1238"/>
      <c r="M120" s="1239"/>
      <c r="N120" s="1744"/>
      <c r="O120" s="1744"/>
      <c r="P120" s="1814"/>
      <c r="Q120" s="1746"/>
    </row>
    <row r="121" s="922" customFormat="1" ht="15.75" spans="1:17">
      <c r="A121" s="1190"/>
      <c r="B121" s="1084"/>
      <c r="C121" s="1193"/>
      <c r="D121" s="1085"/>
      <c r="E121" s="1085"/>
      <c r="F121" s="1085"/>
      <c r="G121" s="1085"/>
      <c r="H121" s="1085"/>
      <c r="I121" s="1085"/>
      <c r="J121" s="1085"/>
      <c r="K121" s="1085"/>
      <c r="L121" s="1085"/>
      <c r="M121" s="1085"/>
      <c r="N121" s="1744"/>
      <c r="O121" s="1744"/>
      <c r="P121" s="1814"/>
      <c r="Q121" s="1746"/>
    </row>
    <row r="122" ht="15.75" spans="1:17">
      <c r="A122" s="1030"/>
      <c r="B122" s="1182" t="s">
        <v>1510</v>
      </c>
      <c r="C122" s="1191"/>
      <c r="D122" s="1191"/>
      <c r="E122" s="1191"/>
      <c r="F122" s="1183"/>
      <c r="G122" s="1183"/>
      <c r="H122" s="1183"/>
      <c r="I122" s="1183"/>
      <c r="J122" s="1183"/>
      <c r="K122" s="1213"/>
      <c r="L122" s="1214"/>
      <c r="M122" s="1215"/>
      <c r="N122" s="1741"/>
      <c r="O122" s="1741"/>
      <c r="P122" s="1811"/>
      <c r="Q122" s="1736"/>
    </row>
    <row r="123" ht="15.75" spans="1:17">
      <c r="A123" s="984"/>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3"/>
      <c r="O123" s="1743"/>
      <c r="P123" s="1811"/>
      <c r="Q123" s="1736"/>
    </row>
    <row r="124" ht="15.75" spans="1:17">
      <c r="A124" s="1030"/>
      <c r="B124" s="1182" t="s">
        <v>1511</v>
      </c>
      <c r="C124" s="1201" t="s">
        <v>1523</v>
      </c>
      <c r="D124" s="1201" t="s">
        <v>1524</v>
      </c>
      <c r="E124" s="1201" t="s">
        <v>1525</v>
      </c>
      <c r="F124" s="1201" t="s">
        <v>1526</v>
      </c>
      <c r="G124" s="1201" t="s">
        <v>1527</v>
      </c>
      <c r="H124" s="1202"/>
      <c r="I124" s="1202"/>
      <c r="J124" s="1202"/>
      <c r="K124" s="1234"/>
      <c r="L124" s="1235"/>
      <c r="M124" s="1236"/>
      <c r="N124" s="1741"/>
      <c r="O124" s="1741"/>
      <c r="P124" s="1814"/>
      <c r="Q124" s="1736"/>
    </row>
    <row r="125" ht="15.75" spans="1:17">
      <c r="A125" s="984"/>
      <c r="B125" s="1184"/>
      <c r="C125" s="1189">
        <v>100</v>
      </c>
      <c r="D125" s="1189">
        <f>C125-$K43</f>
        <v>100</v>
      </c>
      <c r="E125" s="1189">
        <f>D125-$K43</f>
        <v>100</v>
      </c>
      <c r="F125" s="1189">
        <f>E125-$K43</f>
        <v>100</v>
      </c>
      <c r="G125" s="1189">
        <f>F125-$K43</f>
        <v>100</v>
      </c>
      <c r="H125" s="1189"/>
      <c r="I125" s="1189"/>
      <c r="J125" s="1189"/>
      <c r="K125" s="1189"/>
      <c r="L125" s="1189"/>
      <c r="M125" s="1219"/>
      <c r="N125" s="1743"/>
      <c r="O125" s="1743"/>
      <c r="P125" s="1811"/>
      <c r="Q125" s="1736"/>
    </row>
    <row r="126" s="922" customFormat="1" ht="15.75" spans="1:17">
      <c r="A126" s="1028"/>
      <c r="B126" s="1182">
        <f>B44</f>
        <v>111</v>
      </c>
      <c r="C126" s="1191"/>
      <c r="D126" s="1191"/>
      <c r="E126" s="1191"/>
      <c r="F126" s="1191"/>
      <c r="G126" s="1191"/>
      <c r="H126" s="1192"/>
      <c r="I126" s="1192"/>
      <c r="J126" s="1192"/>
      <c r="K126" s="1192"/>
      <c r="L126" s="1220"/>
      <c r="M126" s="1221"/>
      <c r="N126" s="1744"/>
      <c r="O126" s="1744"/>
      <c r="P126" s="1814"/>
      <c r="Q126" s="1746"/>
    </row>
    <row r="127" s="922" customFormat="1" ht="15.75" spans="1:17">
      <c r="A127" s="1190"/>
      <c r="B127" s="1184"/>
      <c r="C127" s="1193"/>
      <c r="D127" s="1085"/>
      <c r="E127" s="1085"/>
      <c r="F127" s="1085"/>
      <c r="G127" s="1193"/>
      <c r="H127" s="1194"/>
      <c r="I127" s="1194"/>
      <c r="J127" s="1194"/>
      <c r="K127" s="1194"/>
      <c r="L127" s="1194"/>
      <c r="M127" s="1225"/>
      <c r="N127" s="1744"/>
      <c r="O127" s="1744"/>
      <c r="P127" s="1814"/>
      <c r="Q127" s="1746"/>
    </row>
    <row r="128" ht="15.75" spans="1:17">
      <c r="A128" s="1030"/>
      <c r="B128" s="1182">
        <f>B45</f>
        <v>111</v>
      </c>
      <c r="C128" s="1191"/>
      <c r="D128" s="1191"/>
      <c r="E128" s="1191"/>
      <c r="F128" s="1191"/>
      <c r="G128" s="1183"/>
      <c r="H128" s="1183"/>
      <c r="I128" s="1183"/>
      <c r="J128" s="1183"/>
      <c r="K128" s="1213"/>
      <c r="L128" s="1214"/>
      <c r="M128" s="1215"/>
      <c r="N128" s="1741"/>
      <c r="O128" s="1741"/>
      <c r="P128" s="1811"/>
      <c r="Q128" s="1736"/>
    </row>
    <row r="129" ht="15.75" spans="1:17">
      <c r="A129" s="984"/>
      <c r="B129" s="1184"/>
      <c r="C129" s="1193"/>
      <c r="D129" s="1193"/>
      <c r="E129" s="1193"/>
      <c r="F129" s="1193"/>
      <c r="G129" s="1085"/>
      <c r="H129" s="1085"/>
      <c r="I129" s="1085"/>
      <c r="J129" s="1085"/>
      <c r="K129" s="1085"/>
      <c r="L129" s="1085"/>
      <c r="M129" s="1142"/>
      <c r="N129" s="1743"/>
      <c r="O129" s="1743"/>
      <c r="P129" s="1811"/>
      <c r="Q129" s="1736"/>
    </row>
    <row r="130" ht="15.75" spans="1:17">
      <c r="A130" s="1030"/>
      <c r="B130" s="1185">
        <f>B46</f>
        <v>111</v>
      </c>
      <c r="C130" s="1191"/>
      <c r="D130" s="1191"/>
      <c r="E130" s="1191"/>
      <c r="F130" s="1191"/>
      <c r="G130" s="1207"/>
      <c r="H130" s="1207"/>
      <c r="I130" s="1207"/>
      <c r="J130" s="1207"/>
      <c r="K130" s="1080"/>
      <c r="L130" s="1132"/>
      <c r="M130" s="1242"/>
      <c r="N130" s="1741"/>
      <c r="O130" s="1741"/>
      <c r="P130" s="1811"/>
      <c r="Q130" s="1736"/>
    </row>
    <row r="131" ht="15.75" spans="1:17">
      <c r="A131" s="992"/>
      <c r="B131" s="1197"/>
      <c r="C131" s="1198"/>
      <c r="D131" s="1198"/>
      <c r="E131" s="1198"/>
      <c r="F131" s="1198"/>
      <c r="G131" s="1208"/>
      <c r="H131" s="1208"/>
      <c r="I131" s="1208"/>
      <c r="J131" s="1208"/>
      <c r="K131" s="1208"/>
      <c r="L131" s="1208"/>
      <c r="M131" s="1243"/>
      <c r="N131" s="1743"/>
      <c r="O131" s="1743"/>
      <c r="P131" s="1811"/>
      <c r="Q131" s="1736"/>
    </row>
    <row r="136" ht="15" spans="2:2">
      <c r="B136" s="1820" t="s">
        <v>1533</v>
      </c>
    </row>
    <row r="137" ht="15" spans="2:11">
      <c r="B137" s="1821" t="s">
        <v>1534</v>
      </c>
      <c r="C137" s="1822"/>
      <c r="D137" s="1822"/>
      <c r="E137" s="1822"/>
      <c r="F137" s="1822"/>
      <c r="G137" s="1823"/>
      <c r="H137" s="1824"/>
      <c r="I137" s="1846" t="s">
        <v>1535</v>
      </c>
      <c r="J137" s="1822"/>
      <c r="K137" s="1847"/>
    </row>
    <row r="138" ht="15" spans="2:11">
      <c r="B138" s="1825"/>
      <c r="C138" s="1826" t="s">
        <v>1536</v>
      </c>
      <c r="D138" s="1826" t="s">
        <v>1537</v>
      </c>
      <c r="E138" s="1827" t="s">
        <v>1538</v>
      </c>
      <c r="F138" s="1828" t="s">
        <v>1539</v>
      </c>
      <c r="G138" s="1826" t="s">
        <v>1537</v>
      </c>
      <c r="H138" s="1829" t="s">
        <v>1538</v>
      </c>
      <c r="I138" s="1848"/>
      <c r="J138" s="1826" t="s">
        <v>1540</v>
      </c>
      <c r="K138" s="1829" t="s">
        <v>1541</v>
      </c>
    </row>
    <row r="139" ht="15" spans="2:11">
      <c r="B139" s="1830">
        <v>6</v>
      </c>
      <c r="C139" s="1831">
        <v>96</v>
      </c>
      <c r="D139" s="1832" t="s">
        <v>1542</v>
      </c>
      <c r="E139" s="1833">
        <v>100</v>
      </c>
      <c r="F139" s="1834">
        <v>102.5</v>
      </c>
      <c r="G139" s="1832" t="s">
        <v>1542</v>
      </c>
      <c r="H139" s="1835">
        <v>105</v>
      </c>
      <c r="I139" s="1849" t="s">
        <v>1543</v>
      </c>
      <c r="J139" s="1831">
        <v>20</v>
      </c>
      <c r="K139" s="1850">
        <f>C145/(J139-2)</f>
        <v>0.00405555555555556</v>
      </c>
    </row>
    <row r="140" ht="15" spans="2:11">
      <c r="B140" s="1836">
        <v>5</v>
      </c>
      <c r="C140" s="1837">
        <v>100</v>
      </c>
      <c r="D140" s="1837"/>
      <c r="E140" s="1838"/>
      <c r="F140" s="1839">
        <v>102</v>
      </c>
      <c r="G140" s="1837"/>
      <c r="H140" s="1840"/>
      <c r="I140" s="1851" t="s">
        <v>1544</v>
      </c>
      <c r="J140" s="426">
        <f>ROUNDUP((J139-1)/2,0)</f>
        <v>10</v>
      </c>
      <c r="K140" s="1852">
        <v>100</v>
      </c>
    </row>
    <row r="141" ht="15" spans="2:11">
      <c r="B141" s="1836">
        <v>4</v>
      </c>
      <c r="C141" s="1837">
        <v>102</v>
      </c>
      <c r="D141" s="1837"/>
      <c r="E141" s="1838"/>
      <c r="F141" s="1839">
        <v>101.5</v>
      </c>
      <c r="G141" s="1837"/>
      <c r="H141" s="1840"/>
      <c r="I141" s="1851" t="s">
        <v>1545</v>
      </c>
      <c r="J141" s="426">
        <v>1</v>
      </c>
      <c r="K141" s="1853">
        <f>ROUND(100+(J141-J140)*K139*100,1)</f>
        <v>96.4</v>
      </c>
    </row>
    <row r="142" ht="15" spans="2:11">
      <c r="B142" s="1836">
        <v>3</v>
      </c>
      <c r="C142" s="1837">
        <v>103</v>
      </c>
      <c r="D142" s="1837"/>
      <c r="E142" s="1838"/>
      <c r="F142" s="1839">
        <v>101</v>
      </c>
      <c r="G142" s="1837"/>
      <c r="H142" s="1840"/>
      <c r="I142" s="1851" t="s">
        <v>1546</v>
      </c>
      <c r="J142" s="426">
        <f>J139</f>
        <v>20</v>
      </c>
      <c r="K142" s="1854">
        <v>95</v>
      </c>
    </row>
    <row r="143" ht="15" spans="2:11">
      <c r="B143" s="1836">
        <v>2</v>
      </c>
      <c r="C143" s="1837">
        <v>100</v>
      </c>
      <c r="D143" s="1837"/>
      <c r="E143" s="1838"/>
      <c r="F143" s="1839">
        <v>100.5</v>
      </c>
      <c r="G143" s="1837"/>
      <c r="H143" s="1840"/>
      <c r="I143" s="1851" t="s">
        <v>1547</v>
      </c>
      <c r="J143" s="1837">
        <v>15</v>
      </c>
      <c r="K143" s="1853">
        <f>ROUND(100+(J143-J140)*K139*100,1)</f>
        <v>102</v>
      </c>
    </row>
    <row r="144" ht="15" spans="2:11">
      <c r="B144" s="1836">
        <v>1</v>
      </c>
      <c r="C144" s="1837">
        <v>98</v>
      </c>
      <c r="D144" s="1841" t="s">
        <v>1548</v>
      </c>
      <c r="E144" s="1838">
        <v>102</v>
      </c>
      <c r="F144" s="1842">
        <v>100</v>
      </c>
      <c r="G144" s="1841" t="s">
        <v>1548</v>
      </c>
      <c r="H144" s="1840">
        <v>105</v>
      </c>
      <c r="I144" s="1851" t="s">
        <v>1547</v>
      </c>
      <c r="J144" s="1837">
        <v>18</v>
      </c>
      <c r="K144" s="1853">
        <f>ROUND(100+(J144-J140)*K139*100,1)</f>
        <v>103.2</v>
      </c>
    </row>
    <row r="145" ht="15.75" spans="2:11">
      <c r="B145" s="744" t="s">
        <v>1549</v>
      </c>
      <c r="C145" s="1843">
        <f>ROUND(MAX(C139:C144)/MIN(C139:C144)-1,3)</f>
        <v>0.073</v>
      </c>
      <c r="D145" s="1844"/>
      <c r="E145" s="1844"/>
      <c r="F145" s="1845" t="s">
        <v>1550</v>
      </c>
      <c r="G145" s="1768"/>
      <c r="H145" s="1773"/>
      <c r="I145" s="1855" t="s">
        <v>1547</v>
      </c>
      <c r="J145" s="1856">
        <v>8</v>
      </c>
      <c r="K145" s="1857">
        <f>ROUND(100+(J145-J140)*K139*100,1)</f>
        <v>99.2</v>
      </c>
    </row>
    <row r="147" spans="2:2">
      <c r="B147" s="1820" t="s">
        <v>1551</v>
      </c>
    </row>
    <row r="148" spans="2:2">
      <c r="B148" s="182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M52" sqref="M52"/>
    </sheetView>
  </sheetViews>
  <sheetFormatPr defaultColWidth="9" defaultRowHeight="14.25"/>
  <cols>
    <col min="1" max="1" width="10.5" style="925" customWidth="1"/>
    <col min="2" max="2" width="15.75" style="925" customWidth="1"/>
    <col min="3" max="3" width="16.75" style="925" customWidth="1"/>
    <col min="4" max="4" width="12.25" style="925" customWidth="1"/>
    <col min="5" max="5" width="16.125" style="925" customWidth="1"/>
    <col min="6" max="6" width="12.25" style="925" customWidth="1"/>
    <col min="7" max="7" width="16" style="925" customWidth="1"/>
    <col min="8" max="8" width="12.25" style="925" customWidth="1"/>
    <col min="9" max="9" width="1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v>201</v>
      </c>
      <c r="E1" s="933" t="s">
        <v>1554</v>
      </c>
      <c r="F1" s="934" t="s">
        <v>753</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12.89</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1095" t="s">
        <v>1555</v>
      </c>
      <c r="D5" s="958"/>
      <c r="E5" s="1095" t="s">
        <v>1556</v>
      </c>
      <c r="F5" s="958"/>
      <c r="G5" s="1095" t="s">
        <v>1557</v>
      </c>
      <c r="H5" s="958"/>
      <c r="I5" s="1095" t="s">
        <v>1558</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S15" si="0">F7</f>
        <v>100</v>
      </c>
      <c r="T7" s="1158" t="s">
        <v>1481</v>
      </c>
      <c r="U7" s="1159">
        <f t="shared" ref="U7:U15" si="1">H7</f>
        <v>100</v>
      </c>
      <c r="V7" s="1158" t="s">
        <v>1481</v>
      </c>
      <c r="W7" s="1159">
        <f t="shared" ref="W7:W15" si="2">J7</f>
        <v>100</v>
      </c>
      <c r="X7" s="1160"/>
      <c r="Y7" s="1099" t="s">
        <v>1480</v>
      </c>
      <c r="Z7" s="1161"/>
      <c r="AA7" s="1175">
        <f>D7/F7</f>
        <v>1</v>
      </c>
      <c r="AB7" s="1175">
        <f>D7/H7</f>
        <v>1</v>
      </c>
      <c r="AC7" s="1175">
        <f>D7/J7</f>
        <v>1</v>
      </c>
    </row>
    <row r="8" s="920" customFormat="1" ht="15.75" spans="1:29">
      <c r="A8" s="967" t="s">
        <v>1482</v>
      </c>
      <c r="B8" s="968"/>
      <c r="C8" s="973" t="s">
        <v>1559</v>
      </c>
      <c r="D8" s="970">
        <v>100</v>
      </c>
      <c r="E8" s="973" t="s">
        <v>1559</v>
      </c>
      <c r="F8" s="972">
        <f>SUMIF(61:61,E8,62:62)-SUMIF(61:61,C8,62:62)+100</f>
        <v>100</v>
      </c>
      <c r="G8" s="973" t="s">
        <v>1559</v>
      </c>
      <c r="H8" s="970">
        <f>SUMIF(61:61,G8,62:62)-SUMIF(61:61,C8,62:62)+100</f>
        <v>100</v>
      </c>
      <c r="I8" s="973" t="s">
        <v>1559</v>
      </c>
      <c r="J8" s="970">
        <f>SUMIF(61:61,I8,62:62)-SUMIF(61:61,C8,62:62)+100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6" si="3">D8/F8</f>
        <v>1</v>
      </c>
      <c r="AB8" s="1175">
        <f t="shared" ref="AB8:AB46" si="4">D8/H8</f>
        <v>1</v>
      </c>
      <c r="AC8" s="1175">
        <f t="shared" ref="AC8:AC46" si="5">D8/J8</f>
        <v>1</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4.75" spans="1:29">
      <c r="A15" s="997" t="s">
        <v>1490</v>
      </c>
      <c r="B15" s="998" t="s">
        <v>1560</v>
      </c>
      <c r="C15" s="999" t="str">
        <f>估价对象房地状况!C4</f>
        <v>估价对象位于XX商圈，周边商业氛围成熟，人流量大，商业繁华度好</v>
      </c>
      <c r="D15" s="1000">
        <v>100</v>
      </c>
      <c r="E15" s="1001"/>
      <c r="F15" s="1002">
        <f>SUMIF(76:76,E16,77:77)-SUMIF(76:76,C16,77:77)+100</f>
        <v>100</v>
      </c>
      <c r="G15" s="1003"/>
      <c r="H15" s="1000">
        <f>SUMIF(76:76,G16,77:77)-SUMIF(76:76,C16,77:77)+100</f>
        <v>100</v>
      </c>
      <c r="I15" s="1001"/>
      <c r="J15" s="1000">
        <f>SUMIF(76:76,I16,77:77)-SUMIF(76:76,C16,77:77)+100</f>
        <v>100</v>
      </c>
      <c r="K15" s="1107">
        <v>3</v>
      </c>
      <c r="L15" s="1106"/>
      <c r="M15" s="1054"/>
      <c r="N15" s="1054"/>
      <c r="O15" s="1054"/>
      <c r="P15" s="1010" t="s">
        <v>1492</v>
      </c>
      <c r="Q15" s="644" t="str">
        <f t="shared" si="6"/>
        <v>商业繁华度</v>
      </c>
      <c r="R15" s="1162" t="s">
        <v>1481</v>
      </c>
      <c r="S15" s="1163">
        <f t="shared" si="0"/>
        <v>100</v>
      </c>
      <c r="T15" s="1162" t="s">
        <v>1481</v>
      </c>
      <c r="U15" s="1163">
        <f t="shared" si="1"/>
        <v>100</v>
      </c>
      <c r="V15" s="1162" t="s">
        <v>1481</v>
      </c>
      <c r="W15" s="1163">
        <f t="shared" si="2"/>
        <v>100</v>
      </c>
      <c r="X15" s="1150"/>
      <c r="Y15" s="1176" t="s">
        <v>1492</v>
      </c>
      <c r="Z15" s="1149" t="str">
        <f t="shared" si="7"/>
        <v>商业繁华度</v>
      </c>
      <c r="AA15" s="1149">
        <f t="shared" si="3"/>
        <v>1</v>
      </c>
      <c r="AB15" s="1149">
        <f t="shared" si="4"/>
        <v>1</v>
      </c>
      <c r="AC15" s="1149">
        <f t="shared" si="5"/>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1"/>
      <c r="F17" s="1012">
        <f>SUMIF(78:78,E18,79:79)-SUMIF(78:78,C18,79:79)+100</f>
        <v>102</v>
      </c>
      <c r="G17" s="1013"/>
      <c r="H17" s="1014">
        <f>SUMIF(78:78,G18,79:79)-SUMIF(78:78,C18,79:79)+100</f>
        <v>102</v>
      </c>
      <c r="I17" s="1011"/>
      <c r="J17" s="1014">
        <f>SUMIF(78:78,I18,79:79)-SUMIF(78:78,C18,79:79)+100</f>
        <v>102</v>
      </c>
      <c r="K17" s="1107">
        <v>2</v>
      </c>
      <c r="L17" s="1106"/>
      <c r="M17" s="1054"/>
      <c r="N17" s="1054"/>
      <c r="O17" s="1054"/>
      <c r="P17" s="1109"/>
      <c r="Q17" s="644" t="str">
        <f>B17</f>
        <v>交通便捷度</v>
      </c>
      <c r="R17" s="1162" t="s">
        <v>1481</v>
      </c>
      <c r="S17" s="1163">
        <f>F17</f>
        <v>102</v>
      </c>
      <c r="T17" s="1162" t="s">
        <v>1481</v>
      </c>
      <c r="U17" s="1163">
        <f>H17</f>
        <v>102</v>
      </c>
      <c r="V17" s="1162" t="s">
        <v>1481</v>
      </c>
      <c r="W17" s="1163">
        <f>J17</f>
        <v>102</v>
      </c>
      <c r="X17" s="1150"/>
      <c r="Y17" s="1177"/>
      <c r="Z17" s="1149" t="str">
        <f>Q17</f>
        <v>交通便捷度</v>
      </c>
      <c r="AA17" s="1149">
        <f t="shared" si="3"/>
        <v>0.980392156862745</v>
      </c>
      <c r="AB17" s="1149">
        <f t="shared" si="4"/>
        <v>0.980392156862745</v>
      </c>
      <c r="AC17" s="1149">
        <f t="shared" si="5"/>
        <v>0.980392156862745</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SUMIF(80:80,E20,81:81)-SUMIF(80:80,C20,81:81)+100</f>
        <v>100</v>
      </c>
      <c r="G19" s="1019"/>
      <c r="H19" s="1008">
        <f>SUMIF(80:80,G20,81:81)-SUMIF(80:80,C20,81:81)+100</f>
        <v>100</v>
      </c>
      <c r="I19" s="1017"/>
      <c r="J19" s="1008">
        <f>SUMIF(80:80,I20,81:81)-SUMIF(80:80,C20,81:81)+100</f>
        <v>100</v>
      </c>
      <c r="K19" s="1107">
        <v>3</v>
      </c>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B23</f>
        <v>自然及人文环境</v>
      </c>
      <c r="R23" s="1162" t="s">
        <v>1481</v>
      </c>
      <c r="S23" s="1163">
        <f>F23</f>
        <v>102</v>
      </c>
      <c r="T23" s="1162" t="s">
        <v>1481</v>
      </c>
      <c r="U23" s="1163">
        <f>H23</f>
        <v>102</v>
      </c>
      <c r="V23" s="1162" t="s">
        <v>1481</v>
      </c>
      <c r="W23" s="1163">
        <f>J23</f>
        <v>100</v>
      </c>
      <c r="X23" s="1150"/>
      <c r="Y23" s="1177"/>
      <c r="Z23" s="1149" t="str">
        <f>Q23</f>
        <v>自然及人文环境</v>
      </c>
      <c r="AA23" s="1149">
        <f t="shared" si="3"/>
        <v>0.980392156862745</v>
      </c>
      <c r="AB23" s="1149">
        <f t="shared" si="4"/>
        <v>0.980392156862745</v>
      </c>
      <c r="AC23" s="1149">
        <f t="shared" si="5"/>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ref="Q25:Q46" si="11">B25</f>
        <v>临街状况</v>
      </c>
      <c r="R25" s="1162" t="s">
        <v>1481</v>
      </c>
      <c r="S25" s="1163">
        <f>F25</f>
        <v>100</v>
      </c>
      <c r="T25" s="1162" t="s">
        <v>1481</v>
      </c>
      <c r="U25" s="1163">
        <f>H25</f>
        <v>100</v>
      </c>
      <c r="V25" s="1162" t="s">
        <v>1481</v>
      </c>
      <c r="W25" s="1163">
        <f>J25</f>
        <v>100</v>
      </c>
      <c r="X25" s="1150"/>
      <c r="Y25" s="1177"/>
      <c r="Z25" s="1149" t="str">
        <f>Q25</f>
        <v>临街状况</v>
      </c>
      <c r="AA25" s="1149">
        <f t="shared" si="3"/>
        <v>1</v>
      </c>
      <c r="AB25" s="1149">
        <f t="shared" si="4"/>
        <v>1</v>
      </c>
      <c r="AC25" s="1149">
        <f t="shared" si="5"/>
        <v>1</v>
      </c>
    </row>
    <row r="26" ht="15" spans="1:29">
      <c r="A26" s="984"/>
      <c r="B26" s="1023" t="s">
        <v>1565</v>
      </c>
      <c r="C26" s="1024" t="s">
        <v>1562</v>
      </c>
      <c r="D26" s="780">
        <v>100</v>
      </c>
      <c r="E26" s="1024" t="s">
        <v>1561</v>
      </c>
      <c r="F26" s="1022">
        <f>SUMIF(88:88,E26,89:89)-SUMIF(88:88,C26,89:89)+100</f>
        <v>105</v>
      </c>
      <c r="G26" s="1024" t="s">
        <v>1561</v>
      </c>
      <c r="H26" s="780">
        <f>SUMIF(88:88,G26,89:89)-SUMIF(88:88,C26,89:89)+100</f>
        <v>105</v>
      </c>
      <c r="I26" s="1024" t="s">
        <v>1561</v>
      </c>
      <c r="J26" s="780">
        <f>SUMIF(88:88,I26,89:89)-SUMIF(88:88,C26,89:89)+100</f>
        <v>105</v>
      </c>
      <c r="K26" s="1105"/>
      <c r="L26" s="1106"/>
      <c r="M26" s="1054"/>
      <c r="N26" s="1054"/>
      <c r="O26" s="1054"/>
      <c r="P26" s="1109"/>
      <c r="Q26" s="644" t="str">
        <f t="shared" si="11"/>
        <v>平面位置/可视性</v>
      </c>
      <c r="R26" s="1162" t="s">
        <v>1481</v>
      </c>
      <c r="S26" s="1163">
        <f>F26</f>
        <v>105</v>
      </c>
      <c r="T26" s="1162" t="s">
        <v>1481</v>
      </c>
      <c r="U26" s="1163">
        <f>H26</f>
        <v>105</v>
      </c>
      <c r="V26" s="1162" t="s">
        <v>1481</v>
      </c>
      <c r="W26" s="1163">
        <f>J26</f>
        <v>105</v>
      </c>
      <c r="X26" s="1150"/>
      <c r="Y26" s="1177"/>
      <c r="Z26" s="1149" t="str">
        <f>Q26</f>
        <v>平面位置/可视性</v>
      </c>
      <c r="AA26" s="1149">
        <f t="shared" si="3"/>
        <v>0.952380952380952</v>
      </c>
      <c r="AB26" s="1149">
        <f t="shared" si="4"/>
        <v>0.952380952380952</v>
      </c>
      <c r="AC26" s="1149">
        <f t="shared" si="5"/>
        <v>0.952380952380952</v>
      </c>
    </row>
    <row r="27" s="920" customFormat="1" ht="15" spans="1:29">
      <c r="A27" s="987"/>
      <c r="B27" s="1009" t="s">
        <v>1566</v>
      </c>
      <c r="C27" s="1025" t="s">
        <v>1567</v>
      </c>
      <c r="D27" s="1026">
        <v>100</v>
      </c>
      <c r="E27" s="1025" t="s">
        <v>1568</v>
      </c>
      <c r="F27" s="1015">
        <f>SUMIF(90:90,E27,91:91)-SUMIF(90:90,C27,91:91)+100</f>
        <v>110</v>
      </c>
      <c r="G27" s="1025" t="s">
        <v>1568</v>
      </c>
      <c r="H27" s="1026">
        <f>SUMIF(90:90,G27,91:91)-SUMIF(90:90,C27,91:91)+100</f>
        <v>110</v>
      </c>
      <c r="I27" s="1025" t="s">
        <v>1568</v>
      </c>
      <c r="J27" s="1026">
        <f>SUMIF(90:90,I27,91:91)-SUMIF(90:90,C27,91:91)+100</f>
        <v>110</v>
      </c>
      <c r="K27" s="1103">
        <v>5</v>
      </c>
      <c r="L27" s="1097"/>
      <c r="M27" s="1098"/>
      <c r="N27" s="1098"/>
      <c r="O27" s="1098"/>
      <c r="P27" s="1109"/>
      <c r="Q27" s="815" t="str">
        <f t="shared" si="11"/>
        <v>人流量</v>
      </c>
      <c r="R27" s="1158" t="s">
        <v>1481</v>
      </c>
      <c r="S27" s="1159">
        <f>F27</f>
        <v>110</v>
      </c>
      <c r="T27" s="1158" t="s">
        <v>1481</v>
      </c>
      <c r="U27" s="1159">
        <f>H27</f>
        <v>110</v>
      </c>
      <c r="V27" s="1158" t="s">
        <v>1481</v>
      </c>
      <c r="W27" s="1159">
        <f>J27</f>
        <v>110</v>
      </c>
      <c r="X27" s="1160"/>
      <c r="Y27" s="1177"/>
      <c r="Z27" s="1175" t="str">
        <f>Q27</f>
        <v>人流量</v>
      </c>
      <c r="AA27" s="1149">
        <f t="shared" si="3"/>
        <v>0.909090909090909</v>
      </c>
      <c r="AB27" s="1149">
        <f t="shared" si="4"/>
        <v>0.909090909090909</v>
      </c>
      <c r="AC27" s="1149">
        <f t="shared" si="5"/>
        <v>0.909090909090909</v>
      </c>
    </row>
    <row r="28" ht="15" spans="1:29">
      <c r="A28" s="984"/>
      <c r="B28" s="980" t="s">
        <v>1569</v>
      </c>
      <c r="C28" s="1021" t="s">
        <v>599</v>
      </c>
      <c r="D28" s="780">
        <v>100</v>
      </c>
      <c r="E28" s="1021" t="s">
        <v>599</v>
      </c>
      <c r="F28" s="1022">
        <f>SUMIF(92:92,E28,93:93)-SUMIF(92:92,C28,93:93)+100</f>
        <v>100</v>
      </c>
      <c r="G28" s="1021" t="s">
        <v>599</v>
      </c>
      <c r="H28" s="780">
        <f>SUMIF(92:92,G28,93:93)-SUMIF(92:92,C28,93:93)+100</f>
        <v>100</v>
      </c>
      <c r="I28" s="1021" t="s">
        <v>599</v>
      </c>
      <c r="J28" s="780">
        <f>SUMIF(92:92,I28,93:93)-SUMIF(92:92,C28,93:93)+100</f>
        <v>100</v>
      </c>
      <c r="K28" s="1105"/>
      <c r="L28" s="1106"/>
      <c r="M28" s="1054"/>
      <c r="N28" s="1054"/>
      <c r="O28" s="1054"/>
      <c r="P28" s="1109"/>
      <c r="Q28" s="644" t="str">
        <f t="shared" si="11"/>
        <v>楼层</v>
      </c>
      <c r="R28" s="1162" t="s">
        <v>1481</v>
      </c>
      <c r="S28" s="1163">
        <f t="shared" ref="S28:S46" si="12">F28</f>
        <v>100</v>
      </c>
      <c r="T28" s="1162" t="s">
        <v>1481</v>
      </c>
      <c r="U28" s="1163">
        <f t="shared" ref="U28:U46" si="13">H28</f>
        <v>100</v>
      </c>
      <c r="V28" s="1162" t="s">
        <v>1481</v>
      </c>
      <c r="W28" s="1163">
        <f t="shared" ref="W28:W46" si="14">J28</f>
        <v>100</v>
      </c>
      <c r="X28" s="1150"/>
      <c r="Y28" s="1177"/>
      <c r="Z28" s="1149" t="str">
        <f t="shared" ref="Z28:Z46" si="15">Q28</f>
        <v>楼层</v>
      </c>
      <c r="AA28" s="1149">
        <f t="shared" si="3"/>
        <v>1</v>
      </c>
      <c r="AB28" s="1149">
        <f t="shared" si="4"/>
        <v>1</v>
      </c>
      <c r="AC28" s="1149">
        <f t="shared" si="5"/>
        <v>1</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5"/>
        <v>111</v>
      </c>
      <c r="AA29" s="1149">
        <f t="shared" si="3"/>
        <v>1</v>
      </c>
      <c r="AB29" s="1149">
        <f t="shared" si="4"/>
        <v>1</v>
      </c>
      <c r="AC29" s="1149">
        <f t="shared" si="5"/>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149">
        <f t="shared" si="5"/>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149">
        <f t="shared" si="5"/>
        <v>1</v>
      </c>
    </row>
    <row r="32" ht="15" spans="1:29">
      <c r="A32" s="997" t="s">
        <v>1499</v>
      </c>
      <c r="B32" s="975" t="s">
        <v>1570</v>
      </c>
      <c r="C32" s="1027" t="s">
        <v>1571</v>
      </c>
      <c r="D32" s="952">
        <v>100</v>
      </c>
      <c r="E32" s="1027" t="s">
        <v>1571</v>
      </c>
      <c r="F32" s="1022">
        <f>SUMIF(100:100,E32,101:101)-SUMIF(100:100,C32,101:101)+100</f>
        <v>100</v>
      </c>
      <c r="G32" s="1027" t="s">
        <v>1571</v>
      </c>
      <c r="H32" s="780">
        <f>SUMIF(100:100,G32,101:101)-SUMIF(100:100,C32,101:101)+100</f>
        <v>100</v>
      </c>
      <c r="I32" s="1027" t="s">
        <v>1571</v>
      </c>
      <c r="J32" s="952">
        <f>SUMIF(100:100,I32,101:101)-SUMIF(100:100,C32,101:101)+100</f>
        <v>100</v>
      </c>
      <c r="K32" s="1103">
        <v>2</v>
      </c>
      <c r="L32" s="1106"/>
      <c r="M32" s="1054"/>
      <c r="N32" s="1054"/>
      <c r="O32" s="1054"/>
      <c r="P32" s="1111" t="s">
        <v>1501</v>
      </c>
      <c r="Q32" s="644" t="str">
        <f t="shared" si="11"/>
        <v>商业类型</v>
      </c>
      <c r="R32" s="1162" t="s">
        <v>1481</v>
      </c>
      <c r="S32" s="1163">
        <f t="shared" si="12"/>
        <v>100</v>
      </c>
      <c r="T32" s="1162" t="s">
        <v>1481</v>
      </c>
      <c r="U32" s="1163">
        <f t="shared" si="13"/>
        <v>100</v>
      </c>
      <c r="V32" s="1162" t="s">
        <v>1481</v>
      </c>
      <c r="W32" s="1163">
        <f t="shared" si="14"/>
        <v>100</v>
      </c>
      <c r="X32" s="1150"/>
      <c r="Y32" s="1178" t="s">
        <v>1501</v>
      </c>
      <c r="Z32" s="1149" t="str">
        <f t="shared" si="15"/>
        <v>商业类型</v>
      </c>
      <c r="AA32" s="1149">
        <f t="shared" si="3"/>
        <v>1</v>
      </c>
      <c r="AB32" s="1149">
        <f t="shared" si="4"/>
        <v>1</v>
      </c>
      <c r="AC32" s="1149">
        <f t="shared" si="5"/>
        <v>1</v>
      </c>
    </row>
    <row r="33" s="922" customFormat="1" ht="15" spans="1:29">
      <c r="A33" s="1028"/>
      <c r="B33" s="980" t="s">
        <v>1502</v>
      </c>
      <c r="C33" s="1029">
        <v>349.48</v>
      </c>
      <c r="D33" s="982">
        <v>100</v>
      </c>
      <c r="E33" s="986">
        <v>922</v>
      </c>
      <c r="F33" s="980">
        <f>LOOKUP(E33,103:103,104:104)-LOOKUP(C33,103:103,104:104)+100</f>
        <v>98</v>
      </c>
      <c r="G33" s="985">
        <v>466.8</v>
      </c>
      <c r="H33" s="982">
        <f>LOOKUP(G33,103:103,104:104)-LOOKUP(C33,103:103,104:104)+100</f>
        <v>100</v>
      </c>
      <c r="I33" s="985">
        <v>304.02</v>
      </c>
      <c r="J33" s="982">
        <f>LOOKUP(I33,103:103,104:104)-LOOKUP(C33,103:103,104:104)+100</f>
        <v>100</v>
      </c>
      <c r="K33" s="1105"/>
      <c r="L33" s="1104"/>
      <c r="M33" s="1112"/>
      <c r="N33" s="1112"/>
      <c r="O33" s="1112"/>
      <c r="P33" s="1113"/>
      <c r="Q33" s="1164" t="str">
        <f t="shared" si="11"/>
        <v>项目建筑规模</v>
      </c>
      <c r="R33" s="1165" t="s">
        <v>1481</v>
      </c>
      <c r="S33" s="1166">
        <f t="shared" si="12"/>
        <v>98</v>
      </c>
      <c r="T33" s="1165" t="s">
        <v>1481</v>
      </c>
      <c r="U33" s="1166">
        <f t="shared" si="13"/>
        <v>100</v>
      </c>
      <c r="V33" s="1165" t="s">
        <v>1481</v>
      </c>
      <c r="W33" s="1166">
        <f t="shared" si="14"/>
        <v>100</v>
      </c>
      <c r="X33" s="1167"/>
      <c r="Y33" s="1178"/>
      <c r="Z33" s="1179" t="str">
        <f t="shared" si="15"/>
        <v>项目建筑规模</v>
      </c>
      <c r="AA33" s="1149">
        <f t="shared" si="3"/>
        <v>1.02040816326531</v>
      </c>
      <c r="AB33" s="1149">
        <f t="shared" si="4"/>
        <v>1</v>
      </c>
      <c r="AC33" s="1149">
        <f t="shared" si="5"/>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5"/>
        <v>建筑结构</v>
      </c>
      <c r="AA34" s="1149">
        <f t="shared" si="3"/>
        <v>1</v>
      </c>
      <c r="AB34" s="1149">
        <f t="shared" si="4"/>
        <v>1</v>
      </c>
      <c r="AC34" s="1149">
        <f t="shared" si="5"/>
        <v>1</v>
      </c>
    </row>
    <row r="35" ht="15" spans="1:29">
      <c r="A35" s="1030"/>
      <c r="B35" s="980" t="s">
        <v>1505</v>
      </c>
      <c r="C35" s="1032" t="s">
        <v>1573</v>
      </c>
      <c r="D35" s="780">
        <v>100</v>
      </c>
      <c r="E35" s="1032" t="s">
        <v>1573</v>
      </c>
      <c r="F35" s="1022">
        <f>SUMIF(107:107,E35,108:108)-SUMIF(107:107,C35,108:108)+100</f>
        <v>100</v>
      </c>
      <c r="G35" s="1032" t="s">
        <v>1573</v>
      </c>
      <c r="H35" s="780">
        <f>SUMIF(107:107,G35,108:108)-SUMIF(107:107,C35,108:108)+100</f>
        <v>100</v>
      </c>
      <c r="I35" s="1032" t="s">
        <v>1573</v>
      </c>
      <c r="J35" s="780">
        <f>SUMIF(107:107,I35,108:108)-SUMIF(107:107,C35,108:108)+100</f>
        <v>100</v>
      </c>
      <c r="K35" s="1103">
        <v>2</v>
      </c>
      <c r="L35" s="1106"/>
      <c r="M35" s="1054"/>
      <c r="N35" s="1054"/>
      <c r="O35" s="1054"/>
      <c r="P35" s="1113"/>
      <c r="Q35" s="644" t="str">
        <f t="shared" si="11"/>
        <v>公共部分装修</v>
      </c>
      <c r="R35" s="1162" t="s">
        <v>1481</v>
      </c>
      <c r="S35" s="1163">
        <f t="shared" si="12"/>
        <v>100</v>
      </c>
      <c r="T35" s="1162" t="s">
        <v>1481</v>
      </c>
      <c r="U35" s="1163">
        <f t="shared" si="13"/>
        <v>100</v>
      </c>
      <c r="V35" s="1162" t="s">
        <v>1481</v>
      </c>
      <c r="W35" s="1163">
        <f t="shared" si="14"/>
        <v>100</v>
      </c>
      <c r="X35" s="1150"/>
      <c r="Y35" s="1178"/>
      <c r="Z35" s="1149" t="str">
        <f t="shared" si="15"/>
        <v>公共部分装修</v>
      </c>
      <c r="AA35" s="1149">
        <f t="shared" si="3"/>
        <v>1</v>
      </c>
      <c r="AB35" s="1149">
        <f t="shared" si="4"/>
        <v>1</v>
      </c>
      <c r="AC35" s="1149">
        <f t="shared" si="5"/>
        <v>1</v>
      </c>
    </row>
    <row r="36" ht="15" spans="1:29">
      <c r="A36" s="1030"/>
      <c r="B36" s="980" t="s">
        <v>634</v>
      </c>
      <c r="C36" s="1033">
        <v>0.6</v>
      </c>
      <c r="D36" s="780">
        <v>100</v>
      </c>
      <c r="E36" s="1033">
        <v>0.7</v>
      </c>
      <c r="F36" s="1022">
        <f>LOOKUP(E36,110:110,111:111)-LOOKUP(C36,110:110,111:111)+100</f>
        <v>101</v>
      </c>
      <c r="G36" s="1033">
        <f>1-(2025-G50)/60</f>
        <v>0.7</v>
      </c>
      <c r="H36" s="1022">
        <f>LOOKUP(G36,110:110,111:111)-LOOKUP(C36,110:110,111:111)+100</f>
        <v>101</v>
      </c>
      <c r="I36" s="1033">
        <v>0.8</v>
      </c>
      <c r="J36" s="780">
        <f>LOOKUP(I36,110:110,111:111)-LOOKUP(C36,110:110,111:111)+100</f>
        <v>102</v>
      </c>
      <c r="K36" s="1103">
        <v>1</v>
      </c>
      <c r="L36" s="1106"/>
      <c r="M36" s="1054"/>
      <c r="N36" s="1054"/>
      <c r="O36" s="1054"/>
      <c r="P36" s="1113"/>
      <c r="Q36" s="644" t="str">
        <f t="shared" si="11"/>
        <v>成新度</v>
      </c>
      <c r="R36" s="1162" t="s">
        <v>1481</v>
      </c>
      <c r="S36" s="1163">
        <f t="shared" si="12"/>
        <v>101</v>
      </c>
      <c r="T36" s="1162" t="s">
        <v>1481</v>
      </c>
      <c r="U36" s="1163">
        <f t="shared" si="13"/>
        <v>101</v>
      </c>
      <c r="V36" s="1162" t="s">
        <v>1481</v>
      </c>
      <c r="W36" s="1163">
        <f t="shared" si="14"/>
        <v>102</v>
      </c>
      <c r="X36" s="1150"/>
      <c r="Y36" s="1178"/>
      <c r="Z36" s="1149" t="str">
        <f t="shared" si="15"/>
        <v>成新度</v>
      </c>
      <c r="AA36" s="1149">
        <f t="shared" si="3"/>
        <v>0.99009900990099</v>
      </c>
      <c r="AB36" s="1149">
        <f t="shared" si="4"/>
        <v>0.99009900990099</v>
      </c>
      <c r="AC36" s="1149">
        <f t="shared" si="5"/>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1481</v>
      </c>
      <c r="S37" s="1159">
        <f t="shared" si="12"/>
        <v>100</v>
      </c>
      <c r="T37" s="1158" t="s">
        <v>1481</v>
      </c>
      <c r="U37" s="1159">
        <f t="shared" si="13"/>
        <v>100</v>
      </c>
      <c r="V37" s="1158" t="s">
        <v>1481</v>
      </c>
      <c r="W37" s="1159">
        <f t="shared" si="14"/>
        <v>100</v>
      </c>
      <c r="X37" s="1160"/>
      <c r="Y37" s="1178"/>
      <c r="Z37" s="1175" t="str">
        <f t="shared" si="15"/>
        <v>市政基础设施</v>
      </c>
      <c r="AA37" s="1175">
        <f t="shared" si="3"/>
        <v>1</v>
      </c>
      <c r="AB37" s="1175">
        <f t="shared" si="4"/>
        <v>1</v>
      </c>
      <c r="AC37" s="1175">
        <f t="shared" si="5"/>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10</v>
      </c>
      <c r="L38" s="1106"/>
      <c r="M38" s="1054"/>
      <c r="N38" s="1054"/>
      <c r="O38" s="1054"/>
      <c r="P38" s="1113" t="s">
        <v>1501</v>
      </c>
      <c r="Q38" s="644" t="str">
        <f t="shared" si="11"/>
        <v>业态</v>
      </c>
      <c r="R38" s="1162" t="s">
        <v>1481</v>
      </c>
      <c r="S38" s="1163">
        <f t="shared" si="12"/>
        <v>100</v>
      </c>
      <c r="T38" s="1162" t="s">
        <v>1481</v>
      </c>
      <c r="U38" s="1163">
        <f t="shared" si="13"/>
        <v>100</v>
      </c>
      <c r="V38" s="1162" t="s">
        <v>1481</v>
      </c>
      <c r="W38" s="1163">
        <f t="shared" si="14"/>
        <v>100</v>
      </c>
      <c r="X38" s="1150"/>
      <c r="Y38" s="1178" t="s">
        <v>1501</v>
      </c>
      <c r="Z38" s="1149" t="str">
        <f t="shared" si="15"/>
        <v>业态</v>
      </c>
      <c r="AA38" s="1149">
        <f t="shared" si="3"/>
        <v>1</v>
      </c>
      <c r="AB38" s="1149">
        <f t="shared" si="4"/>
        <v>1</v>
      </c>
      <c r="AC38" s="1149">
        <f t="shared" si="5"/>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5</v>
      </c>
      <c r="L39" s="1106"/>
      <c r="M39" s="1054"/>
      <c r="N39" s="1054"/>
      <c r="O39" s="1054"/>
      <c r="P39" s="1113"/>
      <c r="Q39" s="644" t="str">
        <f t="shared" si="11"/>
        <v>层高</v>
      </c>
      <c r="R39" s="1162" t="s">
        <v>1481</v>
      </c>
      <c r="S39" s="1163">
        <f t="shared" si="12"/>
        <v>100</v>
      </c>
      <c r="T39" s="1162" t="s">
        <v>1481</v>
      </c>
      <c r="U39" s="1163">
        <f t="shared" si="13"/>
        <v>100</v>
      </c>
      <c r="V39" s="1162" t="s">
        <v>1481</v>
      </c>
      <c r="W39" s="1163">
        <f t="shared" si="14"/>
        <v>100</v>
      </c>
      <c r="X39" s="1150"/>
      <c r="Y39" s="1178"/>
      <c r="Z39" s="1149" t="str">
        <f t="shared" si="15"/>
        <v>层高</v>
      </c>
      <c r="AA39" s="1149">
        <f t="shared" si="3"/>
        <v>1</v>
      </c>
      <c r="AB39" s="1149">
        <f t="shared" si="4"/>
        <v>1</v>
      </c>
      <c r="AC39" s="1149">
        <f t="shared" si="5"/>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1481</v>
      </c>
      <c r="S40" s="1163">
        <f t="shared" si="12"/>
        <v>100</v>
      </c>
      <c r="T40" s="1162" t="s">
        <v>1481</v>
      </c>
      <c r="U40" s="1163">
        <f t="shared" si="13"/>
        <v>100</v>
      </c>
      <c r="V40" s="1162" t="s">
        <v>1481</v>
      </c>
      <c r="W40" s="1163">
        <f t="shared" si="14"/>
        <v>100</v>
      </c>
      <c r="X40" s="1150"/>
      <c r="Y40" s="1178"/>
      <c r="Z40" s="1149" t="str">
        <f t="shared" si="15"/>
        <v>单套建筑面积</v>
      </c>
      <c r="AA40" s="1149">
        <f t="shared" si="3"/>
        <v>1</v>
      </c>
      <c r="AB40" s="1149">
        <f t="shared" si="4"/>
        <v>1</v>
      </c>
      <c r="AC40" s="1149">
        <f t="shared" si="5"/>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11"/>
        <v>进深比</v>
      </c>
      <c r="R41" s="1165" t="s">
        <v>1481</v>
      </c>
      <c r="S41" s="1166">
        <f t="shared" si="12"/>
        <v>100</v>
      </c>
      <c r="T41" s="1165" t="s">
        <v>1481</v>
      </c>
      <c r="U41" s="1166">
        <f t="shared" si="13"/>
        <v>100</v>
      </c>
      <c r="V41" s="1165" t="s">
        <v>1481</v>
      </c>
      <c r="W41" s="1166">
        <f t="shared" si="14"/>
        <v>100</v>
      </c>
      <c r="X41" s="1167"/>
      <c r="Y41" s="1178"/>
      <c r="Z41" s="1179" t="str">
        <f t="shared" si="15"/>
        <v>进深比</v>
      </c>
      <c r="AA41" s="1149">
        <f t="shared" si="3"/>
        <v>1</v>
      </c>
      <c r="AB41" s="1149">
        <f t="shared" si="4"/>
        <v>1</v>
      </c>
      <c r="AC41" s="1149">
        <f t="shared" si="5"/>
        <v>1</v>
      </c>
    </row>
    <row r="42" ht="15" spans="1:29">
      <c r="A42" s="1030"/>
      <c r="B42" s="980" t="s">
        <v>1510</v>
      </c>
      <c r="C42" s="1032" t="s">
        <v>1580</v>
      </c>
      <c r="D42" s="780">
        <v>100</v>
      </c>
      <c r="E42" s="1032" t="s">
        <v>1580</v>
      </c>
      <c r="F42" s="1022">
        <f>SUMIF(122:122,E42,123:123)-SUMIF(122:122,C42,123:123)+100</f>
        <v>100</v>
      </c>
      <c r="G42" s="1032" t="s">
        <v>1580</v>
      </c>
      <c r="H42" s="780">
        <f>SUMIF(122:122,G42,123:123)-SUMIF(122:122,C42,123:123)+100</f>
        <v>100</v>
      </c>
      <c r="I42" s="1032" t="s">
        <v>1580</v>
      </c>
      <c r="J42" s="780">
        <f>SUMIF(122:122,I42,123:123)-SUMIF(122:122,C42,123:123)+100</f>
        <v>100</v>
      </c>
      <c r="K42" s="1103">
        <v>2</v>
      </c>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5"/>
        <v>内部装修</v>
      </c>
      <c r="AA42" s="1149">
        <f t="shared" si="3"/>
        <v>1</v>
      </c>
      <c r="AB42" s="1149">
        <f t="shared" si="4"/>
        <v>1</v>
      </c>
      <c r="AC42" s="1149">
        <f t="shared" si="5"/>
        <v>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5"/>
        <v>内部装修维护情况</v>
      </c>
      <c r="AA43" s="1149">
        <f t="shared" si="3"/>
        <v>1</v>
      </c>
      <c r="AB43" s="1149">
        <f t="shared" si="4"/>
        <v>1</v>
      </c>
      <c r="AC43" s="1149">
        <f t="shared" si="5"/>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5"/>
        <v>111</v>
      </c>
      <c r="AA44" s="1175">
        <f t="shared" si="3"/>
        <v>1</v>
      </c>
      <c r="AB44" s="1175">
        <f t="shared" si="4"/>
        <v>1</v>
      </c>
      <c r="AC44" s="1175">
        <f t="shared" si="5"/>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5"/>
        <v>111</v>
      </c>
      <c r="AA45" s="1149">
        <f t="shared" si="3"/>
        <v>1</v>
      </c>
      <c r="AB45" s="1149">
        <f t="shared" si="4"/>
        <v>1</v>
      </c>
      <c r="AC45" s="1149">
        <f t="shared" si="5"/>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5"/>
        <v>111</v>
      </c>
      <c r="AA46" s="1149">
        <f t="shared" si="3"/>
        <v>1</v>
      </c>
      <c r="AB46" s="1149">
        <f t="shared" si="4"/>
        <v>1</v>
      </c>
      <c r="AC46" s="1149">
        <f t="shared" si="5"/>
        <v>1</v>
      </c>
    </row>
    <row r="47" ht="15" spans="1:29">
      <c r="A47" s="1038" t="s">
        <v>1512</v>
      </c>
      <c r="B47" s="1039"/>
      <c r="C47" s="1040" t="s">
        <v>124</v>
      </c>
      <c r="D47" s="1041"/>
      <c r="E47" s="1042">
        <v>15.12</v>
      </c>
      <c r="F47" s="1043"/>
      <c r="G47" s="1044">
        <v>15.7</v>
      </c>
      <c r="H47" s="1045"/>
      <c r="I47" s="1042">
        <v>15.65</v>
      </c>
      <c r="J47" s="1045"/>
      <c r="K47" s="1115"/>
      <c r="L47" s="1116">
        <v>1.1</v>
      </c>
      <c r="M47" s="1054">
        <f>ROUND(C48*L47,2)</f>
        <v>14.18</v>
      </c>
      <c r="N47" s="1054"/>
      <c r="O47" s="1054"/>
      <c r="P47" s="644" t="str">
        <f>A47</f>
        <v>成交单价（元/平方米）</v>
      </c>
      <c r="Q47" s="644"/>
      <c r="R47" s="1149">
        <f>E47</f>
        <v>15.12</v>
      </c>
      <c r="S47" s="1149"/>
      <c r="T47" s="1149">
        <f>G47</f>
        <v>15.7</v>
      </c>
      <c r="U47" s="1149"/>
      <c r="V47" s="1149">
        <f>I47</f>
        <v>15.65</v>
      </c>
      <c r="W47" s="1149"/>
      <c r="X47" s="1004"/>
      <c r="Y47" s="1181"/>
      <c r="Z47" s="1004"/>
      <c r="AA47" s="1004"/>
      <c r="AB47" s="1004"/>
      <c r="AC47" s="1004"/>
    </row>
    <row r="48" ht="15.75" spans="1:29">
      <c r="A48" s="1046" t="s">
        <v>1513</v>
      </c>
      <c r="B48" s="1047"/>
      <c r="C48" s="1048">
        <f>R49</f>
        <v>12.89</v>
      </c>
      <c r="D48" s="1049" t="s">
        <v>1514</v>
      </c>
      <c r="E48" s="1050">
        <f>R48</f>
        <v>12.71</v>
      </c>
      <c r="F48" s="1051"/>
      <c r="G48" s="1048">
        <f>T48</f>
        <v>12.94</v>
      </c>
      <c r="H48" s="1051"/>
      <c r="I48" s="1050">
        <f>V48</f>
        <v>13.02</v>
      </c>
      <c r="J48" s="1051"/>
      <c r="K48" s="1117">
        <f>F48+H48+J48</f>
        <v>0</v>
      </c>
      <c r="L48" s="1116">
        <v>0.9</v>
      </c>
      <c r="M48" s="1054">
        <f>ROUND(C48*L48,2)</f>
        <v>11.6</v>
      </c>
      <c r="N48" s="1054"/>
      <c r="O48" s="1054"/>
      <c r="P48" s="644" t="str">
        <f>A48</f>
        <v>比较价值（元/平方米）</v>
      </c>
      <c r="Q48" s="644"/>
      <c r="R48" s="1149">
        <f>IF(F1="售价",ROUND(PRODUCT(R47,AA7:AA46),0),ROUND(PRODUCT(R47,AA7:AA46),2))</f>
        <v>12.71</v>
      </c>
      <c r="S48" s="1149"/>
      <c r="T48" s="1149">
        <f>IF(F1="售价",ROUND(PRODUCT(T47,AB7:AB46),0),ROUND(PRODUCT(T47,AB7:AB46),2))</f>
        <v>12.94</v>
      </c>
      <c r="U48" s="1149"/>
      <c r="V48" s="1149">
        <f>IF(F1="售价",ROUND(PRODUCT(V47,AC7:AC46),0),ROUND(PRODUCT(V47,AC7:AC46),2))</f>
        <v>13.02</v>
      </c>
      <c r="W48" s="1149"/>
      <c r="X48" s="1004"/>
      <c r="Y48" s="1004"/>
      <c r="Z48" s="1004"/>
      <c r="AA48" s="1004"/>
      <c r="AB48" s="1004"/>
      <c r="AC48" s="1004"/>
    </row>
    <row r="49" ht="15.75" spans="1:29">
      <c r="A49" s="1052" t="s">
        <v>1515</v>
      </c>
      <c r="B49" s="1053"/>
      <c r="C49" s="962">
        <f>R49</f>
        <v>12.89</v>
      </c>
      <c r="D49" s="962"/>
      <c r="E49" s="962"/>
      <c r="F49" s="962"/>
      <c r="G49" s="962"/>
      <c r="H49" s="962"/>
      <c r="I49" s="962"/>
      <c r="J49" s="962"/>
      <c r="K49" s="1118"/>
      <c r="L49" s="1116"/>
      <c r="M49" s="1054"/>
      <c r="N49" s="1054"/>
      <c r="O49" s="1054"/>
      <c r="P49" s="1022" t="str">
        <f>A49</f>
        <v>估价对象XX用房的比较价值（楼面单价，元/平方米）</v>
      </c>
      <c r="Q49" s="1168"/>
      <c r="R49" s="1169">
        <f>IF(F1="售价",ROUND(IF(D48="简单平均",AVERAGE(R48:V48),R48*F48+T48*H48+V48*J48),0),ROUND(IF(D48="简单平均",AVERAGE(R48:V48),R48*F48+T48*H48+V48*J48),2))</f>
        <v>12.89</v>
      </c>
      <c r="S49" s="1169"/>
      <c r="T49" s="1169"/>
      <c r="U49" s="1169"/>
      <c r="V49" s="1169"/>
      <c r="W49" s="1169"/>
      <c r="X49" s="1004"/>
      <c r="Y49" s="1004"/>
      <c r="Z49" s="1004"/>
      <c r="AA49" s="1004"/>
      <c r="AB49" s="1004"/>
      <c r="AC49" s="1004"/>
    </row>
    <row r="50" spans="1:29">
      <c r="A50" s="1054"/>
      <c r="B50" s="1054"/>
      <c r="C50" s="1054">
        <v>1996</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15.12</v>
      </c>
      <c r="F51" s="1054"/>
      <c r="G51" s="1054">
        <v>15.7</v>
      </c>
      <c r="H51" s="1054"/>
      <c r="I51" s="1054">
        <v>15.65</v>
      </c>
      <c r="J51" s="1054"/>
      <c r="K51" s="1778" t="s">
        <v>1581</v>
      </c>
      <c r="L51" s="1779"/>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IF(E47&lt;E48,E48/E47-1,E47/E48-1)</f>
        <v>0.189614476789929</v>
      </c>
      <c r="F52" s="1058" t="str">
        <f>IF(OR(E52&gt;=0.3,E52&lt;=-0.3),"超过30%","")</f>
        <v/>
      </c>
      <c r="G52" s="1057">
        <f>IF(G47&lt;G48,G48/G47-1,G47/G48-1)</f>
        <v>0.213292117465224</v>
      </c>
      <c r="H52" s="1058" t="str">
        <f>IF(OR(G52&gt;=0.3,G52&lt;=-0.3),"超过30%","")</f>
        <v/>
      </c>
      <c r="I52" s="1057">
        <f>IF(I47&lt;I48,I48/I47-1,I47/I48-1)</f>
        <v>0.20199692780338</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0.018095987411487</v>
      </c>
      <c r="F53" s="1058" t="str">
        <f>IF(OR(E53&gt;=0.2,E53&lt;=-0.2),"超过20%","")</f>
        <v/>
      </c>
      <c r="G53" s="1057">
        <f>IF(G48&lt;I48,I48/G48-1,G48/I48-1)</f>
        <v>0.0061823802163834</v>
      </c>
      <c r="H53" s="1058" t="str">
        <f>IF(OR(G53&gt;=0.2,G53&lt;=-0.2),"超过20%","")</f>
        <v/>
      </c>
      <c r="I53" s="1057">
        <f>IF(I48&lt;E48,E48/I48-1,I48/E48-1)</f>
        <v>0.0243902439024388</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0.0383597883597884</v>
      </c>
      <c r="F54" s="1058" t="str">
        <f>IF(OR(E54&gt;=0.3,E54&lt;=-0.3),"超过30%","")</f>
        <v/>
      </c>
      <c r="G54" s="1057">
        <f>IF(G47&lt;I47,I47/G47-1,G47/I47-1)</f>
        <v>0.00319488817891367</v>
      </c>
      <c r="H54" s="1058" t="str">
        <f>IF(OR(G54&gt;=0.3,G54&lt;=-0.3),"超过30%","")</f>
        <v/>
      </c>
      <c r="I54" s="1057">
        <f>IF(I47&lt;E47,E47/I47-1,I47/E47-1)</f>
        <v>0.0350529100529102</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EDATE(C58,-1)</f>
        <v>45748</v>
      </c>
      <c r="E58" s="1068">
        <f t="shared" ref="E58:O58" si="16">EDATE(D58,-1)</f>
        <v>45717</v>
      </c>
      <c r="F58" s="1068">
        <f t="shared" si="16"/>
        <v>45689</v>
      </c>
      <c r="G58" s="1068">
        <f t="shared" si="16"/>
        <v>45658</v>
      </c>
      <c r="H58" s="1068">
        <f t="shared" si="16"/>
        <v>45627</v>
      </c>
      <c r="I58" s="1068">
        <f t="shared" si="16"/>
        <v>45597</v>
      </c>
      <c r="J58" s="1068">
        <f t="shared" si="16"/>
        <v>45566</v>
      </c>
      <c r="K58" s="1068">
        <f t="shared" si="16"/>
        <v>45536</v>
      </c>
      <c r="L58" s="1068">
        <f t="shared" si="16"/>
        <v>45505</v>
      </c>
      <c r="M58" s="1068">
        <f t="shared" si="16"/>
        <v>45474</v>
      </c>
      <c r="N58" s="1068">
        <f t="shared" si="16"/>
        <v>45444</v>
      </c>
      <c r="O58" s="1068">
        <f t="shared" si="16"/>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C77-$K15</f>
        <v>97</v>
      </c>
      <c r="E77" s="1189">
        <f>D77-$K15</f>
        <v>94</v>
      </c>
      <c r="F77" s="1189">
        <f>E77-$K15</f>
        <v>91</v>
      </c>
      <c r="G77" s="1189">
        <f>F77-$K15</f>
        <v>88</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C79-$K17</f>
        <v>98</v>
      </c>
      <c r="E79" s="1189">
        <f>D79-$K17</f>
        <v>96</v>
      </c>
      <c r="F79" s="1189">
        <f>E79-$K17</f>
        <v>94</v>
      </c>
      <c r="G79" s="1189">
        <f>F79-$K17</f>
        <v>92</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C81-$K19</f>
        <v>97</v>
      </c>
      <c r="E81" s="1189">
        <f>D81-$K19</f>
        <v>94</v>
      </c>
      <c r="F81" s="1189">
        <f>E81-$K19</f>
        <v>91</v>
      </c>
      <c r="G81" s="1189">
        <f>F81-$K19</f>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C83-$K21</f>
        <v>99</v>
      </c>
      <c r="E83" s="1189">
        <f t="shared" ref="E83:G83" si="19">D83-$K21</f>
        <v>98</v>
      </c>
      <c r="F83" s="1189">
        <f t="shared" si="19"/>
        <v>97</v>
      </c>
      <c r="G83" s="1189">
        <f t="shared" si="19"/>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C85-$K23</f>
        <v>98</v>
      </c>
      <c r="E85" s="1189">
        <f>D85-$K23</f>
        <v>96</v>
      </c>
      <c r="F85" s="1189">
        <f>E85-$K23</f>
        <v>94</v>
      </c>
      <c r="G85" s="1189">
        <f>F85-$K23</f>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C91-$K27</f>
        <v>95</v>
      </c>
      <c r="E91" s="1189">
        <f t="shared" ref="E91:M91" si="21">D91-$K27</f>
        <v>90</v>
      </c>
      <c r="F91" s="1189">
        <f t="shared" si="21"/>
        <v>85</v>
      </c>
      <c r="G91" s="1189">
        <f t="shared" si="21"/>
        <v>80</v>
      </c>
      <c r="H91" s="1189">
        <f t="shared" si="21"/>
        <v>75</v>
      </c>
      <c r="I91" s="1189">
        <f t="shared" si="21"/>
        <v>70</v>
      </c>
      <c r="J91" s="1189">
        <f t="shared" si="21"/>
        <v>65</v>
      </c>
      <c r="K91" s="1189">
        <f t="shared" si="21"/>
        <v>60</v>
      </c>
      <c r="L91" s="1189">
        <f t="shared" si="21"/>
        <v>55</v>
      </c>
      <c r="M91" s="1189">
        <f t="shared" si="21"/>
        <v>50</v>
      </c>
      <c r="N91" s="1222">
        <f>E51*N92</f>
        <v>12.2926829268293</v>
      </c>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1591</v>
      </c>
      <c r="D92" s="1206" t="s">
        <v>1592</v>
      </c>
      <c r="E92" s="1191" t="s">
        <v>1593</v>
      </c>
      <c r="F92" s="1191"/>
      <c r="G92" s="1191"/>
      <c r="H92" s="1191"/>
      <c r="I92" s="1191"/>
      <c r="J92" s="1191"/>
      <c r="K92" s="1191"/>
      <c r="L92" s="1238"/>
      <c r="M92" s="1239"/>
      <c r="N92" s="1140">
        <f>100/E93</f>
        <v>0.813008130081301</v>
      </c>
      <c r="O92" s="1140"/>
      <c r="P92" s="1141"/>
      <c r="Q92" s="1170"/>
      <c r="R92" s="1054"/>
      <c r="S92" s="1054"/>
      <c r="T92" s="1054"/>
      <c r="U92" s="1054"/>
      <c r="V92" s="1054"/>
      <c r="W92" s="1054"/>
      <c r="X92" s="1054"/>
      <c r="Y92" s="1054"/>
      <c r="Z92" s="1054"/>
      <c r="AA92" s="1054"/>
      <c r="AB92" s="1054"/>
      <c r="AC92" s="1054"/>
    </row>
    <row r="93" ht="15.75" spans="1:29">
      <c r="A93" s="984"/>
      <c r="B93" s="1184"/>
      <c r="C93" s="1085">
        <v>100</v>
      </c>
      <c r="D93" s="1085">
        <v>105</v>
      </c>
      <c r="E93" s="1085">
        <v>123</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22">C101-$K32</f>
        <v>98</v>
      </c>
      <c r="E101" s="1189">
        <f t="shared" si="22"/>
        <v>96</v>
      </c>
      <c r="F101" s="1189">
        <f t="shared" si="22"/>
        <v>94</v>
      </c>
      <c r="G101" s="1189">
        <f t="shared" si="22"/>
        <v>92</v>
      </c>
      <c r="H101" s="1189">
        <f t="shared" si="22"/>
        <v>90</v>
      </c>
      <c r="I101" s="1189">
        <f t="shared" si="22"/>
        <v>88</v>
      </c>
      <c r="J101" s="1189">
        <f t="shared" si="22"/>
        <v>86</v>
      </c>
      <c r="K101" s="1189">
        <f t="shared" si="22"/>
        <v>84</v>
      </c>
      <c r="L101" s="1189">
        <f t="shared" si="22"/>
        <v>82</v>
      </c>
      <c r="M101" s="1219">
        <f t="shared" si="22"/>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C103&amp;"(含)"&amp;"-"&amp;D103</f>
        <v>0(含)-500</v>
      </c>
      <c r="D102" s="1201" t="str">
        <f t="shared" ref="D102:L102" si="23">D103&amp;"(含)"&amp;"-"&amp;E103</f>
        <v>500(含)-1000</v>
      </c>
      <c r="E102" s="1201" t="str">
        <f t="shared" si="23"/>
        <v>1000(含)-2000</v>
      </c>
      <c r="F102" s="1201" t="str">
        <f t="shared" si="23"/>
        <v>2000(含)-3000</v>
      </c>
      <c r="G102" s="1201" t="str">
        <f t="shared" si="23"/>
        <v>3000(含)-5000</v>
      </c>
      <c r="H102" s="1201" t="str">
        <f t="shared" si="23"/>
        <v>5000(含)-8000</v>
      </c>
      <c r="I102" s="1201" t="str">
        <f t="shared" si="23"/>
        <v>8000(含)-</v>
      </c>
      <c r="J102" s="1201" t="str">
        <f t="shared" si="23"/>
        <v>(含)-</v>
      </c>
      <c r="K102" s="1201" t="str">
        <f t="shared" si="23"/>
        <v>(含)-</v>
      </c>
      <c r="L102" s="1201" t="str">
        <f t="shared" si="23"/>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500</v>
      </c>
      <c r="E103" s="1211">
        <v>1000</v>
      </c>
      <c r="F103" s="1211">
        <v>2000</v>
      </c>
      <c r="G103" s="1211">
        <v>3000</v>
      </c>
      <c r="H103" s="1211">
        <v>5000</v>
      </c>
      <c r="I103" s="1211">
        <v>8000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98</v>
      </c>
      <c r="E104" s="1085">
        <v>96</v>
      </c>
      <c r="F104" s="1085">
        <f>E104-1</f>
        <v>95</v>
      </c>
      <c r="G104" s="1085">
        <f t="shared" ref="G104:I104" si="24">F104-1</f>
        <v>94</v>
      </c>
      <c r="H104" s="1085">
        <f t="shared" si="24"/>
        <v>93</v>
      </c>
      <c r="I104" s="1085">
        <f t="shared" si="24"/>
        <v>92</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5">C106-$K34</f>
        <v>98</v>
      </c>
      <c r="E106" s="1189">
        <f t="shared" si="25"/>
        <v>96</v>
      </c>
      <c r="F106" s="1189">
        <f t="shared" si="25"/>
        <v>94</v>
      </c>
      <c r="G106" s="1189">
        <f t="shared" si="25"/>
        <v>92</v>
      </c>
      <c r="H106" s="1189">
        <f t="shared" si="25"/>
        <v>90</v>
      </c>
      <c r="I106" s="1189">
        <f t="shared" si="25"/>
        <v>88</v>
      </c>
      <c r="J106" s="1189">
        <f t="shared" si="25"/>
        <v>86</v>
      </c>
      <c r="K106" s="1189">
        <f t="shared" si="25"/>
        <v>84</v>
      </c>
      <c r="L106" s="1189">
        <f t="shared" si="25"/>
        <v>82</v>
      </c>
      <c r="M106" s="1219">
        <f t="shared" si="25"/>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203" t="s">
        <v>1573</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6">C108-$K35</f>
        <v>98</v>
      </c>
      <c r="E108" s="1189">
        <f t="shared" si="26"/>
        <v>96</v>
      </c>
      <c r="F108" s="1189">
        <f t="shared" si="26"/>
        <v>94</v>
      </c>
      <c r="G108" s="1189">
        <f t="shared" si="26"/>
        <v>92</v>
      </c>
      <c r="H108" s="1189">
        <f t="shared" si="26"/>
        <v>90</v>
      </c>
      <c r="I108" s="1189">
        <f t="shared" si="26"/>
        <v>88</v>
      </c>
      <c r="J108" s="1189">
        <f t="shared" si="26"/>
        <v>86</v>
      </c>
      <c r="K108" s="1189">
        <f t="shared" si="26"/>
        <v>84</v>
      </c>
      <c r="L108" s="1189">
        <f t="shared" si="26"/>
        <v>82</v>
      </c>
      <c r="M108" s="1219">
        <f t="shared" si="26"/>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C111+$K36</f>
        <v>101</v>
      </c>
      <c r="E111" s="1189">
        <f t="shared" ref="E111:M111" si="27">D111+$K36</f>
        <v>102</v>
      </c>
      <c r="F111" s="1189">
        <f t="shared" si="27"/>
        <v>103</v>
      </c>
      <c r="G111" s="1189">
        <f t="shared" si="27"/>
        <v>104</v>
      </c>
      <c r="H111" s="1189">
        <f t="shared" si="27"/>
        <v>105</v>
      </c>
      <c r="I111" s="1189">
        <f t="shared" si="27"/>
        <v>106</v>
      </c>
      <c r="J111" s="1189">
        <f t="shared" si="27"/>
        <v>107</v>
      </c>
      <c r="K111" s="1189">
        <f t="shared" si="27"/>
        <v>108</v>
      </c>
      <c r="L111" s="1189">
        <f t="shared" si="27"/>
        <v>109</v>
      </c>
      <c r="M111" s="1189">
        <f t="shared" si="27"/>
        <v>110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C113-$K37</f>
        <v>99</v>
      </c>
      <c r="E113" s="1189">
        <f t="shared" ref="E113:M113" si="28">D113-$K37</f>
        <v>98</v>
      </c>
      <c r="F113" s="1189">
        <f t="shared" si="28"/>
        <v>97</v>
      </c>
      <c r="G113" s="1189">
        <f t="shared" si="28"/>
        <v>96</v>
      </c>
      <c r="H113" s="1189">
        <f t="shared" si="28"/>
        <v>95</v>
      </c>
      <c r="I113" s="1189">
        <f t="shared" si="28"/>
        <v>94</v>
      </c>
      <c r="J113" s="1189">
        <f t="shared" si="28"/>
        <v>93</v>
      </c>
      <c r="K113" s="1189">
        <f t="shared" si="28"/>
        <v>92</v>
      </c>
      <c r="L113" s="1189">
        <f t="shared" si="28"/>
        <v>91</v>
      </c>
      <c r="M113" s="1189">
        <f t="shared" si="28"/>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29">C115-$K38</f>
        <v>90</v>
      </c>
      <c r="E115" s="1189">
        <f t="shared" si="29"/>
        <v>80</v>
      </c>
      <c r="F115" s="1189">
        <f t="shared" si="29"/>
        <v>70</v>
      </c>
      <c r="G115" s="1189">
        <f t="shared" si="29"/>
        <v>60</v>
      </c>
      <c r="H115" s="1189">
        <f t="shared" si="29"/>
        <v>50</v>
      </c>
      <c r="I115" s="1189">
        <f t="shared" si="29"/>
        <v>40</v>
      </c>
      <c r="J115" s="1189">
        <f t="shared" si="29"/>
        <v>30</v>
      </c>
      <c r="K115" s="1189">
        <f t="shared" si="29"/>
        <v>20</v>
      </c>
      <c r="L115" s="1189">
        <f t="shared" si="29"/>
        <v>10</v>
      </c>
      <c r="M115" s="1219">
        <f t="shared" si="29"/>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C121-$K41</f>
        <v>100</v>
      </c>
      <c r="E121" s="1189">
        <f t="shared" ref="E121:M121" si="30">D121-$K41</f>
        <v>100</v>
      </c>
      <c r="F121" s="1189">
        <f t="shared" si="30"/>
        <v>100</v>
      </c>
      <c r="G121" s="1189">
        <f t="shared" si="30"/>
        <v>100</v>
      </c>
      <c r="H121" s="1189">
        <f t="shared" si="30"/>
        <v>100</v>
      </c>
      <c r="I121" s="1189">
        <f t="shared" si="30"/>
        <v>100</v>
      </c>
      <c r="J121" s="1189">
        <f t="shared" si="30"/>
        <v>100</v>
      </c>
      <c r="K121" s="1189">
        <f t="shared" si="30"/>
        <v>100</v>
      </c>
      <c r="L121" s="1189">
        <f t="shared" si="30"/>
        <v>100</v>
      </c>
      <c r="M121" s="1219">
        <f t="shared" si="3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31">C123-$K42</f>
        <v>98</v>
      </c>
      <c r="E123" s="1189">
        <f t="shared" si="31"/>
        <v>96</v>
      </c>
      <c r="F123" s="1189">
        <f t="shared" si="31"/>
        <v>94</v>
      </c>
      <c r="G123" s="1189">
        <f t="shared" si="31"/>
        <v>92</v>
      </c>
      <c r="H123" s="1189">
        <f t="shared" si="31"/>
        <v>90</v>
      </c>
      <c r="I123" s="1189">
        <f t="shared" si="31"/>
        <v>88</v>
      </c>
      <c r="J123" s="1189">
        <f t="shared" si="31"/>
        <v>86</v>
      </c>
      <c r="K123" s="1189">
        <f t="shared" si="31"/>
        <v>84</v>
      </c>
      <c r="L123" s="1189">
        <f t="shared" si="31"/>
        <v>82</v>
      </c>
      <c r="M123" s="1219">
        <f t="shared" si="3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5.6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1601</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IF(E1="项目模式",IF(C2="——",ROUND(C50*D3/10000,0),ROUND(C50*D3/10000,0)-D2),IF(E1="单套模式",IF(C2="——",ROUND(C50*D3/10000,4),ROUND(C50*D3/10000,4)-D2)))</f>
        <v>0</v>
      </c>
      <c r="C2" s="939"/>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f ca="1">IF(C2="——",C50,ROUND(B2*10000/D3,0))</f>
        <v>0</v>
      </c>
      <c r="C3" s="945" t="s">
        <v>1465</v>
      </c>
      <c r="D3" s="946">
        <f>IF(D1="",'数据-汇总表'!E3,SUMIF('数据-汇总表'!$C19:$C33,D1,'数据-汇总表'!$E19:$E33))</f>
        <v>349.48</v>
      </c>
      <c r="E3" s="947"/>
      <c r="F3" s="948"/>
      <c r="G3" s="943"/>
      <c r="H3" s="943"/>
      <c r="I3" s="943"/>
      <c r="J3" s="943"/>
      <c r="K3" s="1092"/>
      <c r="L3" s="1089"/>
      <c r="M3" s="1090"/>
      <c r="N3" s="1090"/>
      <c r="O3" s="1090"/>
      <c r="P3" s="1504"/>
      <c r="Q3" s="1504"/>
      <c r="R3" s="1504"/>
      <c r="S3" s="1504"/>
      <c r="T3" s="1504"/>
      <c r="U3" s="1504"/>
      <c r="V3" s="1504"/>
      <c r="W3" s="1504"/>
      <c r="X3" s="1504"/>
      <c r="Y3" s="1504"/>
      <c r="Z3" s="1504"/>
      <c r="AA3" s="1504"/>
      <c r="AB3" s="15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757" t="s">
        <v>1472</v>
      </c>
      <c r="Q4" s="1762"/>
      <c r="R4" s="1763" t="s">
        <v>1468</v>
      </c>
      <c r="S4" s="1764"/>
      <c r="T4" s="1763" t="s">
        <v>1469</v>
      </c>
      <c r="U4" s="1764"/>
      <c r="V4" s="1554" t="s">
        <v>1470</v>
      </c>
      <c r="W4" s="1554"/>
      <c r="X4" s="1765"/>
      <c r="Y4" s="1763" t="s">
        <v>1472</v>
      </c>
      <c r="Z4" s="1764"/>
      <c r="AA4" s="1765" t="s">
        <v>1468</v>
      </c>
      <c r="AB4" s="1765" t="s">
        <v>1469</v>
      </c>
      <c r="AC4" s="1769" t="s">
        <v>1470</v>
      </c>
    </row>
    <row r="5" ht="15" spans="1:29">
      <c r="A5" s="955"/>
      <c r="B5" s="956"/>
      <c r="C5" s="957" t="s">
        <v>1473</v>
      </c>
      <c r="D5" s="958"/>
      <c r="E5" s="1509" t="s">
        <v>1474</v>
      </c>
      <c r="F5" s="960"/>
      <c r="G5" s="957" t="s">
        <v>1475</v>
      </c>
      <c r="H5" s="958"/>
      <c r="I5" s="957" t="s">
        <v>1476</v>
      </c>
      <c r="J5" s="958"/>
      <c r="K5" s="1093"/>
      <c r="L5" s="1094"/>
      <c r="M5" s="1054"/>
      <c r="N5" s="1054"/>
      <c r="O5" s="1054"/>
      <c r="P5" s="1758"/>
      <c r="Q5" s="1151"/>
      <c r="R5" s="1152"/>
      <c r="S5" s="1153"/>
      <c r="T5" s="1152"/>
      <c r="U5" s="1153"/>
      <c r="V5" s="1149"/>
      <c r="W5" s="1149"/>
      <c r="X5" s="1150"/>
      <c r="Y5" s="1152"/>
      <c r="Z5" s="1153"/>
      <c r="AA5" s="1150"/>
      <c r="AB5" s="1150"/>
      <c r="AC5" s="1679"/>
    </row>
    <row r="6" ht="15.75" spans="1:29">
      <c r="A6" s="961"/>
      <c r="B6" s="962"/>
      <c r="C6" s="963" t="s">
        <v>1477</v>
      </c>
      <c r="D6" s="964"/>
      <c r="E6" s="965" t="s">
        <v>1477</v>
      </c>
      <c r="F6" s="966"/>
      <c r="G6" s="963" t="s">
        <v>1477</v>
      </c>
      <c r="H6" s="964"/>
      <c r="I6" s="963" t="s">
        <v>1477</v>
      </c>
      <c r="J6" s="964"/>
      <c r="K6" s="1093" t="s">
        <v>1478</v>
      </c>
      <c r="L6" s="1094"/>
      <c r="M6" s="1054"/>
      <c r="N6" s="1054"/>
      <c r="O6" s="1054"/>
      <c r="P6" s="1759"/>
      <c r="Q6" s="1154"/>
      <c r="R6" s="1152"/>
      <c r="S6" s="1153"/>
      <c r="T6" s="1155"/>
      <c r="U6" s="1156"/>
      <c r="V6" s="1149"/>
      <c r="W6" s="1149"/>
      <c r="X6" s="1150"/>
      <c r="Y6" s="1155"/>
      <c r="Z6" s="1156"/>
      <c r="AA6" s="1174"/>
      <c r="AB6" s="1174"/>
      <c r="AC6" s="1770"/>
    </row>
    <row r="7" s="920" customFormat="1" ht="15.75" spans="1:29">
      <c r="A7" s="967" t="s">
        <v>1479</v>
      </c>
      <c r="B7" s="968"/>
      <c r="C7" s="969">
        <f>'数据-取费表'!B2</f>
        <v>45797</v>
      </c>
      <c r="D7" s="970">
        <v>100</v>
      </c>
      <c r="E7" s="971"/>
      <c r="F7" s="972">
        <f>SUMIF(59:59,YEAR(E7)&amp;"-"&amp;MONTH(E7),60:60)</f>
        <v>0</v>
      </c>
      <c r="G7" s="971"/>
      <c r="H7" s="970">
        <f>SUMIF(59:59,YEAR(G7)&amp;"-"&amp;MONTH(G7),60:60)</f>
        <v>0</v>
      </c>
      <c r="I7" s="971"/>
      <c r="J7" s="970">
        <f>SUMIF(59:59,YEAR(I7)&amp;"-"&amp;MONTH(I7),60:60)</f>
        <v>0</v>
      </c>
      <c r="K7" s="1096"/>
      <c r="L7" s="1097"/>
      <c r="M7" s="1098"/>
      <c r="N7" s="1098"/>
      <c r="O7" s="1098"/>
      <c r="P7" s="1760"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771" t="e">
        <f>D7/J7</f>
        <v>#DIV/0!</v>
      </c>
    </row>
    <row r="8" s="920" customFormat="1" ht="15.75" spans="1:29">
      <c r="A8" s="967" t="s">
        <v>1482</v>
      </c>
      <c r="B8" s="968"/>
      <c r="C8" s="973"/>
      <c r="D8" s="970">
        <v>100</v>
      </c>
      <c r="E8" s="973"/>
      <c r="F8" s="972">
        <f>SUMIF(62:62,E8,63:63)-SUMIF(62:62,C8,63:63)+100</f>
        <v>100</v>
      </c>
      <c r="G8" s="973"/>
      <c r="H8" s="970">
        <f>SUMIF(62:62,G8,63:63)-SUMIF(62:62,C8,63:63)+100</f>
        <v>100</v>
      </c>
      <c r="I8" s="973"/>
      <c r="J8" s="970">
        <f>SUMIF(62:62,I8,63:63)-SUMIF(62:62,C8,63:63)+100</f>
        <v>100</v>
      </c>
      <c r="K8" s="1096"/>
      <c r="L8" s="1097"/>
      <c r="M8" s="1098"/>
      <c r="N8" s="1098"/>
      <c r="O8" s="1098"/>
      <c r="P8" s="1760" t="s">
        <v>1483</v>
      </c>
      <c r="Q8" s="1161"/>
      <c r="R8" s="1158" t="s">
        <v>1481</v>
      </c>
      <c r="S8" s="1159">
        <f t="shared" si="0"/>
        <v>100</v>
      </c>
      <c r="T8" s="1158" t="s">
        <v>1481</v>
      </c>
      <c r="U8" s="1159">
        <f t="shared" si="1"/>
        <v>100</v>
      </c>
      <c r="V8" s="1158" t="s">
        <v>1481</v>
      </c>
      <c r="W8" s="1159">
        <f t="shared" si="2"/>
        <v>100</v>
      </c>
      <c r="X8" s="1160"/>
      <c r="Y8" s="1099" t="s">
        <v>1483</v>
      </c>
      <c r="Z8" s="1161"/>
      <c r="AA8" s="1175">
        <f t="shared" ref="AA8:AA47" si="3">D8/F8</f>
        <v>1</v>
      </c>
      <c r="AB8" s="1175">
        <f t="shared" ref="AB8:AB47" si="4">D8/H8</f>
        <v>1</v>
      </c>
      <c r="AC8" s="1771">
        <f t="shared" ref="AC8:AC47" si="5">D8/J8</f>
        <v>1</v>
      </c>
    </row>
    <row r="9" s="920" customFormat="1" spans="1:29">
      <c r="A9" s="974" t="s">
        <v>1484</v>
      </c>
      <c r="B9" s="975" t="s">
        <v>1485</v>
      </c>
      <c r="C9" s="1650"/>
      <c r="D9" s="977">
        <v>100</v>
      </c>
      <c r="E9" s="1651"/>
      <c r="F9" s="977">
        <f>SUMIF(64:64,E9,65:65)-SUMIF(64:64,C9,65:65)+100</f>
        <v>100</v>
      </c>
      <c r="G9" s="978"/>
      <c r="H9" s="977">
        <f>SUMIF(64:64,G9,65:65)-SUMIF(64:64,C9,65:65)+100</f>
        <v>100</v>
      </c>
      <c r="I9" s="978"/>
      <c r="J9" s="977">
        <f>SUMIF(64:64,I9,65:65)-SUMIF(64:64,C9,65:65)+100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771">
        <f t="shared" si="5"/>
        <v>1</v>
      </c>
    </row>
    <row r="10" s="921" customFormat="1" ht="27" spans="1:29">
      <c r="A10" s="979"/>
      <c r="B10" s="980" t="s">
        <v>1488</v>
      </c>
      <c r="C10" s="981"/>
      <c r="D10" s="982">
        <v>100</v>
      </c>
      <c r="E10" s="981"/>
      <c r="F10" s="982">
        <f>SUMIF(66:66,E10,67:67)-SUMIF(66:66,C10,67:67)+100</f>
        <v>100</v>
      </c>
      <c r="G10" s="983"/>
      <c r="H10" s="982">
        <f>SUMIF(66:66,G10,67:67)-SUMIF(66:66,C10,67:67)+100</f>
        <v>100</v>
      </c>
      <c r="I10" s="981"/>
      <c r="J10" s="982">
        <f>SUMIF(66:66,I10,67:67)-SUMIF(66:66,C10,67:67)+100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771">
        <f t="shared" si="5"/>
        <v>1</v>
      </c>
    </row>
    <row r="11" ht="15" spans="1:29">
      <c r="A11" s="984"/>
      <c r="B11" s="980" t="s">
        <v>1489</v>
      </c>
      <c r="C11" s="985"/>
      <c r="D11" s="982">
        <v>100</v>
      </c>
      <c r="E11" s="985"/>
      <c r="F11" s="982">
        <f>LOOKUP(E11,69:69,70:70)-LOOKUP(C11,69:69,70:70)+100</f>
        <v>100</v>
      </c>
      <c r="G11" s="986"/>
      <c r="H11" s="982">
        <f>LOOKUP(G11,69:69,70:70)-LOOKUP(C11,69:69,70:70)+100</f>
        <v>100</v>
      </c>
      <c r="I11" s="985"/>
      <c r="J11" s="982">
        <f>LOOKUP(I11,69:69,70:70)-LOOKUP(C11,69:69,70:70)+100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771">
        <f t="shared" si="5"/>
        <v>1</v>
      </c>
    </row>
    <row r="12" s="920" customFormat="1" ht="15" spans="1:29">
      <c r="A12" s="987"/>
      <c r="B12" s="988">
        <v>111</v>
      </c>
      <c r="C12" s="989"/>
      <c r="D12" s="990">
        <v>100</v>
      </c>
      <c r="E12" s="989"/>
      <c r="F12" s="982">
        <f>SUMIF(71:71,E12,72:72)-SUMIF(71:71,C12,72:72)+100</f>
        <v>100</v>
      </c>
      <c r="G12" s="1751"/>
      <c r="H12" s="982">
        <f>SUMIF(71:71,G12,72:72)-SUMIF(71:71,C12,72:72)+100</f>
        <v>100</v>
      </c>
      <c r="I12" s="989"/>
      <c r="J12" s="982">
        <f>SUMIF(71:71,I12,72:72)-SUMIF(71:71,C12,72:72)+100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771">
        <f t="shared" si="5"/>
        <v>1</v>
      </c>
    </row>
    <row r="13" ht="15" spans="1:29">
      <c r="A13" s="984"/>
      <c r="B13" s="988">
        <v>111</v>
      </c>
      <c r="C13" s="991"/>
      <c r="D13" s="780">
        <v>100</v>
      </c>
      <c r="E13" s="989"/>
      <c r="F13" s="982">
        <f>SUMIF(73:73,E13,74:74)-SUMIF(73:73,C13,74:74)+100</f>
        <v>100</v>
      </c>
      <c r="G13" s="1751"/>
      <c r="H13" s="780">
        <f>SUMIF(73:73,G13,74:74)-SUMIF(73:73,C13,74:74)+100</f>
        <v>100</v>
      </c>
      <c r="I13" s="989"/>
      <c r="J13" s="780">
        <f>SUMIF(73:73,I13,74:74)-SUMIF(73:73,C13,74:74)+100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771">
        <f t="shared" si="5"/>
        <v>1</v>
      </c>
    </row>
    <row r="14" ht="15.75" spans="1:29">
      <c r="A14" s="992"/>
      <c r="B14" s="993">
        <v>111</v>
      </c>
      <c r="C14" s="994"/>
      <c r="D14" s="995">
        <v>100</v>
      </c>
      <c r="E14" s="1682"/>
      <c r="F14" s="995">
        <f>SUMIF(75:75,E14,76:76)-SUMIF(75:75,C14,76:76)+100</f>
        <v>100</v>
      </c>
      <c r="G14" s="1751"/>
      <c r="H14" s="995">
        <f>SUMIF(75:75,G14,76:76)-SUMIF(75:75,C14,76:76)+100</f>
        <v>100</v>
      </c>
      <c r="I14" s="989"/>
      <c r="J14" s="995">
        <f>SUMIF(75:75,I14,76:76)-SUMIF(75:75,C14,76:76)+100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771">
        <f t="shared" si="5"/>
        <v>1</v>
      </c>
    </row>
    <row r="15" ht="68.25" spans="1:29">
      <c r="A15" s="997" t="s">
        <v>1490</v>
      </c>
      <c r="B15" s="1517" t="s">
        <v>1602</v>
      </c>
      <c r="C15" s="1752" t="str">
        <f>估价对象房地状况!C5</f>
        <v>估价对象位于XX商圈，周边办公楼项目较多，入驻率高，办公集聚程度较好</v>
      </c>
      <c r="D15" s="1000">
        <v>100</v>
      </c>
      <c r="E15" s="1003"/>
      <c r="F15" s="1000">
        <f>SUMIF(77:77,E16,78:78)-SUMIF(77:77,C16,78:78)+100</f>
        <v>100</v>
      </c>
      <c r="G15" s="1001"/>
      <c r="H15" s="1000">
        <f>SUMIF(77:77,G16,78:78)-SUMIF(77:77,C16,78:78)+100</f>
        <v>100</v>
      </c>
      <c r="I15" s="1001"/>
      <c r="J15" s="1000">
        <f>SUMIF(77:77,I16,78:78)-SUMIF(77:77,C16,78:78)+100</f>
        <v>100</v>
      </c>
      <c r="K15" s="1107"/>
      <c r="L15" s="1106"/>
      <c r="M15" s="1054"/>
      <c r="N15" s="1054"/>
      <c r="O15" s="1054"/>
      <c r="P15" s="1010" t="s">
        <v>1492</v>
      </c>
      <c r="Q15" s="644" t="str">
        <f t="shared" si="6"/>
        <v>办公集聚程度</v>
      </c>
      <c r="R15" s="1162" t="s">
        <v>1481</v>
      </c>
      <c r="S15" s="1163">
        <f t="shared" si="0"/>
        <v>100</v>
      </c>
      <c r="T15" s="1162" t="s">
        <v>1481</v>
      </c>
      <c r="U15" s="1163">
        <f t="shared" si="1"/>
        <v>100</v>
      </c>
      <c r="V15" s="1162" t="s">
        <v>1481</v>
      </c>
      <c r="W15" s="1163">
        <f t="shared" si="2"/>
        <v>100</v>
      </c>
      <c r="X15" s="1150"/>
      <c r="Y15" s="1176" t="s">
        <v>1492</v>
      </c>
      <c r="Z15" s="1149" t="str">
        <f t="shared" si="7"/>
        <v>办公集聚程度</v>
      </c>
      <c r="AA15" s="1149">
        <f t="shared" si="3"/>
        <v>1</v>
      </c>
      <c r="AB15" s="1149">
        <f t="shared" si="4"/>
        <v>1</v>
      </c>
      <c r="AC15" s="1772">
        <f t="shared" si="5"/>
        <v>1</v>
      </c>
    </row>
    <row r="16" ht="15" spans="1:29">
      <c r="A16" s="984"/>
      <c r="B16" s="1519"/>
      <c r="C16" s="1520"/>
      <c r="D16" s="1006"/>
      <c r="E16" s="1005"/>
      <c r="F16" s="1006"/>
      <c r="G16" s="1520"/>
      <c r="H16" s="1008"/>
      <c r="I16" s="1005"/>
      <c r="J16" s="1006"/>
      <c r="K16" s="1108"/>
      <c r="L16" s="1106"/>
      <c r="M16" s="1054"/>
      <c r="N16" s="1054"/>
      <c r="O16" s="1054"/>
      <c r="P16" s="1109"/>
      <c r="Q16" s="644"/>
      <c r="R16" s="1162"/>
      <c r="S16" s="1163"/>
      <c r="T16" s="1162"/>
      <c r="U16" s="1163"/>
      <c r="V16" s="1162"/>
      <c r="W16" s="1163"/>
      <c r="X16" s="1150"/>
      <c r="Y16" s="1177"/>
      <c r="Z16" s="1149"/>
      <c r="AA16" s="1149">
        <v>1</v>
      </c>
      <c r="AB16" s="1149">
        <v>1</v>
      </c>
      <c r="AC16" s="1772">
        <v>1</v>
      </c>
    </row>
    <row r="17" ht="67.5" spans="1:29">
      <c r="A17" s="984"/>
      <c r="B17" s="1521" t="s">
        <v>1493</v>
      </c>
      <c r="C17" s="1146" t="str">
        <f>估价对象房地状况!C6</f>
        <v>估价对象周边道路状况、公共交通通达情况、停车便捷程度，综合评价交通便捷度较好</v>
      </c>
      <c r="D17" s="1008">
        <v>100</v>
      </c>
      <c r="E17" s="1013"/>
      <c r="F17" s="1008">
        <f>SUMIF(79:79,E18,80:80)-SUMIF(79:79,C18,80:80)+100</f>
        <v>100</v>
      </c>
      <c r="G17" s="1011"/>
      <c r="H17" s="1014">
        <f>SUMIF(79:79,G18,80:80)-SUMIF(79:79,C18,80:80)+100</f>
        <v>100</v>
      </c>
      <c r="I17" s="1011"/>
      <c r="J17" s="1014">
        <f>SUMIF(79:79,I18,80:80)-SUMIF(79:79,C18,80:80)+100</f>
        <v>100</v>
      </c>
      <c r="K17" s="1107"/>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772">
        <f t="shared" si="5"/>
        <v>1</v>
      </c>
    </row>
    <row r="18" ht="15" spans="1:29">
      <c r="A18" s="984"/>
      <c r="B18" s="1026"/>
      <c r="C18" s="1753"/>
      <c r="D18" s="1008"/>
      <c r="E18" s="1633"/>
      <c r="F18" s="1008"/>
      <c r="G18" s="1628"/>
      <c r="H18" s="1006"/>
      <c r="I18" s="1628"/>
      <c r="J18" s="1006"/>
      <c r="K18" s="1108"/>
      <c r="L18" s="1106"/>
      <c r="M18" s="1054"/>
      <c r="N18" s="1054"/>
      <c r="O18" s="1054"/>
      <c r="P18" s="1109"/>
      <c r="Q18" s="644"/>
      <c r="R18" s="1162"/>
      <c r="S18" s="1163"/>
      <c r="T18" s="1162"/>
      <c r="U18" s="1163"/>
      <c r="V18" s="1162"/>
      <c r="W18" s="1163"/>
      <c r="X18" s="1150"/>
      <c r="Y18" s="1177"/>
      <c r="Z18" s="1149"/>
      <c r="AA18" s="1149">
        <v>1</v>
      </c>
      <c r="AB18" s="1149">
        <v>1</v>
      </c>
      <c r="AC18" s="1772">
        <v>1</v>
      </c>
    </row>
    <row r="19" ht="40.5" spans="1:29">
      <c r="A19" s="984"/>
      <c r="B19" s="1521" t="s">
        <v>1494</v>
      </c>
      <c r="C19" s="1146" t="str">
        <f>估价对象房地状况!C7</f>
        <v>估价对象所在区域公共配套设施齐备情况</v>
      </c>
      <c r="D19" s="1014">
        <v>100</v>
      </c>
      <c r="E19" s="1019"/>
      <c r="F19" s="1014">
        <f>SUMIF(81:81,E20,82:82)-SUMIF(81:81,C20,82:82)+100</f>
        <v>100</v>
      </c>
      <c r="G19" s="1017"/>
      <c r="H19" s="1008">
        <f>SUMIF(81:81,G20,82:82)-SUMIF(81:81,C20,82:82)+100</f>
        <v>100</v>
      </c>
      <c r="I19" s="1017"/>
      <c r="J19" s="1008">
        <f>SUMIF(81:81,I20,82:82)-SUMIF(81:81,C20,82:82)+100</f>
        <v>100</v>
      </c>
      <c r="K19" s="1107"/>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772">
        <f t="shared" si="5"/>
        <v>1</v>
      </c>
    </row>
    <row r="20" ht="15" spans="1:29">
      <c r="A20" s="984"/>
      <c r="B20" s="1026"/>
      <c r="C20" s="1520"/>
      <c r="D20" s="1006"/>
      <c r="E20" s="1588"/>
      <c r="F20" s="1006"/>
      <c r="G20" s="1522"/>
      <c r="H20" s="1006"/>
      <c r="I20" s="1522"/>
      <c r="J20" s="1006"/>
      <c r="K20" s="1108"/>
      <c r="L20" s="1106"/>
      <c r="M20" s="1054"/>
      <c r="N20" s="1054"/>
      <c r="O20" s="1054"/>
      <c r="P20" s="1109"/>
      <c r="Q20" s="644"/>
      <c r="R20" s="1162"/>
      <c r="S20" s="1163"/>
      <c r="T20" s="1162"/>
      <c r="U20" s="1163"/>
      <c r="V20" s="1162"/>
      <c r="W20" s="1163"/>
      <c r="X20" s="1150"/>
      <c r="Y20" s="1177"/>
      <c r="Z20" s="1149"/>
      <c r="AA20" s="1149">
        <v>1</v>
      </c>
      <c r="AB20" s="1149">
        <v>1</v>
      </c>
      <c r="AC20" s="1772">
        <v>1</v>
      </c>
    </row>
    <row r="21" ht="27" spans="1:29">
      <c r="A21" s="984"/>
      <c r="B21" s="1523" t="s">
        <v>1495</v>
      </c>
      <c r="C21" s="1146" t="str">
        <f>估价对象房地状况!C8</f>
        <v>估价对象所在区域基础设施水平</v>
      </c>
      <c r="D21" s="1008">
        <v>100</v>
      </c>
      <c r="E21" s="1019"/>
      <c r="F21" s="1014">
        <f>SUMIF(83:83,E22,84:84)-SUMIF(83:83,C22,84:84)+100</f>
        <v>100</v>
      </c>
      <c r="G21" s="1017"/>
      <c r="H21" s="1008">
        <f>SUMIF(83:83,G22,84:84)-SUMIF(83:83,C22,84:84)+100</f>
        <v>100</v>
      </c>
      <c r="I21" s="1017"/>
      <c r="J21" s="1008">
        <f>SUMIF(83:83,I22,84:84)-SUMIF(83:83,C22,84:84)+100</f>
        <v>100</v>
      </c>
      <c r="K21" s="1107"/>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772">
        <f t="shared" ref="AC21" si="10">D21/J21</f>
        <v>1</v>
      </c>
    </row>
    <row r="22" ht="15" spans="1:29">
      <c r="A22" s="984"/>
      <c r="B22" s="1523"/>
      <c r="C22" s="1753"/>
      <c r="D22" s="1006"/>
      <c r="E22" s="1005"/>
      <c r="F22" s="1006"/>
      <c r="G22" s="1520"/>
      <c r="H22" s="1006"/>
      <c r="I22" s="1520"/>
      <c r="J22" s="1006"/>
      <c r="K22" s="1110"/>
      <c r="L22" s="1106"/>
      <c r="M22" s="1054"/>
      <c r="N22" s="1054"/>
      <c r="O22" s="1054"/>
      <c r="P22" s="1109"/>
      <c r="Q22" s="644"/>
      <c r="R22" s="1162"/>
      <c r="S22" s="1163"/>
      <c r="T22" s="1162"/>
      <c r="U22" s="1163"/>
      <c r="V22" s="1162"/>
      <c r="W22" s="1163"/>
      <c r="X22" s="1150"/>
      <c r="Y22" s="1177"/>
      <c r="Z22" s="1149"/>
      <c r="AA22" s="1149">
        <v>1</v>
      </c>
      <c r="AB22" s="1149">
        <v>1</v>
      </c>
      <c r="AC22" s="1772">
        <v>1</v>
      </c>
    </row>
    <row r="23" ht="40.5" spans="1:29">
      <c r="A23" s="984"/>
      <c r="B23" s="1521" t="s">
        <v>1603</v>
      </c>
      <c r="C23" s="1146" t="str">
        <f>估价对象房地状况!C9</f>
        <v>区域自然环境：；人文环境；综合评价环境状况一般</v>
      </c>
      <c r="D23" s="1008">
        <v>100</v>
      </c>
      <c r="E23" s="1013"/>
      <c r="F23" s="1008">
        <f>SUMIF(85:85,E24,86:86)-SUMIF(85:85,C24,86:86)+100</f>
        <v>100</v>
      </c>
      <c r="G23" s="1011"/>
      <c r="H23" s="1008">
        <f>SUMIF(85:85,G24,86:86)-SUMIF(85:85,C24,86:86)+100</f>
        <v>100</v>
      </c>
      <c r="I23" s="1011"/>
      <c r="J23" s="1008">
        <f>SUMIF(85:85,I24,86:86)-SUMIF(85:85,C24,86:86)+100</f>
        <v>100</v>
      </c>
      <c r="K23" s="1107"/>
      <c r="L23" s="1106"/>
      <c r="M23" s="1054"/>
      <c r="N23" s="1054"/>
      <c r="O23" s="1054"/>
      <c r="P23" s="1109"/>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772">
        <f t="shared" si="5"/>
        <v>1</v>
      </c>
    </row>
    <row r="24" ht="15" spans="1:29">
      <c r="A24" s="984"/>
      <c r="B24" s="1523"/>
      <c r="C24" s="1520"/>
      <c r="D24" s="1006"/>
      <c r="E24" s="1588"/>
      <c r="F24" s="1006"/>
      <c r="G24" s="1522"/>
      <c r="H24" s="1006"/>
      <c r="I24" s="1522"/>
      <c r="J24" s="1006"/>
      <c r="K24" s="1108"/>
      <c r="L24" s="1106"/>
      <c r="M24" s="1054"/>
      <c r="N24" s="1054"/>
      <c r="O24" s="1054"/>
      <c r="P24" s="1109"/>
      <c r="Q24" s="644"/>
      <c r="R24" s="1162"/>
      <c r="S24" s="1163"/>
      <c r="T24" s="1162"/>
      <c r="U24" s="1163"/>
      <c r="V24" s="1162"/>
      <c r="W24" s="1163"/>
      <c r="X24" s="1150"/>
      <c r="Y24" s="1177"/>
      <c r="Z24" s="1149"/>
      <c r="AA24" s="1149">
        <v>1</v>
      </c>
      <c r="AB24" s="1149">
        <v>1</v>
      </c>
      <c r="AC24" s="1772">
        <v>1</v>
      </c>
    </row>
    <row r="25" ht="27" spans="1:29">
      <c r="A25" s="955"/>
      <c r="B25" s="1521" t="s">
        <v>1604</v>
      </c>
      <c r="C25" s="1754"/>
      <c r="D25" s="780">
        <v>100</v>
      </c>
      <c r="E25" s="991"/>
      <c r="F25" s="780">
        <f>SUMIF(87:87,E26,88:88)-SUMIF(87:87,C26,88:88)+100</f>
        <v>100</v>
      </c>
      <c r="G25" s="1754"/>
      <c r="H25" s="780">
        <f>SUMIF(87:87,G26,88:88)-SUMIF(87:87,C26,88:88)+100</f>
        <v>100</v>
      </c>
      <c r="I25" s="991"/>
      <c r="J25" s="780">
        <f>SUMIF(87:87,I26,88:88)-SUMIF(87:87,C26,88:88)+100</f>
        <v>100</v>
      </c>
      <c r="K25" s="1107"/>
      <c r="L25" s="1106"/>
      <c r="M25" s="1054"/>
      <c r="N25" s="1054"/>
      <c r="O25" s="1054"/>
      <c r="P25" s="1109"/>
      <c r="Q25" s="644" t="str">
        <f>B25</f>
        <v>毗邻道路的类型与等级</v>
      </c>
      <c r="R25" s="1162" t="s">
        <v>1481</v>
      </c>
      <c r="S25" s="1163">
        <f>F25</f>
        <v>100</v>
      </c>
      <c r="T25" s="1162" t="s">
        <v>1481</v>
      </c>
      <c r="U25" s="1163">
        <f>H25</f>
        <v>100</v>
      </c>
      <c r="V25" s="1162" t="s">
        <v>1481</v>
      </c>
      <c r="W25" s="1163">
        <f>J25</f>
        <v>100</v>
      </c>
      <c r="X25" s="1150"/>
      <c r="Y25" s="1177"/>
      <c r="Z25" s="1149" t="str">
        <f>Q25</f>
        <v>毗邻道路的类型与等级</v>
      </c>
      <c r="AA25" s="1149">
        <f t="shared" si="3"/>
        <v>1</v>
      </c>
      <c r="AB25" s="1149">
        <f t="shared" si="4"/>
        <v>1</v>
      </c>
      <c r="AC25" s="1772">
        <f t="shared" si="5"/>
        <v>1</v>
      </c>
    </row>
    <row r="26" ht="15" spans="1:29">
      <c r="A26" s="955"/>
      <c r="B26" s="1026"/>
      <c r="C26" s="1526"/>
      <c r="D26" s="780"/>
      <c r="E26" s="1021"/>
      <c r="F26" s="780"/>
      <c r="G26" s="1526"/>
      <c r="H26" s="780"/>
      <c r="I26" s="1021"/>
      <c r="J26" s="780"/>
      <c r="K26" s="1108"/>
      <c r="L26" s="1106"/>
      <c r="M26" s="1054"/>
      <c r="N26" s="1054"/>
      <c r="O26" s="1054"/>
      <c r="P26" s="1109"/>
      <c r="Q26" s="644"/>
      <c r="R26" s="1162"/>
      <c r="S26" s="1163"/>
      <c r="T26" s="1162"/>
      <c r="U26" s="1163"/>
      <c r="V26" s="1162"/>
      <c r="W26" s="1163"/>
      <c r="X26" s="1150"/>
      <c r="Y26" s="1177"/>
      <c r="Z26" s="1149"/>
      <c r="AA26" s="1149">
        <v>1</v>
      </c>
      <c r="AB26" s="1149">
        <v>1</v>
      </c>
      <c r="AC26" s="1772">
        <v>1</v>
      </c>
    </row>
    <row r="27" ht="15" spans="1:29">
      <c r="A27" s="984"/>
      <c r="B27" s="1026" t="s">
        <v>1569</v>
      </c>
      <c r="C27" s="1526"/>
      <c r="D27" s="780">
        <v>100</v>
      </c>
      <c r="E27" s="1021"/>
      <c r="F27" s="780">
        <f>SUMIF(89:89,E27,90:90)-SUMIF(89:89,C27,90:90)+100</f>
        <v>100</v>
      </c>
      <c r="G27" s="1526"/>
      <c r="H27" s="780">
        <f>SUMIF(89:89,G27,90:90)-SUMIF(89:89,C27,90:90)+100</f>
        <v>100</v>
      </c>
      <c r="I27" s="1021"/>
      <c r="J27" s="780">
        <f>SUMIF(89:89,I27,90:90)-SUMIF(89:89,C27,90:90)+100</f>
        <v>100</v>
      </c>
      <c r="K27" s="1103"/>
      <c r="L27" s="1106"/>
      <c r="M27" s="1054"/>
      <c r="N27" s="1054"/>
      <c r="O27" s="1054"/>
      <c r="P27" s="1109"/>
      <c r="Q27" s="644" t="str">
        <f t="shared" ref="Q27:Q47" si="11">B27</f>
        <v>楼层</v>
      </c>
      <c r="R27" s="1162" t="s">
        <v>1481</v>
      </c>
      <c r="S27" s="1163">
        <f>F27</f>
        <v>100</v>
      </c>
      <c r="T27" s="1162" t="s">
        <v>1481</v>
      </c>
      <c r="U27" s="1163">
        <f>H27</f>
        <v>100</v>
      </c>
      <c r="V27" s="1162" t="s">
        <v>1481</v>
      </c>
      <c r="W27" s="1163">
        <f>J27</f>
        <v>100</v>
      </c>
      <c r="X27" s="1150"/>
      <c r="Y27" s="1177"/>
      <c r="Z27" s="1149" t="str">
        <f>Q27</f>
        <v>楼层</v>
      </c>
      <c r="AA27" s="1149">
        <f t="shared" si="3"/>
        <v>1</v>
      </c>
      <c r="AB27" s="1149">
        <f t="shared" si="4"/>
        <v>1</v>
      </c>
      <c r="AC27" s="1772">
        <f t="shared" si="5"/>
        <v>1</v>
      </c>
    </row>
    <row r="28" s="920" customFormat="1" ht="15" spans="1:29">
      <c r="A28" s="987"/>
      <c r="B28" s="1521" t="s">
        <v>1498</v>
      </c>
      <c r="C28" s="1755"/>
      <c r="D28" s="1026">
        <v>100</v>
      </c>
      <c r="E28" s="1025"/>
      <c r="F28" s="1026">
        <f>SUMIF(91:91,E28,92:92)-SUMIF(91:91,C28,92:92)+100</f>
        <v>100</v>
      </c>
      <c r="G28" s="1755"/>
      <c r="H28" s="1026">
        <f>SUMIF(91:91,G28,92:92)-SUMIF(91:91,C28,92:92)+100</f>
        <v>100</v>
      </c>
      <c r="I28" s="1025"/>
      <c r="J28" s="1026">
        <f>SUMIF(91:91,I28,92:92)-SUMIF(91:91,C28,92:92)+100</f>
        <v>100</v>
      </c>
      <c r="K28" s="1103"/>
      <c r="L28" s="1097"/>
      <c r="M28" s="1098"/>
      <c r="N28" s="1098"/>
      <c r="O28" s="1098"/>
      <c r="P28" s="1109"/>
      <c r="Q28" s="815" t="str">
        <f t="shared" si="11"/>
        <v>朝向</v>
      </c>
      <c r="R28" s="1158" t="s">
        <v>1481</v>
      </c>
      <c r="S28" s="1159">
        <f>F28</f>
        <v>100</v>
      </c>
      <c r="T28" s="1158" t="s">
        <v>1481</v>
      </c>
      <c r="U28" s="1159">
        <f>H28</f>
        <v>100</v>
      </c>
      <c r="V28" s="1158" t="s">
        <v>1481</v>
      </c>
      <c r="W28" s="1159">
        <f>J28</f>
        <v>100</v>
      </c>
      <c r="X28" s="1160"/>
      <c r="Y28" s="1177"/>
      <c r="Z28" s="1175" t="str">
        <f>Q28</f>
        <v>朝向</v>
      </c>
      <c r="AA28" s="1149">
        <f t="shared" si="3"/>
        <v>1</v>
      </c>
      <c r="AB28" s="1149">
        <f t="shared" si="4"/>
        <v>1</v>
      </c>
      <c r="AC28" s="1772">
        <f t="shared" si="5"/>
        <v>1</v>
      </c>
    </row>
    <row r="29" ht="15" spans="1:29">
      <c r="A29" s="984"/>
      <c r="B29" s="1528">
        <v>111</v>
      </c>
      <c r="C29" s="1754"/>
      <c r="D29" s="780">
        <v>100</v>
      </c>
      <c r="E29" s="989"/>
      <c r="F29" s="780">
        <f>SUMIF(93:93,E29,94:94)-SUMIF(93:93,C29,94:94)+100</f>
        <v>100</v>
      </c>
      <c r="G29" s="1751"/>
      <c r="H29" s="780">
        <f>SUMIF(93:93,G29,94:94)-SUMIF(93:93,C29,94:94)+100</f>
        <v>100</v>
      </c>
      <c r="I29" s="989"/>
      <c r="J29" s="780">
        <f>SUMIF(93:93,I29,94:94)-SUMIF(93:93,C29,94:94)+100</f>
        <v>100</v>
      </c>
      <c r="K29" s="1105"/>
      <c r="L29" s="1106"/>
      <c r="M29" s="1054"/>
      <c r="N29" s="1054"/>
      <c r="O29" s="1054"/>
      <c r="P29" s="1109"/>
      <c r="Q29" s="644">
        <f t="shared" si="11"/>
        <v>111</v>
      </c>
      <c r="R29" s="1162" t="s">
        <v>1481</v>
      </c>
      <c r="S29" s="1163">
        <f t="shared" ref="S29:S47" si="12">F29</f>
        <v>100</v>
      </c>
      <c r="T29" s="1162" t="s">
        <v>1481</v>
      </c>
      <c r="U29" s="1163">
        <f t="shared" ref="U29:U47" si="13">H29</f>
        <v>100</v>
      </c>
      <c r="V29" s="1162" t="s">
        <v>1481</v>
      </c>
      <c r="W29" s="1163">
        <f t="shared" ref="W29:W47" si="14">J29</f>
        <v>100</v>
      </c>
      <c r="X29" s="1150"/>
      <c r="Y29" s="1177"/>
      <c r="Z29" s="1149">
        <f t="shared" ref="Z29:Z47" si="15">Q29</f>
        <v>111</v>
      </c>
      <c r="AA29" s="1149">
        <f t="shared" si="3"/>
        <v>1</v>
      </c>
      <c r="AB29" s="1149">
        <f t="shared" si="4"/>
        <v>1</v>
      </c>
      <c r="AC29" s="1772">
        <f t="shared" si="5"/>
        <v>1</v>
      </c>
    </row>
    <row r="30" ht="15" spans="1:29">
      <c r="A30" s="984"/>
      <c r="B30" s="1528">
        <v>111</v>
      </c>
      <c r="C30" s="1754"/>
      <c r="D30" s="780">
        <v>100</v>
      </c>
      <c r="E30" s="989"/>
      <c r="F30" s="780">
        <f>SUMIF(95:95,E30,96:96)-SUMIF(95:95,C30,96:96)+100</f>
        <v>100</v>
      </c>
      <c r="G30" s="1751"/>
      <c r="H30" s="780">
        <f>SUMIF(95:95,G30,96:96)-SUMIF(95:95,C30,96:96)+100</f>
        <v>100</v>
      </c>
      <c r="I30" s="989"/>
      <c r="J30" s="780">
        <f>SUMIF(95:95,I30,96:96)-SUMIF(95:95,C30,96:96)+100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772">
        <f t="shared" si="5"/>
        <v>1</v>
      </c>
    </row>
    <row r="31" ht="15" spans="1:29">
      <c r="A31" s="984"/>
      <c r="B31" s="1528">
        <v>111</v>
      </c>
      <c r="C31" s="1754"/>
      <c r="D31" s="780">
        <v>100</v>
      </c>
      <c r="E31" s="989"/>
      <c r="F31" s="780">
        <f>SUMIF(97:97,E31,98:98)-SUMIF(97:97,C31,98:98)+100</f>
        <v>100</v>
      </c>
      <c r="G31" s="1751"/>
      <c r="H31" s="780">
        <f>SUMIF(97:97,G31,98:98)-SUMIF(97:97,C31,98:98)+100</f>
        <v>100</v>
      </c>
      <c r="I31" s="989"/>
      <c r="J31" s="780">
        <f>SUMIF(97:97,I31,98:98)-SUMIF(97:97,C31,98:98)+100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772">
        <f t="shared" si="5"/>
        <v>1</v>
      </c>
    </row>
    <row r="32" ht="15.75" spans="1:29">
      <c r="A32" s="992"/>
      <c r="B32" s="1680">
        <v>111</v>
      </c>
      <c r="C32" s="1756"/>
      <c r="D32" s="995">
        <v>100</v>
      </c>
      <c r="E32" s="1682"/>
      <c r="F32" s="995">
        <f>SUMIF(99:99,E32,100:100)-SUMIF(99:99,C32,100:100)+100</f>
        <v>100</v>
      </c>
      <c r="G32" s="1751"/>
      <c r="H32" s="995">
        <f>SUMIF(99:99,G32,100:100)-SUMIF(99:99,C32,100:100)+100</f>
        <v>100</v>
      </c>
      <c r="I32" s="989"/>
      <c r="J32" s="995">
        <f>SUMIF(99:99,I32,100:100)-SUMIF(99:99,C32,100:100)+100</f>
        <v>100</v>
      </c>
      <c r="K32" s="1105"/>
      <c r="L32" s="1106"/>
      <c r="M32" s="1054"/>
      <c r="N32" s="1054"/>
      <c r="O32" s="1054"/>
      <c r="P32" s="1109"/>
      <c r="Q32" s="644">
        <f t="shared" si="11"/>
        <v>111</v>
      </c>
      <c r="R32" s="1162" t="s">
        <v>1481</v>
      </c>
      <c r="S32" s="1163">
        <f t="shared" si="12"/>
        <v>100</v>
      </c>
      <c r="T32" s="1162" t="s">
        <v>1481</v>
      </c>
      <c r="U32" s="1163">
        <f t="shared" si="13"/>
        <v>100</v>
      </c>
      <c r="V32" s="1162" t="s">
        <v>1481</v>
      </c>
      <c r="W32" s="1163">
        <f t="shared" si="14"/>
        <v>100</v>
      </c>
      <c r="X32" s="1150"/>
      <c r="Y32" s="1177"/>
      <c r="Z32" s="1149">
        <f t="shared" si="15"/>
        <v>111</v>
      </c>
      <c r="AA32" s="1149">
        <f t="shared" si="3"/>
        <v>1</v>
      </c>
      <c r="AB32" s="1149">
        <f t="shared" si="4"/>
        <v>1</v>
      </c>
      <c r="AC32" s="1772">
        <f t="shared" si="5"/>
        <v>1</v>
      </c>
    </row>
    <row r="33" ht="15" spans="1:29">
      <c r="A33" s="997" t="s">
        <v>1499</v>
      </c>
      <c r="B33" s="975" t="s">
        <v>1500</v>
      </c>
      <c r="C33" s="1027"/>
      <c r="D33" s="952">
        <v>100</v>
      </c>
      <c r="E33" s="1027"/>
      <c r="F33" s="1022">
        <f>SUMIF(101:101,E33,102:102)-SUMIF(101:101,C33,102:102)+100</f>
        <v>100</v>
      </c>
      <c r="G33" s="1027"/>
      <c r="H33" s="780">
        <f>SUMIF(101:101,G33,102:102)-SUMIF(101:101,C33,102:102)+100</f>
        <v>100</v>
      </c>
      <c r="I33" s="1027"/>
      <c r="J33" s="952">
        <f>SUMIF(101:101,I33,102:102)-SUMIF(101:101,C33,102:102)+100</f>
        <v>100</v>
      </c>
      <c r="K33" s="1103"/>
      <c r="L33" s="1106"/>
      <c r="M33" s="1054"/>
      <c r="N33" s="1054"/>
      <c r="O33" s="1054"/>
      <c r="P33" s="1111" t="s">
        <v>1501</v>
      </c>
      <c r="Q33" s="644" t="str">
        <f t="shared" si="11"/>
        <v>建筑类型</v>
      </c>
      <c r="R33" s="1162" t="s">
        <v>1481</v>
      </c>
      <c r="S33" s="1163">
        <f t="shared" si="12"/>
        <v>100</v>
      </c>
      <c r="T33" s="1162" t="s">
        <v>1481</v>
      </c>
      <c r="U33" s="1163">
        <f t="shared" si="13"/>
        <v>100</v>
      </c>
      <c r="V33" s="1162" t="s">
        <v>1481</v>
      </c>
      <c r="W33" s="1163">
        <f t="shared" si="14"/>
        <v>100</v>
      </c>
      <c r="X33" s="1150"/>
      <c r="Y33" s="1178" t="s">
        <v>1501</v>
      </c>
      <c r="Z33" s="1149" t="str">
        <f t="shared" si="15"/>
        <v>建筑类型</v>
      </c>
      <c r="AA33" s="1149">
        <f t="shared" si="3"/>
        <v>1</v>
      </c>
      <c r="AB33" s="1149">
        <f t="shared" si="4"/>
        <v>1</v>
      </c>
      <c r="AC33" s="1772">
        <f t="shared" si="5"/>
        <v>1</v>
      </c>
    </row>
    <row r="34" s="922" customFormat="1" ht="15" spans="1:29">
      <c r="A34" s="1028"/>
      <c r="B34" s="980" t="s">
        <v>1502</v>
      </c>
      <c r="C34" s="1029"/>
      <c r="D34" s="982">
        <v>100</v>
      </c>
      <c r="E34" s="986"/>
      <c r="F34" s="980" t="e">
        <f>LOOKUP(E34,104:104,105:105)-LOOKUP(C34,104:104,105:105)+100</f>
        <v>#N/A</v>
      </c>
      <c r="G34" s="985"/>
      <c r="H34" s="982" t="e">
        <f>LOOKUP(G34,104:104,105:105)-LOOKUP(C34,104:104,105:105)+100</f>
        <v>#N/A</v>
      </c>
      <c r="I34" s="985"/>
      <c r="J34" s="982" t="e">
        <f>LOOKUP(I34,104:104,105:105)-LOOKUP(C34,104:104,105:105)+100</f>
        <v>#N/A</v>
      </c>
      <c r="K34" s="1105"/>
      <c r="L34" s="1104"/>
      <c r="M34" s="1112"/>
      <c r="N34" s="1112"/>
      <c r="O34" s="1112"/>
      <c r="P34" s="1113"/>
      <c r="Q34" s="1164" t="str">
        <f t="shared" si="11"/>
        <v>项目建筑规模</v>
      </c>
      <c r="R34" s="1165" t="s">
        <v>1481</v>
      </c>
      <c r="S34" s="1166" t="e">
        <f t="shared" si="12"/>
        <v>#N/A</v>
      </c>
      <c r="T34" s="1165" t="s">
        <v>1481</v>
      </c>
      <c r="U34" s="1166" t="e">
        <f t="shared" si="13"/>
        <v>#N/A</v>
      </c>
      <c r="V34" s="1165" t="s">
        <v>1481</v>
      </c>
      <c r="W34" s="1166" t="e">
        <f t="shared" si="14"/>
        <v>#N/A</v>
      </c>
      <c r="X34" s="1167"/>
      <c r="Y34" s="1178"/>
      <c r="Z34" s="1179" t="str">
        <f t="shared" si="15"/>
        <v>项目建筑规模</v>
      </c>
      <c r="AA34" s="1149" t="e">
        <f t="shared" si="3"/>
        <v>#N/A</v>
      </c>
      <c r="AB34" s="1149" t="e">
        <f t="shared" si="4"/>
        <v>#N/A</v>
      </c>
      <c r="AC34" s="1772" t="e">
        <f t="shared" si="5"/>
        <v>#N/A</v>
      </c>
    </row>
    <row r="35" ht="15" spans="1:29">
      <c r="A35" s="1030"/>
      <c r="B35" s="980" t="s">
        <v>1503</v>
      </c>
      <c r="C35" s="1031"/>
      <c r="D35" s="780">
        <v>100</v>
      </c>
      <c r="E35" s="1031"/>
      <c r="F35" s="1022">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1481</v>
      </c>
      <c r="S35" s="1163">
        <f t="shared" si="12"/>
        <v>100</v>
      </c>
      <c r="T35" s="1162" t="s">
        <v>1481</v>
      </c>
      <c r="U35" s="1163">
        <f t="shared" si="13"/>
        <v>100</v>
      </c>
      <c r="V35" s="1162" t="s">
        <v>1481</v>
      </c>
      <c r="W35" s="1163">
        <f t="shared" si="14"/>
        <v>100</v>
      </c>
      <c r="X35" s="1150"/>
      <c r="Y35" s="1178"/>
      <c r="Z35" s="1149" t="str">
        <f t="shared" si="15"/>
        <v>建筑结构</v>
      </c>
      <c r="AA35" s="1149">
        <f t="shared" si="3"/>
        <v>1</v>
      </c>
      <c r="AB35" s="1149">
        <f t="shared" si="4"/>
        <v>1</v>
      </c>
      <c r="AC35" s="1772">
        <f t="shared" si="5"/>
        <v>1</v>
      </c>
    </row>
    <row r="36" ht="15" spans="1:29">
      <c r="A36" s="1030"/>
      <c r="B36" s="980" t="s">
        <v>1505</v>
      </c>
      <c r="C36" s="1031"/>
      <c r="D36" s="780">
        <v>100</v>
      </c>
      <c r="E36" s="1031"/>
      <c r="F36" s="1022">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5"/>
        <v>公共部分装修</v>
      </c>
      <c r="AA36" s="1149">
        <f t="shared" si="3"/>
        <v>1</v>
      </c>
      <c r="AB36" s="1149">
        <f t="shared" si="4"/>
        <v>1</v>
      </c>
      <c r="AC36" s="1772">
        <f t="shared" si="5"/>
        <v>1</v>
      </c>
    </row>
    <row r="37" ht="15" spans="1:29">
      <c r="A37" s="1030"/>
      <c r="B37" s="980" t="s">
        <v>634</v>
      </c>
      <c r="C37" s="1033"/>
      <c r="D37" s="780">
        <v>100</v>
      </c>
      <c r="E37" s="1033"/>
      <c r="F37" s="1022" t="e">
        <f>LOOKUP(E37,111:111,112:112)-LOOKUP(C37,111:111,112:112)+100</f>
        <v>#N/A</v>
      </c>
      <c r="G37" s="1033"/>
      <c r="H37" s="1022"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1481</v>
      </c>
      <c r="S37" s="1163" t="e">
        <f t="shared" si="12"/>
        <v>#N/A</v>
      </c>
      <c r="T37" s="1162" t="s">
        <v>1481</v>
      </c>
      <c r="U37" s="1163" t="e">
        <f t="shared" si="13"/>
        <v>#N/A</v>
      </c>
      <c r="V37" s="1162" t="s">
        <v>1481</v>
      </c>
      <c r="W37" s="1163" t="e">
        <f t="shared" si="14"/>
        <v>#N/A</v>
      </c>
      <c r="X37" s="1150"/>
      <c r="Y37" s="1178"/>
      <c r="Z37" s="1149" t="str">
        <f t="shared" si="15"/>
        <v>成新度</v>
      </c>
      <c r="AA37" s="1149" t="e">
        <f t="shared" si="3"/>
        <v>#N/A</v>
      </c>
      <c r="AB37" s="1149" t="e">
        <f t="shared" si="4"/>
        <v>#N/A</v>
      </c>
      <c r="AC37" s="1772" t="e">
        <f t="shared" si="5"/>
        <v>#N/A</v>
      </c>
    </row>
    <row r="38" s="920" customFormat="1" ht="15" spans="1:29">
      <c r="A38" s="1034"/>
      <c r="B38" s="980" t="s">
        <v>1605</v>
      </c>
      <c r="C38" s="1031"/>
      <c r="D38" s="982">
        <v>100</v>
      </c>
      <c r="E38" s="1031"/>
      <c r="F38" s="1022">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1481</v>
      </c>
      <c r="S38" s="1159">
        <f t="shared" si="12"/>
        <v>100</v>
      </c>
      <c r="T38" s="1158" t="s">
        <v>1481</v>
      </c>
      <c r="U38" s="1159">
        <f t="shared" si="13"/>
        <v>100</v>
      </c>
      <c r="V38" s="1158" t="s">
        <v>1481</v>
      </c>
      <c r="W38" s="1159">
        <f t="shared" si="14"/>
        <v>100</v>
      </c>
      <c r="X38" s="1160"/>
      <c r="Y38" s="1178"/>
      <c r="Z38" s="1175" t="str">
        <f t="shared" si="15"/>
        <v>写字楼等级</v>
      </c>
      <c r="AA38" s="1175">
        <f t="shared" si="3"/>
        <v>1</v>
      </c>
      <c r="AB38" s="1175">
        <f t="shared" si="4"/>
        <v>1</v>
      </c>
      <c r="AC38" s="1771">
        <f t="shared" si="5"/>
        <v>1</v>
      </c>
    </row>
    <row r="39" ht="15" spans="1:29">
      <c r="A39" s="1030"/>
      <c r="B39" s="980" t="s">
        <v>1506</v>
      </c>
      <c r="C39" s="1031"/>
      <c r="D39" s="780">
        <v>100</v>
      </c>
      <c r="E39" s="1031"/>
      <c r="F39" s="1022">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1501</v>
      </c>
      <c r="Q39" s="644" t="str">
        <f t="shared" si="11"/>
        <v>物业管理</v>
      </c>
      <c r="R39" s="1162" t="s">
        <v>1481</v>
      </c>
      <c r="S39" s="1163">
        <f t="shared" si="12"/>
        <v>100</v>
      </c>
      <c r="T39" s="1162" t="s">
        <v>1481</v>
      </c>
      <c r="U39" s="1163">
        <f t="shared" si="13"/>
        <v>100</v>
      </c>
      <c r="V39" s="1162" t="s">
        <v>1481</v>
      </c>
      <c r="W39" s="1163">
        <f t="shared" si="14"/>
        <v>100</v>
      </c>
      <c r="X39" s="1150"/>
      <c r="Y39" s="1178" t="s">
        <v>1501</v>
      </c>
      <c r="Z39" s="1149" t="str">
        <f t="shared" si="15"/>
        <v>物业管理</v>
      </c>
      <c r="AA39" s="1149">
        <f t="shared" si="3"/>
        <v>1</v>
      </c>
      <c r="AB39" s="1149">
        <f t="shared" si="4"/>
        <v>1</v>
      </c>
      <c r="AC39" s="1772">
        <f t="shared" si="5"/>
        <v>1</v>
      </c>
    </row>
    <row r="40" ht="15" spans="1:29">
      <c r="A40" s="1030"/>
      <c r="B40" s="980" t="s">
        <v>1507</v>
      </c>
      <c r="C40" s="1031"/>
      <c r="D40" s="780">
        <v>100</v>
      </c>
      <c r="E40" s="1031"/>
      <c r="F40" s="1022">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1481</v>
      </c>
      <c r="S40" s="1163">
        <f t="shared" si="12"/>
        <v>100</v>
      </c>
      <c r="T40" s="1162" t="s">
        <v>1481</v>
      </c>
      <c r="U40" s="1163">
        <f t="shared" si="13"/>
        <v>100</v>
      </c>
      <c r="V40" s="1162" t="s">
        <v>1481</v>
      </c>
      <c r="W40" s="1163">
        <f t="shared" si="14"/>
        <v>100</v>
      </c>
      <c r="X40" s="1150"/>
      <c r="Y40" s="1178"/>
      <c r="Z40" s="1149" t="str">
        <f t="shared" si="15"/>
        <v>市政基础设施</v>
      </c>
      <c r="AA40" s="1149">
        <f t="shared" si="3"/>
        <v>1</v>
      </c>
      <c r="AB40" s="1149">
        <f t="shared" si="4"/>
        <v>1</v>
      </c>
      <c r="AC40" s="1772">
        <f t="shared" si="5"/>
        <v>1</v>
      </c>
    </row>
    <row r="41" ht="15" spans="1:29">
      <c r="A41" s="1030"/>
      <c r="B41" s="980" t="s">
        <v>1576</v>
      </c>
      <c r="C41" s="1021"/>
      <c r="D41" s="780">
        <v>100</v>
      </c>
      <c r="E41" s="1021"/>
      <c r="F41" s="1022">
        <f>SUMIF(119:119,E41,120:120)-SUMIF(119:119,C41,120:120)+100</f>
        <v>100</v>
      </c>
      <c r="G41" s="1021"/>
      <c r="H41" s="780">
        <f>SUMIF(119:119,G41,120:120)-SUMIF(119:119,C41,120:120)+100</f>
        <v>100</v>
      </c>
      <c r="I41" s="1021"/>
      <c r="J41" s="780">
        <f>SUMIF(119:119,I41,120:120)-SUMIF(119:119,C41,120:120)+100</f>
        <v>100</v>
      </c>
      <c r="K41" s="1103"/>
      <c r="L41" s="1106"/>
      <c r="M41" s="1054"/>
      <c r="N41" s="1054"/>
      <c r="O41" s="1054"/>
      <c r="P41" s="1113"/>
      <c r="Q41" s="644" t="str">
        <f t="shared" si="11"/>
        <v>层高</v>
      </c>
      <c r="R41" s="1162" t="s">
        <v>1481</v>
      </c>
      <c r="S41" s="1163">
        <f t="shared" si="12"/>
        <v>100</v>
      </c>
      <c r="T41" s="1162" t="s">
        <v>1481</v>
      </c>
      <c r="U41" s="1163">
        <f t="shared" si="13"/>
        <v>100</v>
      </c>
      <c r="V41" s="1162" t="s">
        <v>1481</v>
      </c>
      <c r="W41" s="1163">
        <f t="shared" si="14"/>
        <v>100</v>
      </c>
      <c r="X41" s="1150"/>
      <c r="Y41" s="1178"/>
      <c r="Z41" s="1149" t="str">
        <f t="shared" si="15"/>
        <v>层高</v>
      </c>
      <c r="AA41" s="1149">
        <f t="shared" si="3"/>
        <v>1</v>
      </c>
      <c r="AB41" s="1149">
        <f t="shared" si="4"/>
        <v>1</v>
      </c>
      <c r="AC41" s="1772">
        <f t="shared" si="5"/>
        <v>1</v>
      </c>
    </row>
    <row r="42" s="922" customFormat="1" ht="15" spans="1:29">
      <c r="A42" s="1028"/>
      <c r="B42" s="1022" t="s">
        <v>1606</v>
      </c>
      <c r="C42" s="991"/>
      <c r="D42" s="780">
        <v>100</v>
      </c>
      <c r="E42" s="991"/>
      <c r="F42" s="1022">
        <f>SUMIF(121:121,E42,122:122)-SUMIF(121:121,C42,122:122)+100</f>
        <v>100</v>
      </c>
      <c r="G42" s="991"/>
      <c r="H42" s="780">
        <f>SUMIF(121:121,G42,122:122)-SUMIF(121:121,C42,122:122)+100</f>
        <v>100</v>
      </c>
      <c r="I42" s="991"/>
      <c r="J42" s="780">
        <f>SUMIF(121:121,I42,122:122)-SUMIF(121:121,C42,122:122)+100</f>
        <v>100</v>
      </c>
      <c r="K42" s="1105"/>
      <c r="L42" s="1104"/>
      <c r="M42" s="1112"/>
      <c r="N42" s="1112"/>
      <c r="O42" s="1112"/>
      <c r="P42" s="1113"/>
      <c r="Q42" s="1164" t="str">
        <f t="shared" si="11"/>
        <v>单套建筑面积</v>
      </c>
      <c r="R42" s="1165" t="s">
        <v>1481</v>
      </c>
      <c r="S42" s="1166">
        <f t="shared" si="12"/>
        <v>100</v>
      </c>
      <c r="T42" s="1165" t="s">
        <v>1481</v>
      </c>
      <c r="U42" s="1166">
        <f t="shared" si="13"/>
        <v>100</v>
      </c>
      <c r="V42" s="1165" t="s">
        <v>1481</v>
      </c>
      <c r="W42" s="1166">
        <f t="shared" si="14"/>
        <v>100</v>
      </c>
      <c r="X42" s="1167"/>
      <c r="Y42" s="1178"/>
      <c r="Z42" s="1179" t="str">
        <f t="shared" si="15"/>
        <v>单套建筑面积</v>
      </c>
      <c r="AA42" s="1149">
        <f t="shared" si="3"/>
        <v>1</v>
      </c>
      <c r="AB42" s="1149">
        <f t="shared" si="4"/>
        <v>1</v>
      </c>
      <c r="AC42" s="1772">
        <f t="shared" si="5"/>
        <v>1</v>
      </c>
    </row>
    <row r="43" ht="15" spans="1:29">
      <c r="A43" s="1030"/>
      <c r="B43" s="980" t="s">
        <v>1510</v>
      </c>
      <c r="C43" s="1031"/>
      <c r="D43" s="780">
        <v>100</v>
      </c>
      <c r="E43" s="1031"/>
      <c r="F43" s="1022">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1481</v>
      </c>
      <c r="S43" s="1163">
        <f t="shared" si="12"/>
        <v>100</v>
      </c>
      <c r="T43" s="1162" t="s">
        <v>1481</v>
      </c>
      <c r="U43" s="1163">
        <f t="shared" si="13"/>
        <v>100</v>
      </c>
      <c r="V43" s="1162" t="s">
        <v>1481</v>
      </c>
      <c r="W43" s="1163">
        <f t="shared" si="14"/>
        <v>100</v>
      </c>
      <c r="X43" s="1150"/>
      <c r="Y43" s="1178"/>
      <c r="Z43" s="1149" t="str">
        <f t="shared" si="15"/>
        <v>内部装修</v>
      </c>
      <c r="AA43" s="1149">
        <f t="shared" si="3"/>
        <v>1</v>
      </c>
      <c r="AB43" s="1149">
        <f t="shared" si="4"/>
        <v>1</v>
      </c>
      <c r="AC43" s="1772">
        <f t="shared" si="5"/>
        <v>1</v>
      </c>
    </row>
    <row r="44" ht="15" spans="1:29">
      <c r="A44" s="1030"/>
      <c r="B44" s="980" t="s">
        <v>1511</v>
      </c>
      <c r="C44" s="1031"/>
      <c r="D44" s="780">
        <v>100</v>
      </c>
      <c r="E44" s="1032"/>
      <c r="F44" s="1022">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1481</v>
      </c>
      <c r="S44" s="1163">
        <f t="shared" si="12"/>
        <v>100</v>
      </c>
      <c r="T44" s="1162" t="s">
        <v>1481</v>
      </c>
      <c r="U44" s="1163">
        <f t="shared" si="13"/>
        <v>100</v>
      </c>
      <c r="V44" s="1162" t="s">
        <v>1481</v>
      </c>
      <c r="W44" s="1163">
        <f t="shared" si="14"/>
        <v>100</v>
      </c>
      <c r="X44" s="1150"/>
      <c r="Y44" s="1178"/>
      <c r="Z44" s="1149" t="str">
        <f t="shared" si="15"/>
        <v>内部装修维护情况</v>
      </c>
      <c r="AA44" s="1149">
        <f t="shared" si="3"/>
        <v>1</v>
      </c>
      <c r="AB44" s="1149">
        <f t="shared" si="4"/>
        <v>1</v>
      </c>
      <c r="AC44" s="1772">
        <f t="shared" si="5"/>
        <v>1</v>
      </c>
    </row>
    <row r="45" s="920" customFormat="1" ht="15" spans="1:29">
      <c r="A45" s="1034"/>
      <c r="B45" s="1023">
        <v>111</v>
      </c>
      <c r="C45" s="1029"/>
      <c r="D45" s="982">
        <v>100</v>
      </c>
      <c r="E45" s="989"/>
      <c r="F45" s="980">
        <f>SUMIF(127:127,E45,128:128)-SUMIF(127:127,C45,128:128)+100</f>
        <v>100</v>
      </c>
      <c r="G45" s="989"/>
      <c r="H45" s="982">
        <f>SUMIF(127:127,G45,128:128)-SUMIF(127:127,C45,128:128)+100</f>
        <v>100</v>
      </c>
      <c r="I45" s="989"/>
      <c r="J45" s="982">
        <f>SUMIF(127:127,I45,128:128)-SUMIF(127:127,C45,128:128)+100</f>
        <v>100</v>
      </c>
      <c r="K45" s="1105"/>
      <c r="L45" s="1097"/>
      <c r="M45" s="1098"/>
      <c r="N45" s="1098"/>
      <c r="O45" s="1098"/>
      <c r="P45" s="1113"/>
      <c r="Q45" s="815">
        <f t="shared" si="11"/>
        <v>111</v>
      </c>
      <c r="R45" s="1158" t="s">
        <v>1481</v>
      </c>
      <c r="S45" s="1159">
        <f t="shared" si="12"/>
        <v>100</v>
      </c>
      <c r="T45" s="1158" t="s">
        <v>1481</v>
      </c>
      <c r="U45" s="1159">
        <f t="shared" si="13"/>
        <v>100</v>
      </c>
      <c r="V45" s="1158" t="s">
        <v>1481</v>
      </c>
      <c r="W45" s="1159">
        <f t="shared" si="14"/>
        <v>100</v>
      </c>
      <c r="X45" s="1160"/>
      <c r="Y45" s="1178"/>
      <c r="Z45" s="1175">
        <f t="shared" si="15"/>
        <v>111</v>
      </c>
      <c r="AA45" s="1175">
        <f t="shared" si="3"/>
        <v>1</v>
      </c>
      <c r="AB45" s="1175">
        <f t="shared" si="4"/>
        <v>1</v>
      </c>
      <c r="AC45" s="1771">
        <f t="shared" si="5"/>
        <v>1</v>
      </c>
    </row>
    <row r="46" ht="15" spans="1:29">
      <c r="A46" s="1030"/>
      <c r="B46" s="1023">
        <v>111</v>
      </c>
      <c r="C46" s="991"/>
      <c r="D46" s="780">
        <v>100</v>
      </c>
      <c r="E46" s="989"/>
      <c r="F46" s="1022">
        <f>SUMIF(129:129,E46,130:130)-SUMIF(129:129,C46,130:130)+100</f>
        <v>100</v>
      </c>
      <c r="G46" s="989"/>
      <c r="H46" s="780">
        <f>SUMIF(129:129,G46,130:130)-SUMIF(129:129,C46,130:130)+100</f>
        <v>100</v>
      </c>
      <c r="I46" s="989"/>
      <c r="J46" s="780">
        <f>SUMIF(129:129,I46,130:130)-SUMIF(129:129,C46,130:130)+100</f>
        <v>100</v>
      </c>
      <c r="K46" s="1105"/>
      <c r="L46" s="1106"/>
      <c r="M46" s="1054"/>
      <c r="N46" s="1054"/>
      <c r="O46" s="1054"/>
      <c r="P46" s="1113"/>
      <c r="Q46" s="644">
        <f t="shared" si="11"/>
        <v>111</v>
      </c>
      <c r="R46" s="1162" t="s">
        <v>1481</v>
      </c>
      <c r="S46" s="1163">
        <f t="shared" si="12"/>
        <v>100</v>
      </c>
      <c r="T46" s="1162" t="s">
        <v>1481</v>
      </c>
      <c r="U46" s="1163">
        <f t="shared" si="13"/>
        <v>100</v>
      </c>
      <c r="V46" s="1162" t="s">
        <v>1481</v>
      </c>
      <c r="W46" s="1163">
        <f t="shared" si="14"/>
        <v>100</v>
      </c>
      <c r="X46" s="1150"/>
      <c r="Y46" s="1178"/>
      <c r="Z46" s="1149">
        <f t="shared" si="15"/>
        <v>111</v>
      </c>
      <c r="AA46" s="1149">
        <f t="shared" si="3"/>
        <v>1</v>
      </c>
      <c r="AB46" s="1149">
        <f t="shared" si="4"/>
        <v>1</v>
      </c>
      <c r="AC46" s="1772">
        <f t="shared" si="5"/>
        <v>1</v>
      </c>
    </row>
    <row r="47" ht="15.75" spans="1:29">
      <c r="A47" s="1037"/>
      <c r="B47" s="993">
        <v>111</v>
      </c>
      <c r="C47" s="994"/>
      <c r="D47" s="995">
        <v>100</v>
      </c>
      <c r="E47" s="989"/>
      <c r="F47" s="996">
        <f>SUMIF(131:131,E47,132:132)-SUMIF(131:131,C47,132:132)+100</f>
        <v>100</v>
      </c>
      <c r="G47" s="989"/>
      <c r="H47" s="995">
        <f>SUMIF(131:131,G47,132:132)-SUMIF(131:131,C47,132:132)+100</f>
        <v>100</v>
      </c>
      <c r="I47" s="989"/>
      <c r="J47" s="995">
        <f>SUMIF(131:131,I47,132:132)-SUMIF(131:131,C47,132:132)+100</f>
        <v>100</v>
      </c>
      <c r="K47" s="1105"/>
      <c r="L47" s="1106"/>
      <c r="M47" s="1054"/>
      <c r="N47" s="1054"/>
      <c r="O47" s="1054"/>
      <c r="P47" s="1114"/>
      <c r="Q47" s="644">
        <f t="shared" si="11"/>
        <v>111</v>
      </c>
      <c r="R47" s="1162" t="s">
        <v>1481</v>
      </c>
      <c r="S47" s="1163">
        <f t="shared" si="12"/>
        <v>100</v>
      </c>
      <c r="T47" s="1162" t="s">
        <v>1481</v>
      </c>
      <c r="U47" s="1163">
        <f t="shared" si="13"/>
        <v>100</v>
      </c>
      <c r="V47" s="1162" t="s">
        <v>1481</v>
      </c>
      <c r="W47" s="1163">
        <f t="shared" si="14"/>
        <v>100</v>
      </c>
      <c r="X47" s="1150"/>
      <c r="Y47" s="1180"/>
      <c r="Z47" s="1149">
        <f t="shared" si="15"/>
        <v>111</v>
      </c>
      <c r="AA47" s="1149">
        <f t="shared" si="3"/>
        <v>1</v>
      </c>
      <c r="AB47" s="1149">
        <f t="shared" si="4"/>
        <v>1</v>
      </c>
      <c r="AC47" s="1772">
        <f t="shared" si="5"/>
        <v>1</v>
      </c>
    </row>
    <row r="48" ht="15" spans="1:29">
      <c r="A48" s="1038" t="s">
        <v>1512</v>
      </c>
      <c r="B48" s="1039"/>
      <c r="C48" s="1040" t="s">
        <v>124</v>
      </c>
      <c r="D48" s="1041"/>
      <c r="E48" s="1042"/>
      <c r="F48" s="1043"/>
      <c r="G48" s="1044"/>
      <c r="H48" s="1045"/>
      <c r="I48" s="1042"/>
      <c r="J48" s="1045"/>
      <c r="K48" s="1115"/>
      <c r="L48" s="1593"/>
      <c r="M48" s="1054"/>
      <c r="N48" s="1054"/>
      <c r="O48" s="1054"/>
      <c r="P48" s="1100" t="str">
        <f>A48</f>
        <v>成交单价（元/平方米）</v>
      </c>
      <c r="Q48" s="644"/>
      <c r="R48" s="1149">
        <f>E48</f>
        <v>0</v>
      </c>
      <c r="S48" s="1149"/>
      <c r="T48" s="1149">
        <f>G48</f>
        <v>0</v>
      </c>
      <c r="U48" s="1149"/>
      <c r="V48" s="1149">
        <f>I48</f>
        <v>0</v>
      </c>
      <c r="W48" s="1149"/>
      <c r="X48" s="1004"/>
      <c r="Y48" s="1181"/>
      <c r="Z48" s="1004"/>
      <c r="AA48" s="1004"/>
      <c r="AB48" s="1004"/>
      <c r="AC48" s="1519"/>
    </row>
    <row r="49" ht="15.75" spans="1:29">
      <c r="A49" s="1046" t="s">
        <v>1513</v>
      </c>
      <c r="B49" s="1047"/>
      <c r="C49" s="1048" t="e">
        <f>R50</f>
        <v>#DIV/0!</v>
      </c>
      <c r="D49" s="1049" t="s">
        <v>1514</v>
      </c>
      <c r="E49" s="1050" t="e">
        <f>R49</f>
        <v>#DIV/0!</v>
      </c>
      <c r="F49" s="1051"/>
      <c r="G49" s="1048" t="e">
        <f>T49</f>
        <v>#DIV/0!</v>
      </c>
      <c r="H49" s="1051"/>
      <c r="I49" s="1050" t="e">
        <f>V49</f>
        <v>#DIV/0!</v>
      </c>
      <c r="J49" s="1051"/>
      <c r="K49" s="1117">
        <f>F49+H49+J49</f>
        <v>0</v>
      </c>
      <c r="L49" s="1593"/>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4"/>
      <c r="Y49" s="1004"/>
      <c r="Z49" s="1004"/>
      <c r="AA49" s="1004"/>
      <c r="AB49" s="1004"/>
      <c r="AC49" s="1519"/>
    </row>
    <row r="50" ht="15.75" spans="1:29">
      <c r="A50" s="1052" t="s">
        <v>1515</v>
      </c>
      <c r="B50" s="1053"/>
      <c r="C50" s="962" t="e">
        <f>R50</f>
        <v>#DIV/0!</v>
      </c>
      <c r="D50" s="962"/>
      <c r="E50" s="962"/>
      <c r="F50" s="962"/>
      <c r="G50" s="962"/>
      <c r="H50" s="962"/>
      <c r="I50" s="962"/>
      <c r="J50" s="1546"/>
      <c r="K50" s="1118"/>
      <c r="L50" s="1593"/>
      <c r="M50" s="1054"/>
      <c r="N50" s="1054"/>
      <c r="O50" s="1054"/>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4"/>
      <c r="B51" s="1054"/>
      <c r="C51" s="1054"/>
      <c r="D51" s="1054"/>
      <c r="E51" s="1054"/>
      <c r="F51" s="1054"/>
      <c r="G51" s="1547"/>
      <c r="H51" s="1054"/>
      <c r="I51" s="1054"/>
      <c r="J51" s="1054"/>
      <c r="K51" s="1119"/>
      <c r="L51" s="1121"/>
      <c r="M51" s="1054"/>
      <c r="N51" s="1054"/>
      <c r="O51" s="1054"/>
      <c r="P51" s="1702"/>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2"/>
      <c r="Q52" s="1054"/>
      <c r="R52" s="1054"/>
      <c r="S52" s="1054"/>
      <c r="T52" s="1054"/>
      <c r="U52" s="1054"/>
      <c r="V52" s="1054"/>
      <c r="W52" s="1054"/>
      <c r="X52" s="1054"/>
      <c r="Y52" s="1054"/>
      <c r="Z52" s="1054"/>
      <c r="AA52" s="1054"/>
      <c r="AB52" s="1054"/>
      <c r="AC52" s="1054"/>
    </row>
    <row r="53" ht="13.5" customHeight="1" spans="1:29">
      <c r="A53" s="1054"/>
      <c r="B53" s="1054"/>
      <c r="C53" s="1056" t="s">
        <v>1516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2"/>
      <c r="Q53" s="1054"/>
      <c r="R53" s="1054"/>
      <c r="S53" s="1054"/>
      <c r="T53" s="1054"/>
      <c r="U53" s="1054"/>
      <c r="V53" s="1054"/>
      <c r="W53" s="1054"/>
      <c r="X53" s="1054"/>
      <c r="Y53" s="1054"/>
      <c r="Z53" s="1054"/>
      <c r="AA53" s="1054"/>
      <c r="AB53" s="1054"/>
      <c r="AC53" s="1054"/>
    </row>
    <row r="54" ht="13.5" customHeight="1" spans="1:29">
      <c r="A54" s="1054"/>
      <c r="B54" s="1054"/>
      <c r="C54" s="1056" t="s">
        <v>1517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2"/>
      <c r="Q54" s="1054"/>
      <c r="R54" s="1054"/>
      <c r="S54" s="1054"/>
      <c r="T54" s="1054"/>
      <c r="U54" s="1054"/>
      <c r="V54" s="1054"/>
      <c r="W54" s="1054"/>
      <c r="X54" s="1054"/>
      <c r="Y54" s="1054"/>
      <c r="Z54" s="1054"/>
      <c r="AA54" s="1054"/>
      <c r="AB54" s="1054"/>
      <c r="AC54" s="1054"/>
    </row>
    <row r="55" s="923" customFormat="1" ht="13.5" customHeight="1" spans="1:29">
      <c r="A55" s="1059"/>
      <c r="B55" s="1059"/>
      <c r="C55" s="1056" t="s">
        <v>1518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3"/>
      <c r="Q55" s="1059"/>
      <c r="R55" s="1059"/>
      <c r="S55" s="1059"/>
      <c r="T55" s="1059"/>
      <c r="U55" s="1059"/>
      <c r="V55" s="1059"/>
      <c r="W55" s="1059"/>
      <c r="X55" s="1059"/>
      <c r="Y55" s="1059"/>
      <c r="Z55" s="1059"/>
      <c r="AA55" s="1059"/>
      <c r="AB55" s="1059"/>
      <c r="AC55" s="1059"/>
    </row>
    <row r="56" s="923" customFormat="1" spans="1:29">
      <c r="A56" s="1059"/>
      <c r="B56" s="1060"/>
      <c r="C56" s="1061"/>
      <c r="D56" s="1059"/>
      <c r="E56" s="1059"/>
      <c r="F56" s="1059"/>
      <c r="G56" s="1059"/>
      <c r="H56" s="1059"/>
      <c r="I56" s="1059"/>
      <c r="J56" s="1059"/>
      <c r="K56" s="1122"/>
      <c r="L56" s="1123"/>
      <c r="M56" s="1059"/>
      <c r="N56" s="1059"/>
      <c r="O56" s="1059"/>
      <c r="P56" s="1703"/>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2"/>
      <c r="Q57" s="1054"/>
      <c r="R57" s="1054"/>
      <c r="S57" s="1054"/>
      <c r="T57" s="1054"/>
      <c r="U57" s="1054"/>
      <c r="V57" s="1054"/>
      <c r="W57" s="1054"/>
      <c r="X57" s="1054"/>
      <c r="Y57" s="1054"/>
      <c r="Z57" s="1054"/>
      <c r="AA57" s="1054"/>
      <c r="AB57" s="1054"/>
      <c r="AC57" s="1054"/>
    </row>
    <row r="58" ht="21" spans="1:29">
      <c r="A58" s="1062" t="s">
        <v>1519</v>
      </c>
      <c r="B58" s="1004"/>
      <c r="C58" s="1063"/>
      <c r="D58" s="1063"/>
      <c r="E58" s="1063"/>
      <c r="F58" s="1064"/>
      <c r="G58" s="1064"/>
      <c r="H58" s="1063"/>
      <c r="I58" s="1063"/>
      <c r="J58" s="1063"/>
      <c r="K58" s="1125"/>
      <c r="L58" s="1126"/>
      <c r="M58" s="1127"/>
      <c r="N58" s="1600"/>
      <c r="O58" s="1600"/>
      <c r="P58" s="1704"/>
      <c r="Q58" s="1170"/>
      <c r="R58" s="1054"/>
      <c r="S58" s="1054"/>
      <c r="T58" s="1054"/>
      <c r="U58" s="1054"/>
      <c r="V58" s="1054"/>
      <c r="W58" s="1054"/>
      <c r="X58" s="1054"/>
      <c r="Y58" s="1054"/>
      <c r="Z58" s="1054"/>
      <c r="AA58" s="1054"/>
      <c r="AB58" s="1054"/>
      <c r="AC58" s="1054"/>
    </row>
    <row r="59" s="924" customFormat="1" ht="15" spans="1:29">
      <c r="A59" s="1065" t="s">
        <v>1479</v>
      </c>
      <c r="B59" s="1066"/>
      <c r="C59" s="1067" t="str">
        <f>YEAR(C7)&amp;"-"&amp;MONTH(C7)</f>
        <v>2025-5</v>
      </c>
      <c r="D59" s="1068">
        <f>EDATE(C59,-1)</f>
        <v>45748</v>
      </c>
      <c r="E59" s="1068">
        <f>EDATE(D59,-1)</f>
        <v>45717</v>
      </c>
      <c r="F59" s="1068">
        <f t="shared" ref="F59:O59" si="16">EDATE(E59,-1)</f>
        <v>45689</v>
      </c>
      <c r="G59" s="1068">
        <f t="shared" si="16"/>
        <v>45658</v>
      </c>
      <c r="H59" s="1068">
        <f t="shared" si="16"/>
        <v>45627</v>
      </c>
      <c r="I59" s="1068">
        <f t="shared" si="16"/>
        <v>45597</v>
      </c>
      <c r="J59" s="1068">
        <f t="shared" si="16"/>
        <v>45566</v>
      </c>
      <c r="K59" s="1068">
        <f t="shared" si="16"/>
        <v>45536</v>
      </c>
      <c r="L59" s="1068">
        <f t="shared" si="16"/>
        <v>45505</v>
      </c>
      <c r="M59" s="1068">
        <f t="shared" si="16"/>
        <v>45474</v>
      </c>
      <c r="N59" s="1068">
        <f t="shared" si="16"/>
        <v>45444</v>
      </c>
      <c r="O59" s="1068">
        <f t="shared" si="16"/>
        <v>45413</v>
      </c>
      <c r="P59" s="1705"/>
      <c r="Q59" s="1171"/>
      <c r="R59" s="1171"/>
      <c r="S59" s="1171"/>
      <c r="T59" s="1171"/>
      <c r="U59" s="1171"/>
      <c r="V59" s="1171"/>
      <c r="W59" s="1171"/>
      <c r="X59" s="1171"/>
      <c r="Y59" s="1171"/>
      <c r="Z59" s="1171"/>
      <c r="AA59" s="1171"/>
      <c r="AB59" s="1171"/>
      <c r="AC59" s="1171"/>
    </row>
    <row r="60" s="920" customFormat="1" ht="15" spans="1:29">
      <c r="A60" s="1069"/>
      <c r="B60" s="1070"/>
      <c r="C60" s="1071">
        <v>100</v>
      </c>
      <c r="D60" s="1072"/>
      <c r="E60" s="1072"/>
      <c r="F60" s="1072"/>
      <c r="G60" s="1072"/>
      <c r="H60" s="1072"/>
      <c r="I60" s="1072"/>
      <c r="J60" s="1072"/>
      <c r="K60" s="1072"/>
      <c r="L60" s="1072"/>
      <c r="M60" s="988"/>
      <c r="N60" s="1072"/>
      <c r="O60" s="988"/>
      <c r="P60" s="1706"/>
      <c r="Q60" s="1098"/>
      <c r="R60" s="1098"/>
      <c r="S60" s="1098"/>
      <c r="T60" s="1098"/>
      <c r="U60" s="1098"/>
      <c r="V60" s="1098"/>
      <c r="W60" s="1098"/>
      <c r="X60" s="1098"/>
      <c r="Y60" s="1098"/>
      <c r="Z60" s="1098"/>
      <c r="AA60" s="1098"/>
      <c r="AB60" s="1098"/>
      <c r="AC60" s="1098"/>
    </row>
    <row r="61" s="920" customFormat="1" ht="15.75" spans="1:29">
      <c r="A61" s="1073" t="s">
        <v>1520</v>
      </c>
      <c r="B61" s="1074"/>
      <c r="C61" s="1075"/>
      <c r="D61" s="1076"/>
      <c r="E61" s="1076"/>
      <c r="F61" s="1076"/>
      <c r="G61" s="1076"/>
      <c r="H61" s="1076"/>
      <c r="I61" s="1076"/>
      <c r="J61" s="1076"/>
      <c r="K61" s="1076"/>
      <c r="L61" s="1076"/>
      <c r="M61" s="1131"/>
      <c r="N61" s="1076"/>
      <c r="O61" s="1131"/>
      <c r="P61" s="1706"/>
      <c r="Q61" s="1170"/>
      <c r="R61" s="1098"/>
      <c r="S61" s="1098"/>
      <c r="T61" s="1098"/>
      <c r="U61" s="1098"/>
      <c r="V61" s="1098"/>
      <c r="W61" s="1098"/>
      <c r="X61" s="1098"/>
      <c r="Y61" s="1098"/>
      <c r="Z61" s="1098"/>
      <c r="AA61" s="1098"/>
      <c r="AB61" s="1098"/>
      <c r="AC61" s="1098"/>
    </row>
    <row r="62" s="920" customFormat="1" ht="15" spans="1:29">
      <c r="A62" s="1077" t="s">
        <v>1482</v>
      </c>
      <c r="B62" s="1070"/>
      <c r="C62" s="1078" t="s">
        <v>1521</v>
      </c>
      <c r="D62" s="1080"/>
      <c r="E62" s="1080"/>
      <c r="F62" s="1080"/>
      <c r="G62" s="1080"/>
      <c r="H62" s="1080"/>
      <c r="I62" s="1080"/>
      <c r="J62" s="1080"/>
      <c r="K62" s="1080"/>
      <c r="L62" s="1132"/>
      <c r="M62" s="1133"/>
      <c r="N62" s="1134"/>
      <c r="O62" s="1134"/>
      <c r="P62" s="1707"/>
      <c r="Q62" s="1170"/>
      <c r="R62" s="1098"/>
      <c r="S62" s="1098"/>
      <c r="T62" s="1098"/>
      <c r="U62" s="1098"/>
      <c r="V62" s="1098"/>
      <c r="W62" s="1098"/>
      <c r="X62" s="1098"/>
      <c r="Y62" s="1098"/>
      <c r="Z62" s="1098"/>
      <c r="AA62" s="1098"/>
      <c r="AB62" s="1098"/>
      <c r="AC62" s="1098"/>
    </row>
    <row r="63" s="920" customFormat="1" ht="15.75" spans="1:29">
      <c r="A63" s="1077"/>
      <c r="B63" s="1070"/>
      <c r="C63" s="1081">
        <v>100</v>
      </c>
      <c r="D63" s="1072"/>
      <c r="E63" s="1072"/>
      <c r="F63" s="1072"/>
      <c r="G63" s="1072"/>
      <c r="H63" s="1072"/>
      <c r="I63" s="1072"/>
      <c r="J63" s="1072"/>
      <c r="K63" s="1072"/>
      <c r="L63" s="1072"/>
      <c r="M63" s="1136"/>
      <c r="N63" s="1134"/>
      <c r="O63" s="1134"/>
      <c r="P63" s="1706"/>
      <c r="Q63" s="1170"/>
      <c r="R63" s="1098"/>
      <c r="S63" s="1098"/>
      <c r="T63" s="1098"/>
      <c r="U63" s="1098"/>
      <c r="V63" s="1098"/>
      <c r="W63" s="1098"/>
      <c r="X63" s="1098"/>
      <c r="Y63" s="1098"/>
      <c r="Z63" s="1098"/>
      <c r="AA63" s="1098"/>
      <c r="AB63" s="1098"/>
      <c r="AC63" s="1098"/>
    </row>
    <row r="64" spans="1:29">
      <c r="A64" s="997" t="s">
        <v>1522</v>
      </c>
      <c r="B64" s="1082" t="s">
        <v>1485</v>
      </c>
      <c r="C64" s="640">
        <f>C9</f>
        <v>0</v>
      </c>
      <c r="D64" s="1083"/>
      <c r="E64" s="1083"/>
      <c r="F64" s="1083"/>
      <c r="G64" s="1083"/>
      <c r="H64" s="1083"/>
      <c r="I64" s="1083"/>
      <c r="J64" s="1083"/>
      <c r="K64" s="1137"/>
      <c r="L64" s="1138"/>
      <c r="M64" s="1139"/>
      <c r="N64" s="1140"/>
      <c r="O64" s="1140"/>
      <c r="P64" s="1708"/>
      <c r="Q64" s="1170"/>
      <c r="R64" s="1054"/>
      <c r="S64" s="1054"/>
      <c r="T64" s="1054"/>
      <c r="U64" s="1054"/>
      <c r="V64" s="1054"/>
      <c r="W64" s="1054"/>
      <c r="X64" s="1054"/>
      <c r="Y64" s="1054"/>
      <c r="Z64" s="1054"/>
      <c r="AA64" s="1054"/>
      <c r="AB64" s="1054"/>
      <c r="AC64" s="1054"/>
    </row>
    <row r="65" ht="15.75" spans="1:29">
      <c r="A65" s="984"/>
      <c r="B65" s="1084"/>
      <c r="C65" s="1085">
        <v>100</v>
      </c>
      <c r="D65" s="1085"/>
      <c r="E65" s="1085"/>
      <c r="F65" s="1085"/>
      <c r="G65" s="1085"/>
      <c r="H65" s="1085"/>
      <c r="I65" s="1085"/>
      <c r="J65" s="1085"/>
      <c r="K65" s="1085"/>
      <c r="L65" s="1085"/>
      <c r="M65" s="1142"/>
      <c r="N65" s="1143"/>
      <c r="O65" s="1143"/>
      <c r="P65" s="1708"/>
      <c r="Q65" s="1170"/>
      <c r="R65" s="1054"/>
      <c r="S65" s="1054"/>
      <c r="T65" s="1054"/>
      <c r="U65" s="1054"/>
      <c r="V65" s="1054"/>
      <c r="W65" s="1054"/>
      <c r="X65" s="1054"/>
      <c r="Y65" s="1054"/>
      <c r="Z65" s="1054"/>
      <c r="AA65" s="1054"/>
      <c r="AB65" s="1054"/>
      <c r="AC65" s="1054"/>
    </row>
    <row r="66" ht="27.75" spans="1:29">
      <c r="A66" s="984"/>
      <c r="B66" s="1182" t="s">
        <v>1488</v>
      </c>
      <c r="C66" s="1183"/>
      <c r="D66" s="1183"/>
      <c r="E66" s="1183"/>
      <c r="F66" s="1183"/>
      <c r="G66" s="1183"/>
      <c r="H66" s="1183"/>
      <c r="I66" s="1183"/>
      <c r="J66" s="1183"/>
      <c r="K66" s="1213"/>
      <c r="L66" s="1214"/>
      <c r="M66" s="1215"/>
      <c r="N66" s="1140"/>
      <c r="O66" s="1140"/>
      <c r="P66" s="1708"/>
      <c r="Q66" s="1170"/>
      <c r="R66" s="1054"/>
      <c r="S66" s="1054"/>
      <c r="T66" s="1054"/>
      <c r="U66" s="1054"/>
      <c r="V66" s="1054"/>
      <c r="W66" s="1054"/>
      <c r="X66" s="1054"/>
      <c r="Y66" s="1054"/>
      <c r="Z66" s="1054"/>
      <c r="AA66" s="1054"/>
      <c r="AB66" s="1054"/>
      <c r="AC66" s="1054"/>
    </row>
    <row r="67" ht="15.75" spans="1:29">
      <c r="A67" s="984"/>
      <c r="B67" s="1184"/>
      <c r="C67" s="1085"/>
      <c r="D67" s="1085"/>
      <c r="E67" s="1085"/>
      <c r="F67" s="1085"/>
      <c r="G67" s="1085"/>
      <c r="H67" s="1085"/>
      <c r="I67" s="1085"/>
      <c r="J67" s="1085"/>
      <c r="K67" s="1085"/>
      <c r="L67" s="1085"/>
      <c r="M67" s="1142"/>
      <c r="N67" s="1143"/>
      <c r="O67" s="1143"/>
      <c r="P67" s="1708"/>
      <c r="Q67" s="1170"/>
      <c r="R67" s="1054"/>
      <c r="S67" s="1054"/>
      <c r="T67" s="1054"/>
      <c r="U67" s="1054"/>
      <c r="V67" s="1054"/>
      <c r="W67" s="1054"/>
      <c r="X67" s="1054"/>
      <c r="Y67" s="1054"/>
      <c r="Z67" s="1054"/>
      <c r="AA67" s="1054"/>
      <c r="AB67" s="1054"/>
      <c r="AC67" s="1054"/>
    </row>
    <row r="68" ht="15.75" spans="1:29">
      <c r="A68" s="984"/>
      <c r="B68" s="1185" t="s">
        <v>1489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6" t="str">
        <f>M69&amp;"（含）"&amp;"-"&amp;P69</f>
        <v>（含）-</v>
      </c>
      <c r="N68" s="1143"/>
      <c r="O68" s="1143"/>
      <c r="P68" s="1708"/>
      <c r="Q68" s="1170"/>
      <c r="R68" s="1054"/>
      <c r="S68" s="1054"/>
      <c r="T68" s="1054"/>
      <c r="U68" s="1054"/>
      <c r="V68" s="1054"/>
      <c r="W68" s="1054"/>
      <c r="X68" s="1054"/>
      <c r="Y68" s="1054"/>
      <c r="Z68" s="1054"/>
      <c r="AA68" s="1054"/>
      <c r="AB68" s="1054"/>
      <c r="AC68" s="1054"/>
    </row>
    <row r="69" ht="15" spans="1:29">
      <c r="A69" s="984"/>
      <c r="B69" s="1187"/>
      <c r="C69" s="1188">
        <v>0</v>
      </c>
      <c r="D69" s="1188">
        <v>3</v>
      </c>
      <c r="E69" s="1188"/>
      <c r="F69" s="1188"/>
      <c r="G69" s="1188"/>
      <c r="H69" s="1188"/>
      <c r="I69" s="1188"/>
      <c r="J69" s="1188"/>
      <c r="K69" s="1216"/>
      <c r="L69" s="1217"/>
      <c r="M69" s="1218"/>
      <c r="N69" s="1140"/>
      <c r="O69" s="1140"/>
      <c r="P69" s="1708"/>
      <c r="Q69" s="1170"/>
      <c r="R69" s="1054"/>
      <c r="S69" s="1054"/>
      <c r="T69" s="1054"/>
      <c r="U69" s="1054"/>
      <c r="V69" s="1054"/>
      <c r="W69" s="1054"/>
      <c r="X69" s="1054"/>
      <c r="Y69" s="1054"/>
      <c r="Z69" s="1054"/>
      <c r="AA69" s="1054"/>
      <c r="AB69" s="1054"/>
      <c r="AC69" s="1054"/>
    </row>
    <row r="70" ht="15.75" spans="1:29">
      <c r="A70" s="984"/>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08"/>
      <c r="Q70" s="1170"/>
      <c r="R70" s="1054"/>
      <c r="S70" s="1054"/>
      <c r="T70" s="1054"/>
      <c r="U70" s="1054"/>
      <c r="V70" s="1054"/>
      <c r="W70" s="1054"/>
      <c r="X70" s="1054"/>
      <c r="Y70" s="1054"/>
      <c r="Z70" s="1054"/>
      <c r="AA70" s="1054"/>
      <c r="AB70" s="1054"/>
      <c r="AC70" s="1054"/>
    </row>
    <row r="71" s="922" customFormat="1" ht="15.75" spans="1:29">
      <c r="A71" s="1190"/>
      <c r="B71" s="1182">
        <f>B12</f>
        <v>111</v>
      </c>
      <c r="C71" s="1191"/>
      <c r="D71" s="1191"/>
      <c r="E71" s="1191"/>
      <c r="F71" s="1191"/>
      <c r="G71" s="1191"/>
      <c r="H71" s="1192"/>
      <c r="I71" s="1192"/>
      <c r="J71" s="1192"/>
      <c r="K71" s="1192"/>
      <c r="L71" s="1220"/>
      <c r="M71" s="1221"/>
      <c r="N71" s="1222"/>
      <c r="O71" s="1222"/>
      <c r="P71" s="1709"/>
      <c r="Q71" s="1252"/>
      <c r="R71" s="1112"/>
      <c r="S71" s="1112"/>
      <c r="T71" s="1112"/>
      <c r="U71" s="1112"/>
      <c r="V71" s="1112"/>
      <c r="W71" s="1112"/>
      <c r="X71" s="1112"/>
      <c r="Y71" s="1112"/>
      <c r="Z71" s="1112"/>
      <c r="AA71" s="1112"/>
      <c r="AB71" s="1112"/>
      <c r="AC71" s="1112"/>
    </row>
    <row r="72" s="922" customFormat="1" ht="15.75" spans="1:29">
      <c r="A72" s="1190"/>
      <c r="B72" s="1184"/>
      <c r="C72" s="1193"/>
      <c r="D72" s="1085"/>
      <c r="E72" s="1085"/>
      <c r="F72" s="1085"/>
      <c r="G72" s="1085"/>
      <c r="H72" s="1085"/>
      <c r="I72" s="1085"/>
      <c r="J72" s="1085"/>
      <c r="K72" s="1085"/>
      <c r="L72" s="1085"/>
      <c r="M72" s="1142"/>
      <c r="N72" s="1143"/>
      <c r="O72" s="1143"/>
      <c r="P72" s="1709"/>
      <c r="Q72" s="1252"/>
      <c r="R72" s="1112"/>
      <c r="S72" s="1112"/>
      <c r="T72" s="1112"/>
      <c r="U72" s="1112"/>
      <c r="V72" s="1112"/>
      <c r="W72" s="1112"/>
      <c r="X72" s="1112"/>
      <c r="Y72" s="1112"/>
      <c r="Z72" s="1112"/>
      <c r="AA72" s="1112"/>
      <c r="AB72" s="1112"/>
      <c r="AC72" s="1112"/>
    </row>
    <row r="73" s="922" customFormat="1" ht="15.75" spans="1:29">
      <c r="A73" s="1190"/>
      <c r="B73" s="1182">
        <f>B13</f>
        <v>111</v>
      </c>
      <c r="C73" s="1191"/>
      <c r="D73" s="1191"/>
      <c r="E73" s="1191"/>
      <c r="F73" s="1191"/>
      <c r="G73" s="1191"/>
      <c r="H73" s="1192"/>
      <c r="I73" s="1192"/>
      <c r="J73" s="1192"/>
      <c r="K73" s="1192"/>
      <c r="L73" s="1220"/>
      <c r="M73" s="1221"/>
      <c r="N73" s="1222"/>
      <c r="O73" s="1222"/>
      <c r="P73" s="1710"/>
      <c r="Q73" s="1253"/>
      <c r="R73" s="1112"/>
      <c r="S73" s="1112"/>
      <c r="T73" s="1112"/>
      <c r="U73" s="1112"/>
      <c r="V73" s="1112"/>
      <c r="W73" s="1112"/>
      <c r="X73" s="1112"/>
      <c r="Y73" s="1112"/>
      <c r="Z73" s="1112"/>
      <c r="AA73" s="1112"/>
      <c r="AB73" s="1112"/>
      <c r="AC73" s="1112"/>
    </row>
    <row r="74" s="922" customFormat="1" ht="15.75" spans="1:29">
      <c r="A74" s="1190"/>
      <c r="B74" s="1184"/>
      <c r="C74" s="1193"/>
      <c r="D74" s="1193"/>
      <c r="E74" s="1193"/>
      <c r="F74" s="1193"/>
      <c r="G74" s="1193"/>
      <c r="H74" s="1194"/>
      <c r="I74" s="1194"/>
      <c r="J74" s="1194"/>
      <c r="K74" s="1194"/>
      <c r="L74" s="1194"/>
      <c r="M74" s="1225"/>
      <c r="N74" s="1222"/>
      <c r="O74" s="1222"/>
      <c r="P74" s="1709"/>
      <c r="Q74" s="1252"/>
      <c r="R74" s="1112"/>
      <c r="S74" s="1112"/>
      <c r="T74" s="1112"/>
      <c r="U74" s="1112"/>
      <c r="V74" s="1112"/>
      <c r="W74" s="1112"/>
      <c r="X74" s="1112"/>
      <c r="Y74" s="1112"/>
      <c r="Z74" s="1112"/>
      <c r="AA74" s="1112"/>
      <c r="AB74" s="1112"/>
      <c r="AC74" s="1112"/>
    </row>
    <row r="75" s="922" customFormat="1" ht="15.75" spans="1:29">
      <c r="A75" s="1190"/>
      <c r="B75" s="1185">
        <f>B14</f>
        <v>111</v>
      </c>
      <c r="C75" s="1080"/>
      <c r="D75" s="1080"/>
      <c r="E75" s="1080"/>
      <c r="F75" s="1080"/>
      <c r="G75" s="1080"/>
      <c r="H75" s="1195"/>
      <c r="I75" s="1195"/>
      <c r="J75" s="1195"/>
      <c r="K75" s="1195"/>
      <c r="L75" s="1226"/>
      <c r="M75" s="1227"/>
      <c r="N75" s="1222"/>
      <c r="O75" s="1222"/>
      <c r="P75" s="1775"/>
      <c r="Q75" s="1252"/>
      <c r="R75" s="1112"/>
      <c r="S75" s="1112"/>
      <c r="T75" s="1112"/>
      <c r="U75" s="1112"/>
      <c r="V75" s="1112"/>
      <c r="W75" s="1112"/>
      <c r="X75" s="1112"/>
      <c r="Y75" s="1112"/>
      <c r="Z75" s="1112"/>
      <c r="AA75" s="1112"/>
      <c r="AB75" s="1112"/>
      <c r="AC75" s="1112"/>
    </row>
    <row r="76" s="922" customFormat="1" ht="15.75" spans="1:29">
      <c r="A76" s="1196"/>
      <c r="B76" s="1197"/>
      <c r="C76" s="1198"/>
      <c r="D76" s="1198"/>
      <c r="E76" s="1198"/>
      <c r="F76" s="1198"/>
      <c r="G76" s="1198"/>
      <c r="H76" s="1199"/>
      <c r="I76" s="1199"/>
      <c r="J76" s="1199"/>
      <c r="K76" s="1199"/>
      <c r="L76" s="1199"/>
      <c r="M76" s="1229"/>
      <c r="N76" s="1222"/>
      <c r="O76" s="1222"/>
      <c r="P76" s="1709"/>
      <c r="Q76" s="1252"/>
      <c r="R76" s="1112"/>
      <c r="S76" s="1112"/>
      <c r="T76" s="1112"/>
      <c r="U76" s="1112"/>
      <c r="V76" s="1112"/>
      <c r="W76" s="1112"/>
      <c r="X76" s="1112"/>
      <c r="Y76" s="1112"/>
      <c r="Z76" s="1112"/>
      <c r="AA76" s="1112"/>
      <c r="AB76" s="1112"/>
      <c r="AC76" s="1112"/>
    </row>
    <row r="77" spans="1:29">
      <c r="A77" s="997" t="s">
        <v>1490</v>
      </c>
      <c r="B77" s="1082" t="s">
        <v>1602</v>
      </c>
      <c r="C77" s="1200" t="s">
        <v>1523</v>
      </c>
      <c r="D77" s="1200" t="s">
        <v>1524</v>
      </c>
      <c r="E77" s="1200" t="s">
        <v>1525</v>
      </c>
      <c r="F77" s="1200" t="s">
        <v>1526</v>
      </c>
      <c r="G77" s="1200" t="s">
        <v>1527</v>
      </c>
      <c r="H77" s="640"/>
      <c r="I77" s="640"/>
      <c r="J77" s="640"/>
      <c r="K77" s="1230"/>
      <c r="L77" s="1231"/>
      <c r="M77" s="1232"/>
      <c r="N77" s="1140"/>
      <c r="O77" s="1140"/>
      <c r="P77" s="1711"/>
      <c r="Q77" s="1170"/>
      <c r="R77" s="1054"/>
      <c r="S77" s="1054"/>
      <c r="T77" s="1054"/>
      <c r="U77" s="1054"/>
      <c r="V77" s="1054"/>
      <c r="W77" s="1054"/>
      <c r="X77" s="1054"/>
      <c r="Y77" s="1054"/>
      <c r="Z77" s="1054"/>
      <c r="AA77" s="1054"/>
      <c r="AB77" s="1054"/>
      <c r="AC77" s="1054"/>
    </row>
    <row r="78" ht="15.75" spans="1:29">
      <c r="A78" s="984"/>
      <c r="B78" s="1184"/>
      <c r="C78" s="1189">
        <v>100</v>
      </c>
      <c r="D78" s="1189">
        <f>C78-$K15</f>
        <v>100</v>
      </c>
      <c r="E78" s="1189">
        <f>D78-$K15</f>
        <v>100</v>
      </c>
      <c r="F78" s="1189">
        <f>E78-$K15</f>
        <v>100</v>
      </c>
      <c r="G78" s="1189">
        <f>F78-$K15</f>
        <v>100</v>
      </c>
      <c r="H78" s="1189"/>
      <c r="I78" s="1189"/>
      <c r="J78" s="1189"/>
      <c r="K78" s="1189"/>
      <c r="L78" s="1189"/>
      <c r="M78" s="1219"/>
      <c r="N78" s="1143"/>
      <c r="O78" s="1143"/>
      <c r="P78" s="1708"/>
      <c r="Q78" s="1170"/>
      <c r="R78" s="1054"/>
      <c r="S78" s="1054"/>
      <c r="T78" s="1054"/>
      <c r="U78" s="1054"/>
      <c r="V78" s="1054"/>
      <c r="W78" s="1054"/>
      <c r="X78" s="1054"/>
      <c r="Y78" s="1054"/>
      <c r="Z78" s="1054"/>
      <c r="AA78" s="1054"/>
      <c r="AB78" s="1054"/>
      <c r="AC78" s="1054"/>
    </row>
    <row r="79" ht="15.75" spans="1:29">
      <c r="A79" s="984"/>
      <c r="B79" s="1182" t="s">
        <v>1493</v>
      </c>
      <c r="C79" s="1201" t="s">
        <v>1523</v>
      </c>
      <c r="D79" s="1201" t="s">
        <v>1524</v>
      </c>
      <c r="E79" s="1201" t="s">
        <v>1525</v>
      </c>
      <c r="F79" s="1201" t="s">
        <v>1526</v>
      </c>
      <c r="G79" s="1201" t="s">
        <v>1527</v>
      </c>
      <c r="H79" s="1202"/>
      <c r="I79" s="1202"/>
      <c r="J79" s="1202"/>
      <c r="K79" s="1234"/>
      <c r="L79" s="1235"/>
      <c r="M79" s="1236"/>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C80-$K17</f>
        <v>100</v>
      </c>
      <c r="E80" s="1189">
        <f>D80-$K17</f>
        <v>100</v>
      </c>
      <c r="F80" s="1189">
        <f>E80-$K17</f>
        <v>100</v>
      </c>
      <c r="G80" s="1189">
        <f>F80-$K17</f>
        <v>100</v>
      </c>
      <c r="H80" s="1189"/>
      <c r="I80" s="1189"/>
      <c r="J80" s="1189"/>
      <c r="K80" s="1189"/>
      <c r="L80" s="1189"/>
      <c r="M80" s="1219"/>
      <c r="N80" s="1143"/>
      <c r="O80" s="1143"/>
      <c r="P80" s="1708"/>
      <c r="Q80" s="1170"/>
      <c r="R80" s="1054"/>
      <c r="S80" s="1054"/>
      <c r="T80" s="1054"/>
      <c r="U80" s="1054"/>
      <c r="V80" s="1054"/>
      <c r="W80" s="1054"/>
      <c r="X80" s="1054"/>
      <c r="Y80" s="1054"/>
      <c r="Z80" s="1054"/>
      <c r="AA80" s="1054"/>
      <c r="AB80" s="1054"/>
      <c r="AC80" s="1054"/>
    </row>
    <row r="81" ht="15.75" spans="1:29">
      <c r="A81" s="984"/>
      <c r="B81" s="1182" t="s">
        <v>1494</v>
      </c>
      <c r="C81" s="1201" t="s">
        <v>1523</v>
      </c>
      <c r="D81" s="1201" t="s">
        <v>1524</v>
      </c>
      <c r="E81" s="1201" t="s">
        <v>1525</v>
      </c>
      <c r="F81" s="1201" t="s">
        <v>1526</v>
      </c>
      <c r="G81" s="1201" t="s">
        <v>1527</v>
      </c>
      <c r="H81" s="1202"/>
      <c r="I81" s="1202"/>
      <c r="J81" s="1202"/>
      <c r="K81" s="1234"/>
      <c r="L81" s="1235"/>
      <c r="M81" s="1236"/>
      <c r="N81" s="1140"/>
      <c r="O81" s="1140"/>
      <c r="P81" s="1708"/>
      <c r="Q81" s="1170"/>
      <c r="R81" s="1054"/>
      <c r="S81" s="1054"/>
      <c r="T81" s="1054"/>
      <c r="U81" s="1054"/>
      <c r="V81" s="1054"/>
      <c r="W81" s="1054"/>
      <c r="X81" s="1054"/>
      <c r="Y81" s="1054"/>
      <c r="Z81" s="1054"/>
      <c r="AA81" s="1054"/>
      <c r="AB81" s="1054"/>
      <c r="AC81" s="1054"/>
    </row>
    <row r="82" ht="15.75" spans="1:29">
      <c r="A82" s="984"/>
      <c r="B82" s="1184"/>
      <c r="C82" s="1189">
        <v>100</v>
      </c>
      <c r="D82" s="1189">
        <f>C82-$K19</f>
        <v>100</v>
      </c>
      <c r="E82" s="1189">
        <f>D82-$K19</f>
        <v>100</v>
      </c>
      <c r="F82" s="1189">
        <f>E82-$K19</f>
        <v>100</v>
      </c>
      <c r="G82" s="1189">
        <f>F82-$K19</f>
        <v>100</v>
      </c>
      <c r="H82" s="1189"/>
      <c r="I82" s="1189"/>
      <c r="J82" s="1189"/>
      <c r="K82" s="1189"/>
      <c r="L82" s="1189"/>
      <c r="M82" s="1219"/>
      <c r="N82" s="1143"/>
      <c r="O82" s="1143"/>
      <c r="P82" s="1708"/>
      <c r="Q82" s="1170"/>
      <c r="R82" s="1054"/>
      <c r="S82" s="1054"/>
      <c r="T82" s="1054"/>
      <c r="U82" s="1054"/>
      <c r="V82" s="1054"/>
      <c r="W82" s="1054"/>
      <c r="X82" s="1054"/>
      <c r="Y82" s="1054"/>
      <c r="Z82" s="1054"/>
      <c r="AA82" s="1054"/>
      <c r="AB82" s="1054"/>
      <c r="AC82" s="1054"/>
    </row>
    <row r="83" ht="15.75" spans="1:29">
      <c r="A83" s="984"/>
      <c r="B83" s="1185" t="s">
        <v>1495</v>
      </c>
      <c r="C83" s="1177" t="s">
        <v>1528</v>
      </c>
      <c r="D83" s="1177" t="s">
        <v>1529</v>
      </c>
      <c r="E83" s="1177" t="s">
        <v>1530</v>
      </c>
      <c r="F83" s="1177" t="s">
        <v>1531</v>
      </c>
      <c r="G83" s="1177" t="s">
        <v>1532</v>
      </c>
      <c r="H83" s="1202"/>
      <c r="I83" s="1202"/>
      <c r="J83" s="1202"/>
      <c r="K83" s="1202"/>
      <c r="L83" s="1202"/>
      <c r="M83" s="1237"/>
      <c r="N83" s="1143"/>
      <c r="O83" s="1143"/>
      <c r="P83" s="1708"/>
      <c r="Q83" s="1170"/>
      <c r="R83" s="1054"/>
      <c r="S83" s="1054"/>
      <c r="T83" s="1054"/>
      <c r="U83" s="1054"/>
      <c r="V83" s="1054"/>
      <c r="W83" s="1054"/>
      <c r="X83" s="1054"/>
      <c r="Y83" s="1054"/>
      <c r="Z83" s="1054"/>
      <c r="AA83" s="1054"/>
      <c r="AB83" s="1054"/>
      <c r="AC83" s="1054"/>
    </row>
    <row r="84" ht="15.75" spans="1:29">
      <c r="A84" s="984"/>
      <c r="B84" s="1185"/>
      <c r="C84" s="1189">
        <v>100</v>
      </c>
      <c r="D84" s="1189">
        <f>C84-$K21</f>
        <v>100</v>
      </c>
      <c r="E84" s="1189">
        <f>D84-$K21</f>
        <v>100</v>
      </c>
      <c r="F84" s="1189">
        <f>E84-$K21</f>
        <v>100</v>
      </c>
      <c r="G84" s="1189">
        <f>F84-$K21</f>
        <v>100</v>
      </c>
      <c r="H84" s="1177"/>
      <c r="I84" s="1177"/>
      <c r="J84" s="1177"/>
      <c r="K84" s="1177"/>
      <c r="L84" s="1177"/>
      <c r="M84" s="1008"/>
      <c r="N84" s="1143"/>
      <c r="O84" s="1143"/>
      <c r="P84" s="1708"/>
      <c r="Q84" s="1170"/>
      <c r="R84" s="1054"/>
      <c r="S84" s="1054"/>
      <c r="T84" s="1054"/>
      <c r="U84" s="1054"/>
      <c r="V84" s="1054"/>
      <c r="W84" s="1054"/>
      <c r="X84" s="1054"/>
      <c r="Y84" s="1054"/>
      <c r="Z84" s="1054"/>
      <c r="AA84" s="1054"/>
      <c r="AB84" s="1054"/>
      <c r="AC84" s="1054"/>
    </row>
    <row r="85" ht="15.75" spans="1:29">
      <c r="A85" s="984"/>
      <c r="B85" s="1182" t="s">
        <v>1603</v>
      </c>
      <c r="C85" s="1201" t="s">
        <v>1523</v>
      </c>
      <c r="D85" s="1201" t="s">
        <v>1524</v>
      </c>
      <c r="E85" s="1201" t="s">
        <v>1525</v>
      </c>
      <c r="F85" s="1201" t="s">
        <v>1526</v>
      </c>
      <c r="G85" s="1201" t="s">
        <v>1527</v>
      </c>
      <c r="H85" s="1202"/>
      <c r="I85" s="1202"/>
      <c r="J85" s="1202"/>
      <c r="K85" s="1234"/>
      <c r="L85" s="1235"/>
      <c r="M85" s="1236"/>
      <c r="N85" s="1140"/>
      <c r="O85" s="1140"/>
      <c r="P85" s="1708"/>
      <c r="Q85" s="1170"/>
      <c r="R85" s="1054"/>
      <c r="S85" s="1054"/>
      <c r="T85" s="1054"/>
      <c r="U85" s="1054"/>
      <c r="V85" s="1054"/>
      <c r="W85" s="1054"/>
      <c r="X85" s="1054"/>
      <c r="Y85" s="1054"/>
      <c r="Z85" s="1054"/>
      <c r="AA85" s="1054"/>
      <c r="AB85" s="1054"/>
      <c r="AC85" s="1054"/>
    </row>
    <row r="86" ht="15.75" spans="1:29">
      <c r="A86" s="984"/>
      <c r="B86" s="1184"/>
      <c r="C86" s="1189">
        <v>100</v>
      </c>
      <c r="D86" s="1189">
        <f>C86-$K23</f>
        <v>100</v>
      </c>
      <c r="E86" s="1189">
        <f>D86-$K23</f>
        <v>100</v>
      </c>
      <c r="F86" s="1189">
        <f>E86-$K23</f>
        <v>100</v>
      </c>
      <c r="G86" s="1189">
        <f>F86-$K23</f>
        <v>100</v>
      </c>
      <c r="H86" s="1189"/>
      <c r="I86" s="1189"/>
      <c r="J86" s="1189"/>
      <c r="K86" s="1189"/>
      <c r="L86" s="1189"/>
      <c r="M86" s="1219"/>
      <c r="N86" s="1143"/>
      <c r="O86" s="1143"/>
      <c r="P86" s="1708"/>
      <c r="Q86" s="1170"/>
      <c r="R86" s="1054"/>
      <c r="S86" s="1054"/>
      <c r="T86" s="1054"/>
      <c r="U86" s="1054"/>
      <c r="V86" s="1054"/>
      <c r="W86" s="1054"/>
      <c r="X86" s="1054"/>
      <c r="Y86" s="1054"/>
      <c r="Z86" s="1054"/>
      <c r="AA86" s="1054"/>
      <c r="AB86" s="1054"/>
      <c r="AC86" s="1054"/>
    </row>
    <row r="87" s="920" customFormat="1" ht="27.75" spans="1:29">
      <c r="A87" s="987"/>
      <c r="B87" s="1182" t="s">
        <v>1604</v>
      </c>
      <c r="C87" s="1191"/>
      <c r="D87" s="1191"/>
      <c r="E87" s="1191"/>
      <c r="F87" s="1191"/>
      <c r="G87" s="1191"/>
      <c r="H87" s="1191"/>
      <c r="I87" s="1191"/>
      <c r="J87" s="1191"/>
      <c r="K87" s="1191"/>
      <c r="L87" s="1238"/>
      <c r="M87" s="1239"/>
      <c r="N87" s="1134"/>
      <c r="O87" s="1134"/>
      <c r="P87" s="1708"/>
      <c r="Q87" s="1170"/>
      <c r="R87" s="1098"/>
      <c r="S87" s="1098"/>
      <c r="T87" s="1098"/>
      <c r="U87" s="1098"/>
      <c r="V87" s="1098"/>
      <c r="W87" s="1098"/>
      <c r="X87" s="1098"/>
      <c r="Y87" s="1098"/>
      <c r="Z87" s="1098"/>
      <c r="AA87" s="1098"/>
      <c r="AB87" s="1098"/>
      <c r="AC87" s="1098"/>
    </row>
    <row r="88" s="920" customFormat="1" ht="15.75" spans="1:29">
      <c r="A88" s="987"/>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08"/>
      <c r="Q88" s="1170"/>
      <c r="R88" s="1098"/>
      <c r="S88" s="1098"/>
      <c r="T88" s="1098"/>
      <c r="U88" s="1098"/>
      <c r="V88" s="1098"/>
      <c r="W88" s="1098"/>
      <c r="X88" s="1098"/>
      <c r="Y88" s="1098"/>
      <c r="Z88" s="1098"/>
      <c r="AA88" s="1098"/>
      <c r="AB88" s="1098"/>
      <c r="AC88" s="1098"/>
    </row>
    <row r="89" s="920" customFormat="1" ht="15.75" spans="1:29">
      <c r="A89" s="987"/>
      <c r="B89" s="1182" t="str">
        <f>B27</f>
        <v>楼层</v>
      </c>
      <c r="C89" s="1191"/>
      <c r="D89" s="1191"/>
      <c r="E89" s="1191"/>
      <c r="F89" s="1774"/>
      <c r="G89" s="1191"/>
      <c r="H89" s="1191"/>
      <c r="I89" s="1191"/>
      <c r="J89" s="1191"/>
      <c r="K89" s="1191"/>
      <c r="L89" s="1191"/>
      <c r="M89" s="1239"/>
      <c r="N89" s="1134"/>
      <c r="O89" s="1134"/>
      <c r="P89" s="1708"/>
      <c r="Q89" s="1170"/>
      <c r="R89" s="1098"/>
      <c r="S89" s="1098"/>
      <c r="T89" s="1098"/>
      <c r="U89" s="1098"/>
      <c r="V89" s="1098"/>
      <c r="W89" s="1098"/>
      <c r="X89" s="1098"/>
      <c r="Y89" s="1098"/>
      <c r="Z89" s="1098"/>
      <c r="AA89" s="1098"/>
      <c r="AB89" s="1098"/>
      <c r="AC89" s="1098"/>
    </row>
    <row r="90" s="920" customFormat="1" ht="15.75" spans="1:29">
      <c r="A90" s="987"/>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08"/>
      <c r="Q90" s="1170"/>
      <c r="R90" s="1098"/>
      <c r="S90" s="1098"/>
      <c r="T90" s="1098"/>
      <c r="U90" s="1098"/>
      <c r="V90" s="1098"/>
      <c r="W90" s="1098"/>
      <c r="X90" s="1098"/>
      <c r="Y90" s="1098"/>
      <c r="Z90" s="1098"/>
      <c r="AA90" s="1098"/>
      <c r="AB90" s="1098"/>
      <c r="AC90" s="1098"/>
    </row>
    <row r="91" s="922" customFormat="1" ht="15.75" spans="1:29">
      <c r="A91" s="1190"/>
      <c r="B91" s="1182" t="str">
        <f>B28</f>
        <v>朝向</v>
      </c>
      <c r="C91" s="1191"/>
      <c r="D91" s="1191"/>
      <c r="E91" s="1191"/>
      <c r="F91" s="1191"/>
      <c r="G91" s="1191"/>
      <c r="H91" s="1192"/>
      <c r="I91" s="1192"/>
      <c r="J91" s="1192"/>
      <c r="K91" s="1192"/>
      <c r="L91" s="1220"/>
      <c r="M91" s="1221"/>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09"/>
      <c r="Q92" s="1252"/>
      <c r="R92" s="1112"/>
      <c r="S92" s="1112"/>
      <c r="T92" s="1112"/>
      <c r="U92" s="1112"/>
      <c r="V92" s="1112"/>
      <c r="W92" s="1112"/>
      <c r="X92" s="1112"/>
      <c r="Y92" s="1112"/>
      <c r="Z92" s="1112"/>
      <c r="AA92" s="1112"/>
      <c r="AB92" s="1112"/>
      <c r="AC92" s="1112"/>
    </row>
    <row r="93" ht="15.75" spans="1:29">
      <c r="A93" s="984"/>
      <c r="B93" s="1182">
        <f>B29</f>
        <v>111</v>
      </c>
      <c r="C93" s="1191"/>
      <c r="D93" s="1191"/>
      <c r="E93" s="1191"/>
      <c r="F93" s="1191"/>
      <c r="G93" s="1191"/>
      <c r="H93" s="1191"/>
      <c r="I93" s="1191"/>
      <c r="J93" s="1191"/>
      <c r="K93" s="1191"/>
      <c r="L93" s="1238"/>
      <c r="M93" s="1239"/>
      <c r="N93" s="1140"/>
      <c r="O93" s="1140"/>
      <c r="P93" s="1708"/>
      <c r="Q93" s="1170"/>
      <c r="R93" s="1054"/>
      <c r="S93" s="1054"/>
      <c r="T93" s="1054"/>
      <c r="U93" s="1054"/>
      <c r="V93" s="1054"/>
      <c r="W93" s="1054"/>
      <c r="X93" s="1054"/>
      <c r="Y93" s="1054"/>
      <c r="Z93" s="1054"/>
      <c r="AA93" s="1054"/>
      <c r="AB93" s="1054"/>
      <c r="AC93" s="1054"/>
    </row>
    <row r="94" ht="15.75" spans="1:29">
      <c r="A94" s="984"/>
      <c r="B94" s="1184"/>
      <c r="C94" s="1193"/>
      <c r="D94" s="1085"/>
      <c r="E94" s="1085"/>
      <c r="F94" s="1085"/>
      <c r="G94" s="1085"/>
      <c r="H94" s="1085"/>
      <c r="I94" s="1085"/>
      <c r="J94" s="1085"/>
      <c r="K94" s="1085"/>
      <c r="L94" s="1085"/>
      <c r="M94" s="1142"/>
      <c r="N94" s="1143"/>
      <c r="O94" s="1143"/>
      <c r="P94" s="1708"/>
      <c r="Q94" s="1170"/>
      <c r="R94" s="1054"/>
      <c r="S94" s="1054"/>
      <c r="T94" s="1054"/>
      <c r="U94" s="1054"/>
      <c r="V94" s="1054"/>
      <c r="W94" s="1054"/>
      <c r="X94" s="1054"/>
      <c r="Y94" s="1054"/>
      <c r="Z94" s="1054"/>
      <c r="AA94" s="1054"/>
      <c r="AB94" s="1054"/>
      <c r="AC94" s="1054"/>
    </row>
    <row r="95" ht="15.75" spans="1:29">
      <c r="A95" s="984"/>
      <c r="B95" s="1182">
        <f>B30</f>
        <v>111</v>
      </c>
      <c r="C95" s="1191"/>
      <c r="D95" s="1191"/>
      <c r="E95" s="1191"/>
      <c r="F95" s="1191"/>
      <c r="G95" s="1183"/>
      <c r="H95" s="1183"/>
      <c r="I95" s="1183"/>
      <c r="J95" s="1183"/>
      <c r="K95" s="1213"/>
      <c r="L95" s="1214"/>
      <c r="M95" s="1215"/>
      <c r="N95" s="1140"/>
      <c r="O95" s="1140"/>
      <c r="P95" s="1708"/>
      <c r="Q95" s="1170"/>
      <c r="R95" s="1054"/>
      <c r="S95" s="1054"/>
      <c r="T95" s="1054"/>
      <c r="U95" s="1054"/>
      <c r="V95" s="1054"/>
      <c r="W95" s="1054"/>
      <c r="X95" s="1054"/>
      <c r="Y95" s="1054"/>
      <c r="Z95" s="1054"/>
      <c r="AA95" s="1054"/>
      <c r="AB95" s="1054"/>
      <c r="AC95" s="1054"/>
    </row>
    <row r="96" ht="15.75" spans="1:29">
      <c r="A96" s="984"/>
      <c r="B96" s="1184"/>
      <c r="C96" s="1193"/>
      <c r="D96" s="1193"/>
      <c r="E96" s="1193"/>
      <c r="F96" s="1193"/>
      <c r="G96" s="1085"/>
      <c r="H96" s="1085"/>
      <c r="I96" s="1085"/>
      <c r="J96" s="1085"/>
      <c r="K96" s="1085"/>
      <c r="L96" s="1085"/>
      <c r="M96" s="1142"/>
      <c r="N96" s="1143"/>
      <c r="O96" s="1143"/>
      <c r="P96" s="1708"/>
      <c r="Q96" s="1170"/>
      <c r="R96" s="1054"/>
      <c r="S96" s="1054"/>
      <c r="T96" s="1054"/>
      <c r="U96" s="1054"/>
      <c r="V96" s="1054"/>
      <c r="W96" s="1054"/>
      <c r="X96" s="1054"/>
      <c r="Y96" s="1054"/>
      <c r="Z96" s="1054"/>
      <c r="AA96" s="1054"/>
      <c r="AB96" s="1054"/>
      <c r="AC96" s="1054"/>
    </row>
    <row r="97" ht="15.75" spans="1:29">
      <c r="A97" s="984"/>
      <c r="B97" s="1182">
        <f>B31</f>
        <v>111</v>
      </c>
      <c r="C97" s="1191"/>
      <c r="D97" s="1191"/>
      <c r="E97" s="1191"/>
      <c r="F97" s="1191"/>
      <c r="G97" s="1183"/>
      <c r="H97" s="1183"/>
      <c r="I97" s="1183"/>
      <c r="J97" s="1183"/>
      <c r="K97" s="1213"/>
      <c r="L97" s="1214"/>
      <c r="M97" s="1215"/>
      <c r="N97" s="1140"/>
      <c r="O97" s="1140"/>
      <c r="P97" s="1708"/>
      <c r="Q97" s="1170"/>
      <c r="R97" s="1054"/>
      <c r="S97" s="1054"/>
      <c r="T97" s="1054"/>
      <c r="U97" s="1054"/>
      <c r="V97" s="1054"/>
      <c r="W97" s="1054"/>
      <c r="X97" s="1054"/>
      <c r="Y97" s="1054"/>
      <c r="Z97" s="1054"/>
      <c r="AA97" s="1054"/>
      <c r="AB97" s="1054"/>
      <c r="AC97" s="1054"/>
    </row>
    <row r="98" ht="15.75" spans="1:29">
      <c r="A98" s="984"/>
      <c r="B98" s="1184"/>
      <c r="C98" s="1193"/>
      <c r="D98" s="1085"/>
      <c r="E98" s="1085"/>
      <c r="F98" s="1085"/>
      <c r="G98" s="1085"/>
      <c r="H98" s="1085"/>
      <c r="I98" s="1085"/>
      <c r="J98" s="1085"/>
      <c r="K98" s="1085"/>
      <c r="L98" s="1085"/>
      <c r="M98" s="1142"/>
      <c r="N98" s="1143"/>
      <c r="O98" s="1143"/>
      <c r="P98" s="1708"/>
      <c r="Q98" s="1170"/>
      <c r="R98" s="1054"/>
      <c r="S98" s="1054"/>
      <c r="T98" s="1054"/>
      <c r="U98" s="1054"/>
      <c r="V98" s="1054"/>
      <c r="W98" s="1054"/>
      <c r="X98" s="1054"/>
      <c r="Y98" s="1054"/>
      <c r="Z98" s="1054"/>
      <c r="AA98" s="1054"/>
      <c r="AB98" s="1054"/>
      <c r="AC98" s="1054"/>
    </row>
    <row r="99" ht="15.75" spans="1:29">
      <c r="A99" s="984"/>
      <c r="B99" s="1185">
        <f>B32</f>
        <v>111</v>
      </c>
      <c r="C99" s="1080"/>
      <c r="D99" s="1080"/>
      <c r="E99" s="1080"/>
      <c r="F99" s="1080"/>
      <c r="G99" s="1207"/>
      <c r="H99" s="1207"/>
      <c r="I99" s="1207"/>
      <c r="J99" s="1207"/>
      <c r="K99" s="1240"/>
      <c r="L99" s="1241"/>
      <c r="M99" s="1242"/>
      <c r="N99" s="1140"/>
      <c r="O99" s="1140"/>
      <c r="P99" s="1708"/>
      <c r="Q99" s="1170"/>
      <c r="R99" s="1054"/>
      <c r="S99" s="1054"/>
      <c r="T99" s="1054"/>
      <c r="U99" s="1054"/>
      <c r="V99" s="1054"/>
      <c r="W99" s="1054"/>
      <c r="X99" s="1054"/>
      <c r="Y99" s="1054"/>
      <c r="Z99" s="1054"/>
      <c r="AA99" s="1054"/>
      <c r="AB99" s="1054"/>
      <c r="AC99" s="1054"/>
    </row>
    <row r="100" ht="15.75" spans="1:29">
      <c r="A100" s="992"/>
      <c r="B100" s="1197"/>
      <c r="C100" s="1198"/>
      <c r="D100" s="1198"/>
      <c r="E100" s="1198"/>
      <c r="F100" s="1198"/>
      <c r="G100" s="1208"/>
      <c r="H100" s="1208"/>
      <c r="I100" s="1208"/>
      <c r="J100" s="1208"/>
      <c r="K100" s="1208"/>
      <c r="L100" s="1208"/>
      <c r="M100" s="1243"/>
      <c r="N100" s="1143"/>
      <c r="O100" s="1143"/>
      <c r="P100" s="1708"/>
      <c r="Q100" s="1170"/>
      <c r="R100" s="1054"/>
      <c r="S100" s="1054"/>
      <c r="T100" s="1054"/>
      <c r="U100" s="1054"/>
      <c r="V100" s="1054"/>
      <c r="W100" s="1054"/>
      <c r="X100" s="1054"/>
      <c r="Y100" s="1054"/>
      <c r="Z100" s="1054"/>
      <c r="AA100" s="1054"/>
      <c r="AB100" s="1054"/>
      <c r="AC100" s="1054"/>
    </row>
    <row r="101" spans="1:29">
      <c r="A101" s="997" t="s">
        <v>1499</v>
      </c>
      <c r="B101" s="1082" t="s">
        <v>1500</v>
      </c>
      <c r="C101" s="1083"/>
      <c r="D101" s="1083"/>
      <c r="E101" s="1083"/>
      <c r="F101" s="1083"/>
      <c r="G101" s="1083"/>
      <c r="H101" s="1083"/>
      <c r="I101" s="1083"/>
      <c r="J101" s="1083"/>
      <c r="K101" s="1137"/>
      <c r="L101" s="1138"/>
      <c r="M101" s="1139"/>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08"/>
      <c r="Q102" s="1170"/>
      <c r="R102" s="1054"/>
      <c r="S102" s="1054"/>
      <c r="T102" s="1054"/>
      <c r="U102" s="1054"/>
      <c r="V102" s="1054"/>
      <c r="W102" s="1054"/>
      <c r="X102" s="1054"/>
      <c r="Y102" s="1054"/>
      <c r="Z102" s="1054"/>
      <c r="AA102" s="1054"/>
      <c r="AB102" s="1054"/>
      <c r="AC102" s="1054"/>
    </row>
    <row r="103" ht="15.75" spans="1:29">
      <c r="A103" s="984"/>
      <c r="B103" s="1182" t="s">
        <v>1502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08"/>
      <c r="Q103" s="1170"/>
      <c r="R103" s="1054"/>
      <c r="S103" s="1054"/>
      <c r="T103" s="1054"/>
      <c r="U103" s="1054"/>
      <c r="V103" s="1054"/>
      <c r="W103" s="1054"/>
      <c r="X103" s="1054"/>
      <c r="Y103" s="1054"/>
      <c r="Z103" s="1054"/>
      <c r="AA103" s="1054"/>
      <c r="AB103" s="1054"/>
      <c r="AC103" s="1054"/>
    </row>
    <row r="104" s="922" customFormat="1" ht="15" spans="1:29">
      <c r="A104" s="1028"/>
      <c r="B104" s="1210"/>
      <c r="C104" s="1211"/>
      <c r="D104" s="1211"/>
      <c r="E104" s="1211"/>
      <c r="F104" s="1211"/>
      <c r="G104" s="1211"/>
      <c r="H104" s="1211"/>
      <c r="I104" s="1211"/>
      <c r="J104" s="1245"/>
      <c r="K104" s="1245"/>
      <c r="L104" s="1246"/>
      <c r="M104" s="1247"/>
      <c r="N104" s="1222"/>
      <c r="O104" s="1222"/>
      <c r="P104" s="1709"/>
      <c r="Q104" s="1252"/>
      <c r="R104" s="1112"/>
      <c r="S104" s="1112"/>
      <c r="T104" s="1112"/>
      <c r="U104" s="1112"/>
      <c r="V104" s="1112"/>
      <c r="W104" s="1112"/>
      <c r="X104" s="1112"/>
      <c r="Y104" s="1112"/>
      <c r="Z104" s="1112"/>
      <c r="AA104" s="1112"/>
      <c r="AB104" s="1112"/>
      <c r="AC104" s="1112"/>
    </row>
    <row r="105" s="922" customFormat="1" ht="15.75" spans="1:29">
      <c r="A105" s="1190"/>
      <c r="B105" s="1184"/>
      <c r="C105" s="1193"/>
      <c r="D105" s="1085"/>
      <c r="E105" s="1085"/>
      <c r="F105" s="1085"/>
      <c r="G105" s="1085"/>
      <c r="H105" s="1085"/>
      <c r="I105" s="1085"/>
      <c r="J105" s="1085"/>
      <c r="K105" s="1085"/>
      <c r="L105" s="1085"/>
      <c r="M105" s="1142"/>
      <c r="N105" s="1143"/>
      <c r="O105" s="1143"/>
      <c r="P105" s="1709"/>
      <c r="Q105" s="1252"/>
      <c r="R105" s="1112"/>
      <c r="S105" s="1112"/>
      <c r="T105" s="1112"/>
      <c r="U105" s="1112"/>
      <c r="V105" s="1112"/>
      <c r="W105" s="1112"/>
      <c r="X105" s="1112"/>
      <c r="Y105" s="1112"/>
      <c r="Z105" s="1112"/>
      <c r="AA105" s="1112"/>
      <c r="AB105" s="1112"/>
      <c r="AC105" s="1112"/>
    </row>
    <row r="106" ht="15.75" spans="1:29">
      <c r="A106" s="1030"/>
      <c r="B106" s="1182" t="s">
        <v>1503</v>
      </c>
      <c r="C106" s="1191"/>
      <c r="D106" s="1191"/>
      <c r="E106" s="1183"/>
      <c r="F106" s="1183"/>
      <c r="G106" s="1183"/>
      <c r="H106" s="1183"/>
      <c r="I106" s="1183"/>
      <c r="J106" s="1183"/>
      <c r="K106" s="1213"/>
      <c r="L106" s="1214"/>
      <c r="M106" s="1215"/>
      <c r="N106" s="1140"/>
      <c r="O106" s="1140"/>
      <c r="P106" s="1708"/>
      <c r="Q106" s="1170"/>
      <c r="R106" s="1054"/>
      <c r="S106" s="1054"/>
      <c r="T106" s="1054"/>
      <c r="U106" s="1054"/>
      <c r="V106" s="1054"/>
      <c r="W106" s="1054"/>
      <c r="X106" s="1054"/>
      <c r="Y106" s="1054"/>
      <c r="Z106" s="1054"/>
      <c r="AA106" s="1054"/>
      <c r="AB106" s="1054"/>
      <c r="AC106" s="1054"/>
    </row>
    <row r="107" ht="15.75" spans="1:29">
      <c r="A107" s="984"/>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08"/>
      <c r="Q107" s="1170"/>
      <c r="R107" s="1054"/>
      <c r="S107" s="1054"/>
      <c r="T107" s="1054"/>
      <c r="U107" s="1054"/>
      <c r="V107" s="1054"/>
      <c r="W107" s="1054"/>
      <c r="X107" s="1054"/>
      <c r="Y107" s="1054"/>
      <c r="Z107" s="1054"/>
      <c r="AA107" s="1054"/>
      <c r="AB107" s="1054"/>
      <c r="AC107" s="1054"/>
    </row>
    <row r="108" ht="15.75" spans="1:29">
      <c r="A108" s="1030"/>
      <c r="B108" s="1182" t="s">
        <v>1505</v>
      </c>
      <c r="C108" s="1191"/>
      <c r="D108" s="1191"/>
      <c r="E108" s="1191"/>
      <c r="F108" s="1183"/>
      <c r="G108" s="1183"/>
      <c r="H108" s="1183"/>
      <c r="I108" s="1183"/>
      <c r="J108" s="1183"/>
      <c r="K108" s="1213"/>
      <c r="L108" s="1214"/>
      <c r="M108" s="1215"/>
      <c r="N108" s="1140"/>
      <c r="O108" s="1140"/>
      <c r="P108" s="1708"/>
      <c r="Q108" s="1170"/>
      <c r="R108" s="1054"/>
      <c r="S108" s="1054"/>
      <c r="T108" s="1054"/>
      <c r="U108" s="1054"/>
      <c r="V108" s="1054"/>
      <c r="W108" s="1054"/>
      <c r="X108" s="1054"/>
      <c r="Y108" s="1054"/>
      <c r="Z108" s="1054"/>
      <c r="AA108" s="1054"/>
      <c r="AB108" s="1054"/>
      <c r="AC108" s="1054"/>
    </row>
    <row r="109" ht="15.75" spans="1:29">
      <c r="A109" s="984"/>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08"/>
      <c r="Q109" s="1170"/>
      <c r="R109" s="1054"/>
      <c r="S109" s="1054"/>
      <c r="T109" s="1054"/>
      <c r="U109" s="1054"/>
      <c r="V109" s="1054"/>
      <c r="W109" s="1054"/>
      <c r="X109" s="1054"/>
      <c r="Y109" s="1054"/>
      <c r="Z109" s="1054"/>
      <c r="AA109" s="1054"/>
      <c r="AB109" s="1054"/>
      <c r="AC109" s="1054"/>
    </row>
    <row r="110" ht="15.75" spans="1:29">
      <c r="A110" s="1030"/>
      <c r="B110" s="1182" t="s">
        <v>634</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08"/>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08"/>
      <c r="Q111" s="1170"/>
      <c r="R111" s="1054"/>
      <c r="S111" s="1054"/>
      <c r="T111" s="1054"/>
      <c r="U111" s="1054"/>
      <c r="V111" s="1054"/>
      <c r="W111" s="1054"/>
      <c r="X111" s="1054"/>
      <c r="Y111" s="1054"/>
      <c r="Z111" s="1054"/>
      <c r="AA111" s="1054"/>
      <c r="AB111" s="1054"/>
      <c r="AC111" s="1054"/>
    </row>
    <row r="112" ht="15.75" spans="1:29">
      <c r="A112" s="984"/>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08"/>
      <c r="Q112" s="1170"/>
      <c r="R112" s="1054"/>
      <c r="S112" s="1054"/>
      <c r="T112" s="1054"/>
      <c r="U112" s="1054"/>
      <c r="V112" s="1054"/>
      <c r="W112" s="1054"/>
      <c r="X112" s="1054"/>
      <c r="Y112" s="1054"/>
      <c r="Z112" s="1054"/>
      <c r="AA112" s="1054"/>
      <c r="AB112" s="1054"/>
      <c r="AC112" s="1054"/>
    </row>
    <row r="113" s="922" customFormat="1" ht="15.75" spans="1:29">
      <c r="A113" s="1028"/>
      <c r="B113" s="1182" t="s">
        <v>1605</v>
      </c>
      <c r="C113" s="1191"/>
      <c r="D113" s="1191"/>
      <c r="E113" s="1191"/>
      <c r="F113" s="1191"/>
      <c r="G113" s="1191"/>
      <c r="H113" s="1183"/>
      <c r="I113" s="1183"/>
      <c r="J113" s="1183"/>
      <c r="K113" s="1213"/>
      <c r="L113" s="1214"/>
      <c r="M113" s="1215"/>
      <c r="N113" s="1222"/>
      <c r="O113" s="1222"/>
      <c r="P113" s="1709"/>
      <c r="Q113" s="1252"/>
      <c r="R113" s="1112"/>
      <c r="S113" s="1112"/>
      <c r="T113" s="1112"/>
      <c r="U113" s="1112"/>
      <c r="V113" s="1112"/>
      <c r="W113" s="1112"/>
      <c r="X113" s="1112"/>
      <c r="Y113" s="1112"/>
      <c r="Z113" s="1112"/>
      <c r="AA113" s="1112"/>
      <c r="AB113" s="1112"/>
      <c r="AC113" s="1112"/>
    </row>
    <row r="114" s="922"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09"/>
      <c r="Q114" s="1252"/>
      <c r="R114" s="1112"/>
      <c r="S114" s="1112"/>
      <c r="T114" s="1112"/>
      <c r="U114" s="1112"/>
      <c r="V114" s="1112"/>
      <c r="W114" s="1112"/>
      <c r="X114" s="1112"/>
      <c r="Y114" s="1112"/>
      <c r="Z114" s="1112"/>
      <c r="AA114" s="1112"/>
      <c r="AB114" s="1112"/>
      <c r="AC114" s="1112"/>
    </row>
    <row r="115" ht="15.75" spans="1:29">
      <c r="A115" s="1030"/>
      <c r="B115" s="1182" t="s">
        <v>1506</v>
      </c>
      <c r="C115" s="1191"/>
      <c r="D115" s="1191"/>
      <c r="E115" s="1183"/>
      <c r="F115" s="1183"/>
      <c r="G115" s="1183"/>
      <c r="H115" s="1183"/>
      <c r="I115" s="1183"/>
      <c r="J115" s="1183"/>
      <c r="K115" s="1213"/>
      <c r="L115" s="1214"/>
      <c r="M115" s="1215"/>
      <c r="N115" s="1140"/>
      <c r="O115" s="1140"/>
      <c r="P115" s="1708"/>
      <c r="Q115" s="1170"/>
      <c r="R115" s="1054"/>
      <c r="S115" s="1054"/>
      <c r="T115" s="1054"/>
      <c r="U115" s="1054"/>
      <c r="V115" s="1054"/>
      <c r="W115" s="1054"/>
      <c r="X115" s="1054"/>
      <c r="Y115" s="1054"/>
      <c r="Z115" s="1054"/>
      <c r="AA115" s="1054"/>
      <c r="AB115" s="1054"/>
      <c r="AC115" s="1054"/>
    </row>
    <row r="116" ht="15.75" spans="1:29">
      <c r="A116" s="984"/>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08"/>
      <c r="Q116" s="1170"/>
      <c r="R116" s="1054"/>
      <c r="S116" s="1054"/>
      <c r="T116" s="1054"/>
      <c r="U116" s="1054"/>
      <c r="V116" s="1054"/>
      <c r="W116" s="1054"/>
      <c r="X116" s="1054"/>
      <c r="Y116" s="1054"/>
      <c r="Z116" s="1054"/>
      <c r="AA116" s="1054"/>
      <c r="AB116" s="1054"/>
      <c r="AC116" s="1054"/>
    </row>
    <row r="117" ht="15.75" spans="1:29">
      <c r="A117" s="1030"/>
      <c r="B117" s="1182" t="s">
        <v>1507</v>
      </c>
      <c r="C117" s="1191"/>
      <c r="D117" s="1191"/>
      <c r="E117" s="1191"/>
      <c r="F117" s="1191"/>
      <c r="G117" s="1191"/>
      <c r="H117" s="1183"/>
      <c r="I117" s="1183"/>
      <c r="J117" s="1183"/>
      <c r="K117" s="1213"/>
      <c r="L117" s="1214"/>
      <c r="M117" s="1215"/>
      <c r="N117" s="1140"/>
      <c r="O117" s="1140"/>
      <c r="P117" s="1708"/>
      <c r="Q117" s="1170"/>
      <c r="R117" s="1054"/>
      <c r="S117" s="1054"/>
      <c r="T117" s="1054"/>
      <c r="U117" s="1054"/>
      <c r="V117" s="1054"/>
      <c r="W117" s="1054"/>
      <c r="X117" s="1054"/>
      <c r="Y117" s="1054"/>
      <c r="Z117" s="1054"/>
      <c r="AA117" s="1054"/>
      <c r="AB117" s="1054"/>
      <c r="AC117" s="1054"/>
    </row>
    <row r="118" ht="15.75" spans="1:29">
      <c r="A118" s="984"/>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08"/>
      <c r="Q118" s="1170"/>
      <c r="R118" s="1054"/>
      <c r="S118" s="1054"/>
      <c r="T118" s="1054"/>
      <c r="U118" s="1054"/>
      <c r="V118" s="1054"/>
      <c r="W118" s="1054"/>
      <c r="X118" s="1054"/>
      <c r="Y118" s="1054"/>
      <c r="Z118" s="1054"/>
      <c r="AA118" s="1054"/>
      <c r="AB118" s="1054"/>
      <c r="AC118" s="1054"/>
    </row>
    <row r="119" ht="15.75" spans="1:29">
      <c r="A119" s="1030"/>
      <c r="B119" s="1660" t="s">
        <v>1607</v>
      </c>
      <c r="C119" s="1183"/>
      <c r="D119" s="1183"/>
      <c r="E119" s="1183"/>
      <c r="F119" s="1183"/>
      <c r="G119" s="1183"/>
      <c r="H119" s="1183"/>
      <c r="I119" s="1183"/>
      <c r="J119" s="1183"/>
      <c r="K119" s="1183"/>
      <c r="L119" s="1776"/>
      <c r="M119" s="1777"/>
      <c r="N119" s="1143"/>
      <c r="O119" s="1143"/>
      <c r="P119" s="1716"/>
      <c r="Q119" s="1667"/>
      <c r="R119" s="1054"/>
      <c r="S119" s="1054"/>
      <c r="T119" s="1054"/>
      <c r="U119" s="1054"/>
      <c r="V119" s="1054"/>
      <c r="W119" s="1054"/>
      <c r="X119" s="1054"/>
      <c r="Y119" s="1054"/>
      <c r="Z119" s="1054"/>
      <c r="AA119" s="1054"/>
      <c r="AB119" s="1054"/>
      <c r="AC119" s="1054"/>
    </row>
    <row r="120" ht="15.75" spans="1:29">
      <c r="A120" s="984"/>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08"/>
      <c r="Q120" s="1170"/>
      <c r="R120" s="1054"/>
      <c r="S120" s="1054"/>
      <c r="T120" s="1054"/>
      <c r="U120" s="1054"/>
      <c r="V120" s="1054"/>
      <c r="W120" s="1054"/>
      <c r="X120" s="1054"/>
      <c r="Y120" s="1054"/>
      <c r="Z120" s="1054"/>
      <c r="AA120" s="1054"/>
      <c r="AB120" s="1054"/>
      <c r="AC120" s="1054"/>
    </row>
    <row r="121" s="922" customFormat="1" ht="15.75" spans="1:29">
      <c r="A121" s="1028"/>
      <c r="B121" s="1182" t="s">
        <v>1578</v>
      </c>
      <c r="C121" s="1191"/>
      <c r="D121" s="1191"/>
      <c r="E121" s="1191"/>
      <c r="F121" s="1183"/>
      <c r="G121" s="1192"/>
      <c r="H121" s="1192"/>
      <c r="I121" s="1192"/>
      <c r="J121" s="1192"/>
      <c r="K121" s="1192"/>
      <c r="L121" s="1220"/>
      <c r="M121" s="1221"/>
      <c r="N121" s="1222"/>
      <c r="O121" s="1222"/>
      <c r="P121" s="1709"/>
      <c r="Q121" s="1252"/>
      <c r="R121" s="1112"/>
      <c r="S121" s="1112"/>
      <c r="T121" s="1112"/>
      <c r="U121" s="1112"/>
      <c r="V121" s="1112"/>
      <c r="W121" s="1112"/>
      <c r="X121" s="1112"/>
      <c r="Y121" s="1112"/>
      <c r="Z121" s="1112"/>
      <c r="AA121" s="1112"/>
      <c r="AB121" s="1112"/>
      <c r="AC121" s="1112"/>
    </row>
    <row r="122" s="922" customFormat="1" ht="15.75" spans="1:29">
      <c r="A122" s="1190"/>
      <c r="B122" s="1084"/>
      <c r="C122" s="1193"/>
      <c r="D122" s="1193"/>
      <c r="E122" s="1193"/>
      <c r="F122" s="1193"/>
      <c r="G122" s="1193"/>
      <c r="H122" s="1193"/>
      <c r="I122" s="1193"/>
      <c r="J122" s="1193"/>
      <c r="K122" s="1193"/>
      <c r="L122" s="1193"/>
      <c r="M122" s="1193"/>
      <c r="N122" s="1222"/>
      <c r="O122" s="1222"/>
      <c r="P122" s="1709"/>
      <c r="Q122" s="1252"/>
      <c r="R122" s="1112"/>
      <c r="S122" s="1112"/>
      <c r="T122" s="1112"/>
      <c r="U122" s="1112"/>
      <c r="V122" s="1112"/>
      <c r="W122" s="1112"/>
      <c r="X122" s="1112"/>
      <c r="Y122" s="1112"/>
      <c r="Z122" s="1112"/>
      <c r="AA122" s="1112"/>
      <c r="AB122" s="1112"/>
      <c r="AC122" s="1112"/>
    </row>
    <row r="123" ht="15.75" spans="1:29">
      <c r="A123" s="1030"/>
      <c r="B123" s="1182" t="s">
        <v>1510</v>
      </c>
      <c r="C123" s="1191"/>
      <c r="D123" s="1191"/>
      <c r="E123" s="1191"/>
      <c r="F123" s="1183"/>
      <c r="G123" s="1183"/>
      <c r="H123" s="1183"/>
      <c r="I123" s="1183"/>
      <c r="J123" s="1183"/>
      <c r="K123" s="1213"/>
      <c r="L123" s="1214"/>
      <c r="M123" s="1215"/>
      <c r="N123" s="1140"/>
      <c r="O123" s="1140"/>
      <c r="P123" s="1708"/>
      <c r="Q123" s="1170"/>
      <c r="R123" s="1054"/>
      <c r="S123" s="1054"/>
      <c r="T123" s="1054"/>
      <c r="U123" s="1054"/>
      <c r="V123" s="1054"/>
      <c r="W123" s="1054"/>
      <c r="X123" s="1054"/>
      <c r="Y123" s="1054"/>
      <c r="Z123" s="1054"/>
      <c r="AA123" s="1054"/>
      <c r="AB123" s="1054"/>
      <c r="AC123" s="1054"/>
    </row>
    <row r="124" ht="15.75" spans="1:29">
      <c r="A124" s="984"/>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08"/>
      <c r="Q124" s="1170"/>
      <c r="R124" s="1054"/>
      <c r="S124" s="1054"/>
      <c r="T124" s="1054"/>
      <c r="U124" s="1054"/>
      <c r="V124" s="1054"/>
      <c r="W124" s="1054"/>
      <c r="X124" s="1054"/>
      <c r="Y124" s="1054"/>
      <c r="Z124" s="1054"/>
      <c r="AA124" s="1054"/>
      <c r="AB124" s="1054"/>
      <c r="AC124" s="1054"/>
    </row>
    <row r="125" ht="15.75" spans="1:29">
      <c r="A125" s="1030"/>
      <c r="B125" s="1182" t="s">
        <v>1511</v>
      </c>
      <c r="C125" s="1201" t="s">
        <v>1523</v>
      </c>
      <c r="D125" s="1201" t="s">
        <v>1524</v>
      </c>
      <c r="E125" s="1201" t="s">
        <v>1525</v>
      </c>
      <c r="F125" s="1201" t="s">
        <v>1526</v>
      </c>
      <c r="G125" s="1201" t="s">
        <v>1527</v>
      </c>
      <c r="H125" s="1202"/>
      <c r="I125" s="1202"/>
      <c r="J125" s="1202"/>
      <c r="K125" s="1234"/>
      <c r="L125" s="1235"/>
      <c r="M125" s="1236"/>
      <c r="N125" s="1140"/>
      <c r="O125" s="1140"/>
      <c r="P125" s="1709"/>
      <c r="Q125" s="1170"/>
      <c r="R125" s="1054"/>
      <c r="S125" s="1054"/>
      <c r="T125" s="1054"/>
      <c r="U125" s="1054"/>
      <c r="V125" s="1054"/>
      <c r="W125" s="1054"/>
      <c r="X125" s="1054"/>
      <c r="Y125" s="1054"/>
      <c r="Z125" s="1054"/>
      <c r="AA125" s="1054"/>
      <c r="AB125" s="1054"/>
      <c r="AC125" s="1054"/>
    </row>
    <row r="126" ht="15.75" spans="1:29">
      <c r="A126" s="984"/>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08"/>
      <c r="Q126" s="1170"/>
      <c r="R126" s="1054"/>
      <c r="S126" s="1054"/>
      <c r="T126" s="1054"/>
      <c r="U126" s="1054"/>
      <c r="V126" s="1054"/>
      <c r="W126" s="1054"/>
      <c r="X126" s="1054"/>
      <c r="Y126" s="1054"/>
      <c r="Z126" s="1054"/>
      <c r="AA126" s="1054"/>
      <c r="AB126" s="1054"/>
      <c r="AC126" s="1054"/>
    </row>
    <row r="127" s="922" customFormat="1" ht="15.75" spans="1:29">
      <c r="A127" s="1028"/>
      <c r="B127" s="1182">
        <f>B45</f>
        <v>111</v>
      </c>
      <c r="C127" s="1191"/>
      <c r="D127" s="1191"/>
      <c r="E127" s="1191"/>
      <c r="F127" s="1191"/>
      <c r="G127" s="1191"/>
      <c r="H127" s="1192"/>
      <c r="I127" s="1192"/>
      <c r="J127" s="1192"/>
      <c r="K127" s="1192"/>
      <c r="L127" s="1220"/>
      <c r="M127" s="1221"/>
      <c r="N127" s="1222"/>
      <c r="O127" s="1222"/>
      <c r="P127" s="1709"/>
      <c r="Q127" s="1252"/>
      <c r="R127" s="1112"/>
      <c r="S127" s="1112"/>
      <c r="T127" s="1112"/>
      <c r="U127" s="1112"/>
      <c r="V127" s="1112"/>
      <c r="W127" s="1112"/>
      <c r="X127" s="1112"/>
      <c r="Y127" s="1112"/>
      <c r="Z127" s="1112"/>
      <c r="AA127" s="1112"/>
      <c r="AB127" s="1112"/>
      <c r="AC127" s="1112"/>
    </row>
    <row r="128" s="922" customFormat="1" ht="15.75" spans="1:29">
      <c r="A128" s="1190"/>
      <c r="B128" s="1184"/>
      <c r="C128" s="1193"/>
      <c r="D128" s="1085"/>
      <c r="E128" s="1085"/>
      <c r="F128" s="1085"/>
      <c r="G128" s="1193"/>
      <c r="H128" s="1194"/>
      <c r="I128" s="1194"/>
      <c r="J128" s="1194"/>
      <c r="K128" s="1194"/>
      <c r="L128" s="1194"/>
      <c r="M128" s="1225"/>
      <c r="N128" s="1222"/>
      <c r="O128" s="1222"/>
      <c r="P128" s="1709"/>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08"/>
      <c r="Q129" s="1170"/>
      <c r="R129" s="1054"/>
      <c r="S129" s="1054"/>
      <c r="T129" s="1054"/>
      <c r="U129" s="1054"/>
      <c r="V129" s="1054"/>
      <c r="W129" s="1054"/>
      <c r="X129" s="1054"/>
      <c r="Y129" s="1054"/>
      <c r="Z129" s="1054"/>
      <c r="AA129" s="1054"/>
      <c r="AB129" s="1054"/>
      <c r="AC129" s="1054"/>
    </row>
    <row r="130" ht="15.75" spans="1:29">
      <c r="A130" s="984"/>
      <c r="B130" s="1184"/>
      <c r="C130" s="1193"/>
      <c r="D130" s="1193"/>
      <c r="E130" s="1193"/>
      <c r="F130" s="1193"/>
      <c r="G130" s="1085"/>
      <c r="H130" s="1085"/>
      <c r="I130" s="1085"/>
      <c r="J130" s="1085"/>
      <c r="K130" s="1085"/>
      <c r="L130" s="1085"/>
      <c r="M130" s="1142"/>
      <c r="N130" s="1143"/>
      <c r="O130" s="1143"/>
      <c r="P130" s="1708"/>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08"/>
      <c r="Q131" s="1170"/>
      <c r="R131" s="1054"/>
      <c r="S131" s="1054"/>
      <c r="T131" s="1054"/>
      <c r="U131" s="1054"/>
      <c r="V131" s="1054"/>
      <c r="W131" s="1054"/>
      <c r="X131" s="1054"/>
      <c r="Y131" s="1054"/>
      <c r="Z131" s="1054"/>
      <c r="AA131" s="1054"/>
      <c r="AB131" s="1054"/>
      <c r="AC131" s="1054"/>
    </row>
    <row r="132" ht="15.75" spans="1:29">
      <c r="A132" s="992"/>
      <c r="B132" s="1197"/>
      <c r="C132" s="1198"/>
      <c r="D132" s="1198"/>
      <c r="E132" s="1198"/>
      <c r="F132" s="1198"/>
      <c r="G132" s="1208"/>
      <c r="H132" s="1208"/>
      <c r="I132" s="1208"/>
      <c r="J132" s="1208"/>
      <c r="K132" s="1208"/>
      <c r="L132" s="1208"/>
      <c r="M132" s="1243"/>
      <c r="N132" s="1143"/>
      <c r="O132" s="1143"/>
      <c r="P132" s="1708"/>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1608</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IF(E1="项目模式",IF(C2="——",ROUND(C43*D3/10000,0),ROUND(C43*D3/10000,0)-D2),IF(E1="单套模式",IF(C2="——",ROUND(C43*D3/10000,4),ROUND(C43*D3/10000,4)-D2)))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943"/>
      <c r="L2" s="1719"/>
      <c r="M2" s="1145"/>
      <c r="N2" s="1145"/>
      <c r="O2" s="1145"/>
      <c r="P2" s="1504"/>
      <c r="Q2" s="1504"/>
      <c r="R2" s="1504"/>
      <c r="S2" s="1504"/>
      <c r="T2" s="1504"/>
      <c r="U2" s="1504"/>
      <c r="V2" s="1504"/>
      <c r="W2" s="1504"/>
      <c r="X2" s="1504"/>
      <c r="Y2" s="1504"/>
      <c r="Z2" s="1504"/>
      <c r="AA2" s="1504"/>
      <c r="AB2" s="1504"/>
      <c r="AC2" s="1603"/>
    </row>
    <row r="3" s="919" customFormat="1" ht="28.5" customHeight="1" spans="1:29">
      <c r="A3" s="352" t="s">
        <v>987</v>
      </c>
      <c r="B3" s="944">
        <f ca="1">IF(C2="——",C43,ROUND(B2*10000/D3,0))</f>
        <v>0</v>
      </c>
      <c r="C3" s="945" t="s">
        <v>1465</v>
      </c>
      <c r="D3" s="946">
        <f>IF(D1="",'数据-汇总表'!E3,SUMIF('数据-汇总表'!$C19:$C33,D1,'数据-汇总表'!$E19:$E33))</f>
        <v>349.48</v>
      </c>
      <c r="E3" s="943"/>
      <c r="F3" s="948"/>
      <c r="G3" s="943"/>
      <c r="H3" s="943"/>
      <c r="I3" s="943"/>
      <c r="J3" s="943"/>
      <c r="K3" s="1092"/>
      <c r="L3" s="1719"/>
      <c r="M3" s="1145"/>
      <c r="N3" s="1145"/>
      <c r="O3" s="1145"/>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720"/>
      <c r="M4" s="1576"/>
      <c r="N4" s="1576"/>
      <c r="O4" s="1576"/>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720"/>
      <c r="M5" s="1576"/>
      <c r="N5" s="1576"/>
      <c r="O5" s="1576"/>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720"/>
      <c r="M6" s="1576"/>
      <c r="N6" s="1576"/>
      <c r="O6" s="1576"/>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SUMIF(52:52,YEAR(E7)&amp;"-"&amp;MONTH(E7),53:53)</f>
        <v>0</v>
      </c>
      <c r="G7" s="971"/>
      <c r="H7" s="970">
        <f>SUMIF(52:52,YEAR(G7)&amp;"-"&amp;MONTH(G7),53:53)</f>
        <v>0</v>
      </c>
      <c r="I7" s="971"/>
      <c r="J7" s="970">
        <f>SUMIF(52:52,YEAR(I7)&amp;"-"&amp;MONTH(I7),53:53)</f>
        <v>0</v>
      </c>
      <c r="K7" s="1096"/>
      <c r="L7" s="1721"/>
      <c r="M7" s="1722"/>
      <c r="N7" s="1722"/>
      <c r="O7" s="1722"/>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SUMIF(55:55,E8,56:56)-SUMIF(55:55,C8,56:56)+100</f>
        <v>100</v>
      </c>
      <c r="G8" s="973"/>
      <c r="H8" s="970">
        <f>SUMIF(55:55,G8,56:56)-SUMIF(55:55,C8,56:56)+100</f>
        <v>100</v>
      </c>
      <c r="I8" s="973"/>
      <c r="J8" s="970">
        <f>SUMIF(55:55,I8,56:56)-SUMIF(55:55,C8,56:56)+100</f>
        <v>100</v>
      </c>
      <c r="K8" s="1096"/>
      <c r="L8" s="1721"/>
      <c r="M8" s="1722"/>
      <c r="N8" s="1722"/>
      <c r="O8" s="1722"/>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0" si="3">D8/F8</f>
        <v>1</v>
      </c>
      <c r="AB8" s="1175">
        <f t="shared" ref="AB8:AB40" si="4">D8/H8</f>
        <v>1</v>
      </c>
      <c r="AC8" s="1175">
        <f t="shared" ref="AC8:AC40" si="5">D8/J8</f>
        <v>1</v>
      </c>
    </row>
    <row r="9" s="920" customFormat="1" spans="1:29">
      <c r="A9" s="974" t="s">
        <v>1484</v>
      </c>
      <c r="B9" s="975" t="s">
        <v>1485</v>
      </c>
      <c r="C9" s="1650"/>
      <c r="D9" s="977">
        <v>100</v>
      </c>
      <c r="E9" s="1651"/>
      <c r="F9" s="977">
        <f>SUMIF(57:57,E9,58:58)-SUMIF(57:57,C9,58:58)+100</f>
        <v>100</v>
      </c>
      <c r="G9" s="978"/>
      <c r="H9" s="977">
        <f>SUMIF(57:57,G9,58:58)-SUMIF(57:57,C9,58:58)+100</f>
        <v>100</v>
      </c>
      <c r="I9" s="978"/>
      <c r="J9" s="977">
        <f>SUMIF(57:57,I9,58:58)-SUMIF(57:57,C9,58:58)+100</f>
        <v>100</v>
      </c>
      <c r="K9" s="1096"/>
      <c r="L9" s="1721"/>
      <c r="M9" s="1722"/>
      <c r="N9" s="1722"/>
      <c r="O9" s="172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1"/>
      <c r="F10" s="982">
        <f>SUMIF(59:59,E10,60:60)-SUMIF(59:59,C10,60:60)+100</f>
        <v>100</v>
      </c>
      <c r="G10" s="983"/>
      <c r="H10" s="982">
        <f>SUMIF(59:59,G10,60:60)-SUMIF(59:59,C10,60:60)+100</f>
        <v>100</v>
      </c>
      <c r="I10" s="981"/>
      <c r="J10" s="982">
        <f>SUMIF(59:59,I10,60:60)-SUMIF(59:59,C10,60:60)+100</f>
        <v>100</v>
      </c>
      <c r="K10" s="1096"/>
      <c r="L10" s="1724"/>
      <c r="M10" s="1725"/>
      <c r="N10" s="1725"/>
      <c r="O10" s="1726"/>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5"/>
      <c r="F11" s="982">
        <f>LOOKUP(E11,62:62,63:63)-LOOKUP(C11,62:62,63:63)+100</f>
        <v>100</v>
      </c>
      <c r="G11" s="986"/>
      <c r="H11" s="982">
        <f>LOOKUP(G11,62:62,63:63)-LOOKUP(C11,62:62,63:63)+100</f>
        <v>100</v>
      </c>
      <c r="I11" s="985"/>
      <c r="J11" s="982">
        <f>LOOKUP(I11,62:62,63:63)-LOOKUP(C11,62:62,63:63)+100</f>
        <v>100</v>
      </c>
      <c r="K11" s="1103"/>
      <c r="L11" s="1727"/>
      <c r="M11" s="1576"/>
      <c r="N11" s="1576"/>
      <c r="O11" s="1728"/>
      <c r="P11" s="644"/>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2">
        <f>SUMIF(64:64,E12,65:65)-SUMIF(64:64,C12,65:65)+100</f>
        <v>100</v>
      </c>
      <c r="G12" s="1718"/>
      <c r="H12" s="982">
        <f>SUMIF(64:64,G12,65:65)-SUMIF(64:64,C12,65:65)+100</f>
        <v>100</v>
      </c>
      <c r="I12" s="1029"/>
      <c r="J12" s="982">
        <f>SUMIF(64:64,I12,65:65)-SUMIF(64:64,C12,65:65)+100</f>
        <v>100</v>
      </c>
      <c r="K12" s="1105"/>
      <c r="L12" s="1721"/>
      <c r="M12" s="1722"/>
      <c r="N12" s="1722"/>
      <c r="O12" s="172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2">
        <f>SUMIF(66:66,E13,67:67)-SUMIF(66:66,C13,67:67)+100</f>
        <v>100</v>
      </c>
      <c r="G13" s="1718"/>
      <c r="H13" s="780">
        <f>SUMIF(66:66,G13,67:67)-SUMIF(66:66,C13,67:67)+100</f>
        <v>100</v>
      </c>
      <c r="I13" s="1029"/>
      <c r="J13" s="780">
        <f>SUMIF(66:66,I13,67:67)-SUMIF(66:66,C13,67:67)+100</f>
        <v>100</v>
      </c>
      <c r="K13" s="1105"/>
      <c r="L13" s="1729"/>
      <c r="M13" s="1576"/>
      <c r="N13" s="1576"/>
      <c r="O13" s="1728"/>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5">
        <f>SUMIF(68:68,E14,69:69)-SUMIF(68:68,C14,69:69)+100</f>
        <v>100</v>
      </c>
      <c r="G14" s="1718"/>
      <c r="H14" s="995">
        <f>SUMIF(68:68,G14,69:69)-SUMIF(68:68,C14,69:69)+100</f>
        <v>100</v>
      </c>
      <c r="I14" s="1029"/>
      <c r="J14" s="995">
        <f>SUMIF(68:68,I14,69:69)-SUMIF(68:68,C14,69:69)+100</f>
        <v>100</v>
      </c>
      <c r="K14" s="1105"/>
      <c r="L14" s="1729"/>
      <c r="M14" s="1576"/>
      <c r="N14" s="1576"/>
      <c r="O14" s="1728"/>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998" t="s">
        <v>1609</v>
      </c>
      <c r="C15" s="1518" t="str">
        <f>估价对象房地状况!G3</f>
        <v>估价对象位于XX开发区，园区建设成熟度XX，产业集聚程度XX</v>
      </c>
      <c r="D15" s="1000">
        <v>100</v>
      </c>
      <c r="E15" s="1001"/>
      <c r="F15" s="1002">
        <f>SUMIF(70:70,E16,71:71)-SUMIF(70:70,C16,71:71)+100</f>
        <v>100</v>
      </c>
      <c r="G15" s="1003"/>
      <c r="H15" s="1000">
        <f>SUMIF(70:70,G16,71:71)-SUMIF(70:70,C16,71:71)+100</f>
        <v>100</v>
      </c>
      <c r="I15" s="1001"/>
      <c r="J15" s="1000">
        <f>SUMIF(70:70,I16,71:71)-SUMIF(70:70,C16,71:71)+100</f>
        <v>100</v>
      </c>
      <c r="K15" s="1107"/>
      <c r="L15" s="1729"/>
      <c r="M15" s="1576"/>
      <c r="N15" s="1576"/>
      <c r="O15" s="1728"/>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004"/>
      <c r="C16" s="1005"/>
      <c r="D16" s="1006"/>
      <c r="E16" s="1005"/>
      <c r="F16" s="1007"/>
      <c r="G16" s="1005"/>
      <c r="H16" s="1008"/>
      <c r="I16" s="1005"/>
      <c r="J16" s="1006"/>
      <c r="K16" s="1108"/>
      <c r="L16" s="1729"/>
      <c r="M16" s="1576"/>
      <c r="N16" s="1576"/>
      <c r="O16" s="1728"/>
      <c r="P16" s="1177"/>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估价对象房地状况!G4</f>
        <v>估价对象周边道路状况、公共交通通达情况、停车便捷程度，综合评价交通便捷度较好</v>
      </c>
      <c r="D17" s="1008">
        <v>100</v>
      </c>
      <c r="E17" s="1011"/>
      <c r="F17" s="1012">
        <f>SUMIF(72:72,E18,73:73)-SUMIF(72:72,C18,73:73)+100</f>
        <v>100</v>
      </c>
      <c r="G17" s="1013"/>
      <c r="H17" s="1014">
        <f>SUMIF(72:72,G18,73:73)-SUMIF(72:72,C18,73:73)+100</f>
        <v>100</v>
      </c>
      <c r="I17" s="1011"/>
      <c r="J17" s="1014">
        <f>SUMIF(72:72,I18,73:73)-SUMIF(72:72,C18,73:73)+100</f>
        <v>100</v>
      </c>
      <c r="K17" s="1107"/>
      <c r="L17" s="1729"/>
      <c r="M17" s="1576"/>
      <c r="N17" s="1576"/>
      <c r="O17" s="1728"/>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28"/>
      <c r="F18" s="1012"/>
      <c r="G18" s="1633"/>
      <c r="H18" s="1006"/>
      <c r="I18" s="1628"/>
      <c r="J18" s="1006"/>
      <c r="K18" s="1108"/>
      <c r="L18" s="1729"/>
      <c r="M18" s="1576"/>
      <c r="N18" s="1576"/>
      <c r="O18" s="1728"/>
      <c r="P18" s="1177"/>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估价对象房地状况!G5</f>
        <v>估价对象所在区域公共配套设施齐备情况</v>
      </c>
      <c r="D19" s="1014">
        <v>100</v>
      </c>
      <c r="E19" s="1017"/>
      <c r="F19" s="1018">
        <f>SUMIF(74:74,E20,75:75)-SUMIF(74:74,C20,75:75)+100</f>
        <v>100</v>
      </c>
      <c r="G19" s="1019"/>
      <c r="H19" s="1008">
        <f>SUMIF(74:74,G20,75:75)-SUMIF(74:74,C20,75:75)+100</f>
        <v>100</v>
      </c>
      <c r="I19" s="1017"/>
      <c r="J19" s="1008">
        <f>SUMIF(74:74,I20,75:75)-SUMIF(74:74,C20,75:75)+100</f>
        <v>100</v>
      </c>
      <c r="K19" s="1107"/>
      <c r="L19" s="1729"/>
      <c r="M19" s="1576"/>
      <c r="N19" s="1576"/>
      <c r="O19" s="1728"/>
      <c r="P19" s="1177"/>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22"/>
      <c r="F20" s="1007"/>
      <c r="G20" s="1588"/>
      <c r="H20" s="1006"/>
      <c r="I20" s="1522"/>
      <c r="J20" s="1006"/>
      <c r="K20" s="1108"/>
      <c r="L20" s="1729"/>
      <c r="M20" s="1576"/>
      <c r="N20" s="1576"/>
      <c r="O20" s="1728"/>
      <c r="P20" s="1177"/>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估价对象房地状况!G6</f>
        <v>估价对象所在区域基础设施水平</v>
      </c>
      <c r="D21" s="1008">
        <v>100</v>
      </c>
      <c r="E21" s="1017"/>
      <c r="F21" s="1018">
        <f>SUMIF(76:76,E22,77:77)-SUMIF(76:76,C22,77:77)+100</f>
        <v>100</v>
      </c>
      <c r="G21" s="1019"/>
      <c r="H21" s="1008">
        <f>SUMIF(76:76,G22,77:77)-SUMIF(76:76,C22,77:77)+100</f>
        <v>100</v>
      </c>
      <c r="I21" s="1017"/>
      <c r="J21" s="1008">
        <f>SUMIF(76:76,I22,77:77)-SUMIF(76:76,C22,77:77)+100</f>
        <v>100</v>
      </c>
      <c r="K21" s="1107"/>
      <c r="L21" s="1729"/>
      <c r="M21" s="1576"/>
      <c r="N21" s="1576"/>
      <c r="O21" s="1728"/>
      <c r="P21" s="1177"/>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7"/>
      <c r="G22" s="1005"/>
      <c r="H22" s="1006"/>
      <c r="I22" s="1005"/>
      <c r="J22" s="1006"/>
      <c r="K22" s="1110"/>
      <c r="L22" s="1729"/>
      <c r="M22" s="1576"/>
      <c r="N22" s="1576"/>
      <c r="O22" s="1728"/>
      <c r="P22" s="1177"/>
      <c r="Q22" s="644"/>
      <c r="R22" s="1162"/>
      <c r="S22" s="1163"/>
      <c r="T22" s="1162"/>
      <c r="U22" s="1163"/>
      <c r="V22" s="1162"/>
      <c r="W22" s="1163"/>
      <c r="X22" s="1150"/>
      <c r="Y22" s="1177"/>
      <c r="Z22" s="1149"/>
      <c r="AA22" s="1149">
        <v>1</v>
      </c>
      <c r="AB22" s="1149">
        <v>1</v>
      </c>
      <c r="AC22" s="1149">
        <v>1</v>
      </c>
    </row>
    <row r="23" ht="67.5" spans="1:29">
      <c r="A23" s="984"/>
      <c r="B23" s="1009" t="s">
        <v>1603</v>
      </c>
      <c r="C23" s="1010" t="str">
        <f>估价对象房地状况!G7</f>
        <v>该园区内是否有污染型企业，绿化情况，卫生条件，整体环境状况判断</v>
      </c>
      <c r="D23" s="1008">
        <v>100</v>
      </c>
      <c r="E23" s="1011"/>
      <c r="F23" s="1012">
        <f>SUMIF(78:78,E24,79:79)-SUMIF(78:78,C24,79:79)+100</f>
        <v>100</v>
      </c>
      <c r="G23" s="1013"/>
      <c r="H23" s="1008">
        <f>SUMIF(78:78,G24,79:79)-SUMIF(78:78,C24,79:79)+100</f>
        <v>100</v>
      </c>
      <c r="I23" s="1011"/>
      <c r="J23" s="1008">
        <f>SUMIF(78:78,I24,79:79)-SUMIF(78:78,C24,79:79)+100</f>
        <v>100</v>
      </c>
      <c r="K23" s="1107"/>
      <c r="L23" s="1729"/>
      <c r="M23" s="1576"/>
      <c r="N23" s="1576"/>
      <c r="O23" s="1728"/>
      <c r="P23" s="1177"/>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149">
        <f t="shared" si="5"/>
        <v>1</v>
      </c>
    </row>
    <row r="24" ht="15" spans="1:29">
      <c r="A24" s="984"/>
      <c r="B24" s="1020"/>
      <c r="C24" s="1005"/>
      <c r="D24" s="1006"/>
      <c r="E24" s="1522"/>
      <c r="F24" s="1007"/>
      <c r="G24" s="1588"/>
      <c r="H24" s="1006"/>
      <c r="I24" s="1522"/>
      <c r="J24" s="1006"/>
      <c r="K24" s="1108"/>
      <c r="L24" s="1729"/>
      <c r="M24" s="1576"/>
      <c r="N24" s="1576"/>
      <c r="O24" s="1728"/>
      <c r="P24" s="1177"/>
      <c r="Q24" s="644"/>
      <c r="R24" s="1162"/>
      <c r="S24" s="1163"/>
      <c r="T24" s="1162"/>
      <c r="U24" s="1163"/>
      <c r="V24" s="1162"/>
      <c r="W24" s="1163"/>
      <c r="X24" s="1150"/>
      <c r="Y24" s="1177"/>
      <c r="Z24" s="1149"/>
      <c r="AA24" s="1149">
        <v>1</v>
      </c>
      <c r="AB24" s="1149">
        <v>1</v>
      </c>
      <c r="AC24" s="1149">
        <v>1</v>
      </c>
    </row>
    <row r="25" ht="15" spans="1:29">
      <c r="A25" s="955"/>
      <c r="B25" s="1023">
        <v>111</v>
      </c>
      <c r="C25" s="991">
        <v>111</v>
      </c>
      <c r="D25" s="780">
        <v>100</v>
      </c>
      <c r="E25" s="991"/>
      <c r="F25" s="1022">
        <f>SUMIF(80:80,E25,81:81)-SUMIF(80:80,C25,81:81)+100</f>
        <v>100</v>
      </c>
      <c r="G25" s="991"/>
      <c r="H25" s="780">
        <f>SUMIF(80:80,G25,81:81)-SUMIF(80:80,C25,81:81)+100</f>
        <v>100</v>
      </c>
      <c r="I25" s="991"/>
      <c r="J25" s="780">
        <f>SUMIF(80:80,I25,81:81)-SUMIF(80:80,C25,81:81)+100</f>
        <v>100</v>
      </c>
      <c r="K25" s="1105"/>
      <c r="L25" s="1729"/>
      <c r="M25" s="1576"/>
      <c r="N25" s="1576"/>
      <c r="O25" s="1728"/>
      <c r="P25" s="1177"/>
      <c r="Q25" s="644">
        <f>B25</f>
        <v>111</v>
      </c>
      <c r="R25" s="1162" t="s">
        <v>1481</v>
      </c>
      <c r="S25" s="1163">
        <f>F25</f>
        <v>100</v>
      </c>
      <c r="T25" s="1162" t="s">
        <v>1481</v>
      </c>
      <c r="U25" s="1163">
        <f>H25</f>
        <v>100</v>
      </c>
      <c r="V25" s="1162" t="s">
        <v>1481</v>
      </c>
      <c r="W25" s="1163">
        <f>J25</f>
        <v>100</v>
      </c>
      <c r="X25" s="1150"/>
      <c r="Y25" s="1177"/>
      <c r="Z25" s="1149">
        <f>Q25</f>
        <v>111</v>
      </c>
      <c r="AA25" s="1149">
        <f t="shared" si="3"/>
        <v>1</v>
      </c>
      <c r="AB25" s="1149">
        <f t="shared" si="4"/>
        <v>1</v>
      </c>
      <c r="AC25" s="1149">
        <f t="shared" si="5"/>
        <v>1</v>
      </c>
    </row>
    <row r="26" ht="15" spans="1:29">
      <c r="A26" s="984"/>
      <c r="B26" s="1023">
        <v>111</v>
      </c>
      <c r="C26" s="991">
        <v>111</v>
      </c>
      <c r="D26" s="780">
        <v>100</v>
      </c>
      <c r="E26" s="991"/>
      <c r="F26" s="1022">
        <f>SUMIF(82:82,E26,83:83)-SUMIF(82:82,C26,83:83)+100</f>
        <v>100</v>
      </c>
      <c r="G26" s="991"/>
      <c r="H26" s="780">
        <f>SUMIF(82:82,G26,83:83)-SUMIF(82:82,C26,83:83)+100</f>
        <v>100</v>
      </c>
      <c r="I26" s="991"/>
      <c r="J26" s="780">
        <f>SUMIF(82:82,I26,83:83)-SUMIF(82:82,C26,83:83)+100</f>
        <v>100</v>
      </c>
      <c r="K26" s="1105"/>
      <c r="L26" s="1729"/>
      <c r="M26" s="1576"/>
      <c r="N26" s="1576"/>
      <c r="O26" s="1728"/>
      <c r="P26" s="1177"/>
      <c r="Q26" s="644">
        <f t="shared" ref="Q26:Q40" si="11">B26</f>
        <v>111</v>
      </c>
      <c r="R26" s="1162" t="s">
        <v>1481</v>
      </c>
      <c r="S26" s="1163">
        <f>F26</f>
        <v>100</v>
      </c>
      <c r="T26" s="1162" t="s">
        <v>1481</v>
      </c>
      <c r="U26" s="1163">
        <f>H26</f>
        <v>100</v>
      </c>
      <c r="V26" s="1162" t="s">
        <v>1481</v>
      </c>
      <c r="W26" s="1163">
        <f>J26</f>
        <v>100</v>
      </c>
      <c r="X26" s="1150"/>
      <c r="Y26" s="1177"/>
      <c r="Z26" s="1149">
        <f>Q26</f>
        <v>111</v>
      </c>
      <c r="AA26" s="1149">
        <f t="shared" si="3"/>
        <v>1</v>
      </c>
      <c r="AB26" s="1149">
        <f t="shared" si="4"/>
        <v>1</v>
      </c>
      <c r="AC26" s="1149">
        <f t="shared" si="5"/>
        <v>1</v>
      </c>
    </row>
    <row r="27" s="920" customFormat="1" ht="15" spans="1:29">
      <c r="A27" s="987"/>
      <c r="B27" s="1023">
        <v>111</v>
      </c>
      <c r="C27" s="991">
        <v>111</v>
      </c>
      <c r="D27" s="1026">
        <v>100</v>
      </c>
      <c r="E27" s="991"/>
      <c r="F27" s="1015">
        <f>SUMIF(84:84,E27,85:85)-SUMIF(84:84,C27,85:85)+100</f>
        <v>100</v>
      </c>
      <c r="G27" s="991"/>
      <c r="H27" s="1026">
        <f>SUMIF(84:84,G27,85:85)-SUMIF(84:84,C27,85:85)+100</f>
        <v>100</v>
      </c>
      <c r="I27" s="991"/>
      <c r="J27" s="1026">
        <f>SUMIF(84:84,I27,85:85)-SUMIF(84:84,C27,85:85)+100</f>
        <v>100</v>
      </c>
      <c r="K27" s="1105"/>
      <c r="L27" s="1721"/>
      <c r="M27" s="1722"/>
      <c r="N27" s="1722"/>
      <c r="O27" s="1723"/>
      <c r="P27" s="1177"/>
      <c r="Q27" s="815">
        <f t="shared" si="11"/>
        <v>111</v>
      </c>
      <c r="R27" s="1158" t="s">
        <v>1481</v>
      </c>
      <c r="S27" s="1159">
        <f>F27</f>
        <v>100</v>
      </c>
      <c r="T27" s="1158" t="s">
        <v>1481</v>
      </c>
      <c r="U27" s="1159">
        <f>H27</f>
        <v>100</v>
      </c>
      <c r="V27" s="1158" t="s">
        <v>1481</v>
      </c>
      <c r="W27" s="1159">
        <f>J27</f>
        <v>100</v>
      </c>
      <c r="X27" s="1160"/>
      <c r="Y27" s="1177"/>
      <c r="Z27" s="1175">
        <f>Q27</f>
        <v>111</v>
      </c>
      <c r="AA27" s="1149">
        <f t="shared" si="3"/>
        <v>1</v>
      </c>
      <c r="AB27" s="1149">
        <f t="shared" si="4"/>
        <v>1</v>
      </c>
      <c r="AC27" s="1149">
        <f t="shared" si="5"/>
        <v>1</v>
      </c>
    </row>
    <row r="28" ht="15.75" spans="1:29">
      <c r="A28" s="992"/>
      <c r="B28" s="1023">
        <v>111</v>
      </c>
      <c r="C28" s="994">
        <v>111</v>
      </c>
      <c r="D28" s="995">
        <v>100</v>
      </c>
      <c r="E28" s="991"/>
      <c r="F28" s="996">
        <f>SUMIF(86:86,E28,87:87)-SUMIF(86:86,C28,87:87)+100</f>
        <v>100</v>
      </c>
      <c r="G28" s="1029"/>
      <c r="H28" s="995">
        <f>SUMIF(86:86,G28,87:87)-SUMIF(86:86,C28,87:87)+100</f>
        <v>100</v>
      </c>
      <c r="I28" s="1029"/>
      <c r="J28" s="995">
        <f>SUMIF(86:86,I28,87:87)-SUMIF(86:86,C28,87:87)+100</f>
        <v>100</v>
      </c>
      <c r="K28" s="1105"/>
      <c r="L28" s="1729"/>
      <c r="M28" s="1576"/>
      <c r="N28" s="1576"/>
      <c r="O28" s="1728"/>
      <c r="P28" s="1177"/>
      <c r="Q28" s="644">
        <f t="shared" si="11"/>
        <v>111</v>
      </c>
      <c r="R28" s="1162" t="s">
        <v>1481</v>
      </c>
      <c r="S28" s="1163">
        <f t="shared" ref="S28:S40" si="12">F28</f>
        <v>100</v>
      </c>
      <c r="T28" s="1162" t="s">
        <v>1481</v>
      </c>
      <c r="U28" s="1163">
        <f t="shared" ref="U28:U40" si="13">H28</f>
        <v>100</v>
      </c>
      <c r="V28" s="1162" t="s">
        <v>1481</v>
      </c>
      <c r="W28" s="1163">
        <f t="shared" ref="W28:W40" si="14">J28</f>
        <v>100</v>
      </c>
      <c r="X28" s="1150"/>
      <c r="Y28" s="1177"/>
      <c r="Z28" s="1149">
        <f t="shared" ref="Z28:Z40" si="15">Q28</f>
        <v>111</v>
      </c>
      <c r="AA28" s="1149">
        <f t="shared" si="3"/>
        <v>1</v>
      </c>
      <c r="AB28" s="1149">
        <f t="shared" si="4"/>
        <v>1</v>
      </c>
      <c r="AC28" s="1149">
        <f t="shared" si="5"/>
        <v>1</v>
      </c>
    </row>
    <row r="29" ht="28.5" spans="1:29">
      <c r="A29" s="1654" t="s">
        <v>1499</v>
      </c>
      <c r="B29" s="975" t="s">
        <v>1500</v>
      </c>
      <c r="C29" s="1027"/>
      <c r="D29" s="952">
        <v>100</v>
      </c>
      <c r="E29" s="1027"/>
      <c r="F29" s="1022">
        <f>SUMIF(88:88,E29,89:89)-SUMIF(88:88,C29,89:89)+100</f>
        <v>100</v>
      </c>
      <c r="G29" s="1027"/>
      <c r="H29" s="780">
        <f>SUMIF(88:88,G29,89:89)-SUMIF(88:88,C29,89:89)+100</f>
        <v>100</v>
      </c>
      <c r="I29" s="1027"/>
      <c r="J29" s="952">
        <f>SUMIF(88:88,I29,89:89)-SUMIF(88:88,C29,89:89)+100</f>
        <v>100</v>
      </c>
      <c r="K29" s="1103"/>
      <c r="L29" s="1729"/>
      <c r="M29" s="1576"/>
      <c r="N29" s="1576"/>
      <c r="O29" s="1728"/>
      <c r="P29" s="1590" t="s">
        <v>1501</v>
      </c>
      <c r="Q29" s="644" t="str">
        <f t="shared" si="11"/>
        <v>建筑类型</v>
      </c>
      <c r="R29" s="1162" t="s">
        <v>1481</v>
      </c>
      <c r="S29" s="1163">
        <f t="shared" si="12"/>
        <v>100</v>
      </c>
      <c r="T29" s="1162" t="s">
        <v>1481</v>
      </c>
      <c r="U29" s="1163">
        <f t="shared" si="13"/>
        <v>100</v>
      </c>
      <c r="V29" s="1162" t="s">
        <v>1481</v>
      </c>
      <c r="W29" s="1163">
        <f t="shared" si="14"/>
        <v>100</v>
      </c>
      <c r="X29" s="1150"/>
      <c r="Y29" s="1178" t="s">
        <v>1501</v>
      </c>
      <c r="Z29" s="1149" t="str">
        <f t="shared" si="15"/>
        <v>建筑类型</v>
      </c>
      <c r="AA29" s="1149">
        <f t="shared" si="3"/>
        <v>1</v>
      </c>
      <c r="AB29" s="1149">
        <f t="shared" si="4"/>
        <v>1</v>
      </c>
      <c r="AC29" s="1149">
        <f t="shared" si="5"/>
        <v>1</v>
      </c>
    </row>
    <row r="30" s="922" customFormat="1" ht="15" spans="1:29">
      <c r="A30" s="1028"/>
      <c r="B30" s="980" t="s">
        <v>1502</v>
      </c>
      <c r="C30" s="1029"/>
      <c r="D30" s="982">
        <v>100</v>
      </c>
      <c r="E30" s="986"/>
      <c r="F30" s="980" t="e">
        <f>LOOKUP(E30,91:91,92:92)-LOOKUP(C30,91:91,92:92)+100</f>
        <v>#N/A</v>
      </c>
      <c r="G30" s="985"/>
      <c r="H30" s="982" t="e">
        <f>LOOKUP(G30,91:91,92:92)-LOOKUP(C30,91:91,92:92)+100</f>
        <v>#N/A</v>
      </c>
      <c r="I30" s="985"/>
      <c r="J30" s="982" t="e">
        <f>LOOKUP(I30,91:91,92:92)-LOOKUP(C30,91:91,92:92)+100</f>
        <v>#N/A</v>
      </c>
      <c r="K30" s="1105"/>
      <c r="L30" s="1727"/>
      <c r="M30" s="1730"/>
      <c r="N30" s="1730"/>
      <c r="O30" s="1731"/>
      <c r="P30" s="1178"/>
      <c r="Q30" s="1164" t="str">
        <f t="shared" si="11"/>
        <v>项目建筑规模</v>
      </c>
      <c r="R30" s="1165" t="s">
        <v>1481</v>
      </c>
      <c r="S30" s="1166" t="e">
        <f t="shared" si="12"/>
        <v>#N/A</v>
      </c>
      <c r="T30" s="1165" t="s">
        <v>1481</v>
      </c>
      <c r="U30" s="1166" t="e">
        <f t="shared" si="13"/>
        <v>#N/A</v>
      </c>
      <c r="V30" s="1165" t="s">
        <v>1481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0" t="s">
        <v>1503</v>
      </c>
      <c r="C31" s="1031"/>
      <c r="D31" s="780">
        <v>100</v>
      </c>
      <c r="E31" s="1031"/>
      <c r="F31" s="1022">
        <f>SUMIF(93:93,E31,94:94)-SUMIF(93:93,C31,94:94)+100</f>
        <v>100</v>
      </c>
      <c r="G31" s="1031"/>
      <c r="H31" s="780">
        <f>SUMIF(93:93,G31,94:94)-SUMIF(93:93,C31,94:94)+100</f>
        <v>100</v>
      </c>
      <c r="I31" s="1031"/>
      <c r="J31" s="780">
        <f>SUMIF(93:93,I31,94:94)-SUMIF(93:93,C31,94:94)+100</f>
        <v>100</v>
      </c>
      <c r="K31" s="1103"/>
      <c r="L31" s="1729"/>
      <c r="M31" s="1576"/>
      <c r="N31" s="1576"/>
      <c r="O31" s="1728"/>
      <c r="P31" s="1178"/>
      <c r="Q31" s="644" t="str">
        <f t="shared" si="11"/>
        <v>建筑结构</v>
      </c>
      <c r="R31" s="1162" t="s">
        <v>1481</v>
      </c>
      <c r="S31" s="1163">
        <f t="shared" si="12"/>
        <v>100</v>
      </c>
      <c r="T31" s="1162" t="s">
        <v>1481</v>
      </c>
      <c r="U31" s="1163">
        <f t="shared" si="13"/>
        <v>100</v>
      </c>
      <c r="V31" s="1162" t="s">
        <v>1481</v>
      </c>
      <c r="W31" s="1163">
        <f t="shared" si="14"/>
        <v>100</v>
      </c>
      <c r="X31" s="1150"/>
      <c r="Y31" s="1178"/>
      <c r="Z31" s="1149" t="str">
        <f t="shared" si="15"/>
        <v>建筑结构</v>
      </c>
      <c r="AA31" s="1149">
        <f t="shared" si="3"/>
        <v>1</v>
      </c>
      <c r="AB31" s="1149">
        <f t="shared" si="4"/>
        <v>1</v>
      </c>
      <c r="AC31" s="1149">
        <f t="shared" si="5"/>
        <v>1</v>
      </c>
    </row>
    <row r="32" ht="15" spans="1:29">
      <c r="A32" s="1030"/>
      <c r="B32" s="980" t="s">
        <v>1505</v>
      </c>
      <c r="C32" s="1031"/>
      <c r="D32" s="780">
        <v>100</v>
      </c>
      <c r="E32" s="1031"/>
      <c r="F32" s="1022">
        <f>SUMIF(95:95,E32,96:96)-SUMIF(95:95,C32,96:96)+100</f>
        <v>100</v>
      </c>
      <c r="G32" s="1031"/>
      <c r="H32" s="780">
        <f>SUMIF(95:95,G32,96:96)-SUMIF(95:95,C32,96:96)+100</f>
        <v>100</v>
      </c>
      <c r="I32" s="1031"/>
      <c r="J32" s="780">
        <f>SUMIF(95:95,I32,96:96)-SUMIF(95:95,C32,96:96)+100</f>
        <v>100</v>
      </c>
      <c r="K32" s="1103"/>
      <c r="L32" s="1729"/>
      <c r="M32" s="1576"/>
      <c r="N32" s="1576"/>
      <c r="O32" s="1728"/>
      <c r="P32" s="1178"/>
      <c r="Q32" s="644" t="str">
        <f t="shared" si="11"/>
        <v>公共部分装修</v>
      </c>
      <c r="R32" s="1162" t="s">
        <v>1481</v>
      </c>
      <c r="S32" s="1163">
        <f t="shared" si="12"/>
        <v>100</v>
      </c>
      <c r="T32" s="1162" t="s">
        <v>1481</v>
      </c>
      <c r="U32" s="1163">
        <f t="shared" si="13"/>
        <v>100</v>
      </c>
      <c r="V32" s="1162" t="s">
        <v>1481</v>
      </c>
      <c r="W32" s="1163">
        <f t="shared" si="14"/>
        <v>100</v>
      </c>
      <c r="X32" s="1150"/>
      <c r="Y32" s="1178"/>
      <c r="Z32" s="1149" t="str">
        <f t="shared" si="15"/>
        <v>公共部分装修</v>
      </c>
      <c r="AA32" s="1149">
        <f t="shared" si="3"/>
        <v>1</v>
      </c>
      <c r="AB32" s="1149">
        <f t="shared" si="4"/>
        <v>1</v>
      </c>
      <c r="AC32" s="1149">
        <f t="shared" si="5"/>
        <v>1</v>
      </c>
    </row>
    <row r="33" ht="15" spans="1:29">
      <c r="A33" s="1030"/>
      <c r="B33" s="980" t="s">
        <v>634</v>
      </c>
      <c r="C33" s="1029"/>
      <c r="D33" s="780">
        <v>100</v>
      </c>
      <c r="E33" s="1033"/>
      <c r="F33" s="1022" t="e">
        <f>LOOKUP(E33,98:98,99:99)-LOOKUP(C33,98:98,99:99)+100</f>
        <v>#N/A</v>
      </c>
      <c r="G33" s="1033"/>
      <c r="H33" s="1022" t="e">
        <f>LOOKUP(G33,98:98,99:99)-LOOKUP(C33,98:98,99:99)+100</f>
        <v>#N/A</v>
      </c>
      <c r="I33" s="1033"/>
      <c r="J33" s="780" t="e">
        <f>LOOKUP(I33,98:98,99:99)-LOOKUP(C33,98:98,99:99)+100</f>
        <v>#N/A</v>
      </c>
      <c r="K33" s="1103"/>
      <c r="L33" s="1729"/>
      <c r="M33" s="1576"/>
      <c r="N33" s="1576"/>
      <c r="O33" s="1728"/>
      <c r="P33" s="1178"/>
      <c r="Q33" s="644" t="str">
        <f t="shared" si="11"/>
        <v>成新度</v>
      </c>
      <c r="R33" s="1162" t="s">
        <v>1481</v>
      </c>
      <c r="S33" s="1163" t="e">
        <f t="shared" si="12"/>
        <v>#N/A</v>
      </c>
      <c r="T33" s="1162" t="s">
        <v>1481</v>
      </c>
      <c r="U33" s="1163" t="e">
        <f t="shared" si="13"/>
        <v>#N/A</v>
      </c>
      <c r="V33" s="1162" t="s">
        <v>1481</v>
      </c>
      <c r="W33" s="1163" t="e">
        <f t="shared" si="14"/>
        <v>#N/A</v>
      </c>
      <c r="X33" s="1150"/>
      <c r="Y33" s="1178"/>
      <c r="Z33" s="1149" t="str">
        <f t="shared" si="15"/>
        <v>成新度</v>
      </c>
      <c r="AA33" s="1149" t="e">
        <f t="shared" si="3"/>
        <v>#N/A</v>
      </c>
      <c r="AB33" s="1149" t="e">
        <f t="shared" si="4"/>
        <v>#N/A</v>
      </c>
      <c r="AC33" s="1149" t="e">
        <f t="shared" si="5"/>
        <v>#N/A</v>
      </c>
    </row>
    <row r="34" s="920" customFormat="1" ht="15" spans="1:29">
      <c r="A34" s="1034"/>
      <c r="B34" s="980" t="s">
        <v>1506</v>
      </c>
      <c r="C34" s="1031"/>
      <c r="D34" s="982">
        <v>100</v>
      </c>
      <c r="E34" s="1031"/>
      <c r="F34" s="1022">
        <f>SUMIF(100:100,E34,101:101)-SUMIF(100:100,C34,101:101)+100</f>
        <v>100</v>
      </c>
      <c r="G34" s="1031"/>
      <c r="H34" s="780">
        <f>SUMIF(100:100,G34,101:101)-SUMIF(100:100,C34,101:101)+100</f>
        <v>100</v>
      </c>
      <c r="I34" s="1031"/>
      <c r="J34" s="780">
        <f>SUMIF(100:100,I34,101:101)-SUMIF(100:100,C34,101:101)+100</f>
        <v>100</v>
      </c>
      <c r="K34" s="1103"/>
      <c r="L34" s="1721"/>
      <c r="M34" s="1722"/>
      <c r="N34" s="1722"/>
      <c r="O34" s="1723"/>
      <c r="P34" s="1178"/>
      <c r="Q34" s="815" t="str">
        <f t="shared" si="11"/>
        <v>物业管理</v>
      </c>
      <c r="R34" s="1158" t="s">
        <v>1481</v>
      </c>
      <c r="S34" s="1159">
        <f t="shared" si="12"/>
        <v>100</v>
      </c>
      <c r="T34" s="1158" t="s">
        <v>1481</v>
      </c>
      <c r="U34" s="1159">
        <f t="shared" si="13"/>
        <v>100</v>
      </c>
      <c r="V34" s="1158" t="s">
        <v>1481</v>
      </c>
      <c r="W34" s="1159">
        <f t="shared" si="14"/>
        <v>100</v>
      </c>
      <c r="X34" s="1160"/>
      <c r="Y34" s="1178"/>
      <c r="Z34" s="1175" t="str">
        <f t="shared" si="15"/>
        <v>物业管理</v>
      </c>
      <c r="AA34" s="1175">
        <f t="shared" si="3"/>
        <v>1</v>
      </c>
      <c r="AB34" s="1175">
        <f t="shared" si="4"/>
        <v>1</v>
      </c>
      <c r="AC34" s="1175">
        <f t="shared" si="5"/>
        <v>1</v>
      </c>
    </row>
    <row r="35" ht="15" spans="1:29">
      <c r="A35" s="1030"/>
      <c r="B35" s="980" t="s">
        <v>1507</v>
      </c>
      <c r="C35" s="1031"/>
      <c r="D35" s="780">
        <v>100</v>
      </c>
      <c r="E35" s="1031"/>
      <c r="F35" s="1022">
        <f>SUMIF(102:102,E35,103:103)-SUMIF(102:102,C35,103:103)+100</f>
        <v>100</v>
      </c>
      <c r="G35" s="1031"/>
      <c r="H35" s="780">
        <f>SUMIF(102:102,G35,103:103)-SUMIF(102:102,C35,103:103)+100</f>
        <v>100</v>
      </c>
      <c r="I35" s="1031"/>
      <c r="J35" s="780">
        <f>SUMIF(102:102,I35,103:103)-SUMIF(102:102,C35,103:103)+100</f>
        <v>100</v>
      </c>
      <c r="K35" s="1103"/>
      <c r="L35" s="1729"/>
      <c r="M35" s="1576"/>
      <c r="N35" s="1576"/>
      <c r="O35" s="1728"/>
      <c r="P35" s="1178" t="s">
        <v>1501</v>
      </c>
      <c r="Q35" s="644" t="str">
        <f t="shared" si="11"/>
        <v>市政基础设施</v>
      </c>
      <c r="R35" s="1162" t="s">
        <v>1481</v>
      </c>
      <c r="S35" s="1163">
        <f t="shared" si="12"/>
        <v>100</v>
      </c>
      <c r="T35" s="1162" t="s">
        <v>1481</v>
      </c>
      <c r="U35" s="1163">
        <f t="shared" si="13"/>
        <v>100</v>
      </c>
      <c r="V35" s="1162" t="s">
        <v>1481</v>
      </c>
      <c r="W35" s="1163">
        <f t="shared" si="14"/>
        <v>100</v>
      </c>
      <c r="X35" s="1150"/>
      <c r="Y35" s="1178" t="s">
        <v>1501</v>
      </c>
      <c r="Z35" s="1149" t="str">
        <f t="shared" si="15"/>
        <v>市政基础设施</v>
      </c>
      <c r="AA35" s="1149">
        <f t="shared" si="3"/>
        <v>1</v>
      </c>
      <c r="AB35" s="1149">
        <f t="shared" si="4"/>
        <v>1</v>
      </c>
      <c r="AC35" s="1149">
        <f t="shared" si="5"/>
        <v>1</v>
      </c>
    </row>
    <row r="36" ht="15" spans="1:29">
      <c r="A36" s="1030"/>
      <c r="B36" s="980" t="s">
        <v>1510</v>
      </c>
      <c r="C36" s="1031"/>
      <c r="D36" s="780">
        <v>100</v>
      </c>
      <c r="E36" s="1031"/>
      <c r="F36" s="1022">
        <f>SUMIF(104:104,E36,105:105)-SUMIF(104:104,C36,105:105)+100</f>
        <v>100</v>
      </c>
      <c r="G36" s="1031"/>
      <c r="H36" s="780">
        <f>SUMIF(104:104,G36,105:105)-SUMIF(104:104,C36,105:105)+100</f>
        <v>100</v>
      </c>
      <c r="I36" s="1031"/>
      <c r="J36" s="780">
        <f>SUMIF(104:104,I36,105:105)-SUMIF(104:104,C36,105:105)+100</f>
        <v>100</v>
      </c>
      <c r="K36" s="1103"/>
      <c r="L36" s="1729"/>
      <c r="M36" s="1576"/>
      <c r="N36" s="1576"/>
      <c r="O36" s="1728"/>
      <c r="P36" s="1178"/>
      <c r="Q36" s="644" t="str">
        <f t="shared" si="11"/>
        <v>内部装修</v>
      </c>
      <c r="R36" s="1162" t="s">
        <v>1481</v>
      </c>
      <c r="S36" s="1163">
        <f t="shared" si="12"/>
        <v>100</v>
      </c>
      <c r="T36" s="1162" t="s">
        <v>1481</v>
      </c>
      <c r="U36" s="1163">
        <f t="shared" si="13"/>
        <v>100</v>
      </c>
      <c r="V36" s="1162" t="s">
        <v>1481</v>
      </c>
      <c r="W36" s="1163">
        <f t="shared" si="14"/>
        <v>100</v>
      </c>
      <c r="X36" s="1150"/>
      <c r="Y36" s="1178"/>
      <c r="Z36" s="1149" t="str">
        <f t="shared" si="15"/>
        <v>内部装修</v>
      </c>
      <c r="AA36" s="1149">
        <f t="shared" si="3"/>
        <v>1</v>
      </c>
      <c r="AB36" s="1149">
        <f t="shared" si="4"/>
        <v>1</v>
      </c>
      <c r="AC36" s="1149">
        <f t="shared" si="5"/>
        <v>1</v>
      </c>
    </row>
    <row r="37" ht="15" spans="1:29">
      <c r="A37" s="1030"/>
      <c r="B37" s="980" t="s">
        <v>1610</v>
      </c>
      <c r="C37" s="1021"/>
      <c r="D37" s="780">
        <v>100</v>
      </c>
      <c r="E37" s="1021"/>
      <c r="F37" s="1022">
        <f>SUMIF(106:106,E37,107:107)-SUMIF(106:106,C37,107:107)+100</f>
        <v>100</v>
      </c>
      <c r="G37" s="1021"/>
      <c r="H37" s="780">
        <f>SUMIF(106:106,G37,107:107)-SUMIF(106:106,C37,107:107)+100</f>
        <v>100</v>
      </c>
      <c r="I37" s="1021"/>
      <c r="J37" s="780">
        <f>SUMIF(106:106,I37,107:107)-SUMIF(106:106,C37,107:107)+100</f>
        <v>100</v>
      </c>
      <c r="K37" s="1103"/>
      <c r="L37" s="1729"/>
      <c r="M37" s="1576"/>
      <c r="N37" s="1576"/>
      <c r="O37" s="1728"/>
      <c r="P37" s="1178"/>
      <c r="Q37" s="644" t="str">
        <f t="shared" si="11"/>
        <v>内部装修状况</v>
      </c>
      <c r="R37" s="1162" t="s">
        <v>1481</v>
      </c>
      <c r="S37" s="1163">
        <f t="shared" si="12"/>
        <v>100</v>
      </c>
      <c r="T37" s="1162" t="s">
        <v>1481</v>
      </c>
      <c r="U37" s="1163">
        <f t="shared" si="13"/>
        <v>100</v>
      </c>
      <c r="V37" s="1162" t="s">
        <v>1481</v>
      </c>
      <c r="W37" s="1163">
        <f t="shared" si="14"/>
        <v>100</v>
      </c>
      <c r="X37" s="1150"/>
      <c r="Y37" s="1178"/>
      <c r="Z37" s="1149" t="str">
        <f t="shared" si="15"/>
        <v>内部装修状况</v>
      </c>
      <c r="AA37" s="1149">
        <f t="shared" si="3"/>
        <v>1</v>
      </c>
      <c r="AB37" s="1149">
        <f t="shared" si="4"/>
        <v>1</v>
      </c>
      <c r="AC37" s="1149">
        <f t="shared" si="5"/>
        <v>1</v>
      </c>
    </row>
    <row r="38" s="922" customFormat="1" ht="15" spans="1:29">
      <c r="A38" s="1028"/>
      <c r="B38" s="1023">
        <v>111</v>
      </c>
      <c r="C38" s="1029"/>
      <c r="D38" s="780">
        <v>100</v>
      </c>
      <c r="E38" s="991"/>
      <c r="F38" s="1022">
        <f>SUMIF(108:108,E38,109:109)-SUMIF(108:108,C38,109:109)+100</f>
        <v>100</v>
      </c>
      <c r="G38" s="1029"/>
      <c r="H38" s="780">
        <f>SUMIF(108:108,G38,109:109)-SUMIF(108:108,C38,109:109)+100</f>
        <v>100</v>
      </c>
      <c r="I38" s="1029"/>
      <c r="J38" s="780">
        <f>SUMIF(108:108,I38,109:1038)-SUMIF(108:108,C38,109:109)+100</f>
        <v>100</v>
      </c>
      <c r="K38" s="1105"/>
      <c r="L38" s="1727"/>
      <c r="M38" s="1730"/>
      <c r="N38" s="1730"/>
      <c r="O38" s="1731"/>
      <c r="P38" s="1178"/>
      <c r="Q38" s="1164">
        <f t="shared" si="11"/>
        <v>111</v>
      </c>
      <c r="R38" s="1165" t="s">
        <v>1481</v>
      </c>
      <c r="S38" s="1166">
        <f t="shared" si="12"/>
        <v>100</v>
      </c>
      <c r="T38" s="1165" t="s">
        <v>1481</v>
      </c>
      <c r="U38" s="1166">
        <f t="shared" si="13"/>
        <v>100</v>
      </c>
      <c r="V38" s="1165" t="s">
        <v>1481</v>
      </c>
      <c r="W38" s="1166">
        <f t="shared" si="14"/>
        <v>100</v>
      </c>
      <c r="X38" s="1167"/>
      <c r="Y38" s="1178"/>
      <c r="Z38" s="1179">
        <f t="shared" si="15"/>
        <v>111</v>
      </c>
      <c r="AA38" s="1149">
        <f t="shared" si="3"/>
        <v>1</v>
      </c>
      <c r="AB38" s="1149">
        <f t="shared" si="4"/>
        <v>1</v>
      </c>
      <c r="AC38" s="1149">
        <f t="shared" si="5"/>
        <v>1</v>
      </c>
    </row>
    <row r="39" ht="15" spans="1:29">
      <c r="A39" s="1030"/>
      <c r="B39" s="1023">
        <v>111</v>
      </c>
      <c r="C39" s="1029"/>
      <c r="D39" s="780">
        <v>100</v>
      </c>
      <c r="E39" s="991"/>
      <c r="F39" s="1022">
        <f>SUMIF(110:110,E39,111:111)-SUMIF(110:110,C39,111:111)+100</f>
        <v>100</v>
      </c>
      <c r="G39" s="1029"/>
      <c r="H39" s="780">
        <f>SUMIF(110:110,G39,111:111)-SUMIF(110:110,C39,111:111)+100</f>
        <v>100</v>
      </c>
      <c r="I39" s="1029"/>
      <c r="J39" s="780">
        <f>SUMIF(110:110,I39,111:111)-SUMIF(110:110,C39,111:111)+100</f>
        <v>100</v>
      </c>
      <c r="K39" s="1105"/>
      <c r="L39" s="1729"/>
      <c r="M39" s="1576"/>
      <c r="N39" s="1576"/>
      <c r="O39" s="1728"/>
      <c r="P39" s="1178"/>
      <c r="Q39" s="644">
        <f t="shared" si="11"/>
        <v>111</v>
      </c>
      <c r="R39" s="1162" t="s">
        <v>1481</v>
      </c>
      <c r="S39" s="1163">
        <f t="shared" si="12"/>
        <v>100</v>
      </c>
      <c r="T39" s="1162" t="s">
        <v>1481</v>
      </c>
      <c r="U39" s="1163">
        <f t="shared" si="13"/>
        <v>100</v>
      </c>
      <c r="V39" s="1162" t="s">
        <v>1481</v>
      </c>
      <c r="W39" s="1163">
        <f t="shared" si="14"/>
        <v>100</v>
      </c>
      <c r="X39" s="1150"/>
      <c r="Y39" s="1178"/>
      <c r="Z39" s="1149">
        <f t="shared" si="15"/>
        <v>111</v>
      </c>
      <c r="AA39" s="1149">
        <f t="shared" si="3"/>
        <v>1</v>
      </c>
      <c r="AB39" s="1149">
        <f t="shared" si="4"/>
        <v>1</v>
      </c>
      <c r="AC39" s="1149">
        <f t="shared" si="5"/>
        <v>1</v>
      </c>
    </row>
    <row r="40" ht="15.75" spans="1:29">
      <c r="A40" s="1037"/>
      <c r="B40" s="993">
        <v>111</v>
      </c>
      <c r="C40" s="994"/>
      <c r="D40" s="995">
        <v>100</v>
      </c>
      <c r="E40" s="991"/>
      <c r="F40" s="996">
        <f>SUMIF(112:112,E40,113:113)-SUMIF(112:112,C40,113:113)+100</f>
        <v>100</v>
      </c>
      <c r="G40" s="1029"/>
      <c r="H40" s="995">
        <f>SUMIF(112:112,G40,113:113)-SUMIF(112:112,C40,113:113)+100</f>
        <v>100</v>
      </c>
      <c r="I40" s="1029"/>
      <c r="J40" s="995">
        <f>SUMIF(112:112,I40,113:113)-SUMIF(112:112,C40,113:113)+100</f>
        <v>100</v>
      </c>
      <c r="K40" s="1105"/>
      <c r="L40" s="1729"/>
      <c r="M40" s="1576"/>
      <c r="N40" s="1576"/>
      <c r="O40" s="1728"/>
      <c r="P40" s="1180"/>
      <c r="Q40" s="644">
        <f t="shared" si="11"/>
        <v>111</v>
      </c>
      <c r="R40" s="1162" t="s">
        <v>1481</v>
      </c>
      <c r="S40" s="1163">
        <f t="shared" si="12"/>
        <v>100</v>
      </c>
      <c r="T40" s="1162" t="s">
        <v>1481</v>
      </c>
      <c r="U40" s="1163">
        <f t="shared" si="13"/>
        <v>100</v>
      </c>
      <c r="V40" s="1162" t="s">
        <v>1481</v>
      </c>
      <c r="W40" s="1163">
        <f t="shared" si="14"/>
        <v>100</v>
      </c>
      <c r="X40" s="1150"/>
      <c r="Y40" s="1180"/>
      <c r="Z40" s="1149">
        <f t="shared" si="15"/>
        <v>111</v>
      </c>
      <c r="AA40" s="1149">
        <f t="shared" si="3"/>
        <v>1</v>
      </c>
      <c r="AB40" s="1149">
        <f t="shared" si="4"/>
        <v>1</v>
      </c>
      <c r="AC40" s="1149">
        <f t="shared" si="5"/>
        <v>1</v>
      </c>
    </row>
    <row r="41" ht="15" spans="1:29">
      <c r="A41" s="1038" t="s">
        <v>1512</v>
      </c>
      <c r="B41" s="1039"/>
      <c r="C41" s="1040" t="s">
        <v>124</v>
      </c>
      <c r="D41" s="1041"/>
      <c r="E41" s="1042"/>
      <c r="F41" s="1043"/>
      <c r="G41" s="1044"/>
      <c r="H41" s="1045"/>
      <c r="I41" s="1042"/>
      <c r="J41" s="1045"/>
      <c r="K41" s="1115"/>
      <c r="L41" s="1732"/>
      <c r="M41" s="1576"/>
      <c r="N41" s="1576"/>
      <c r="O41" s="1576"/>
      <c r="P41" s="644" t="str">
        <f>A41</f>
        <v>成交单价（元/平方米）</v>
      </c>
      <c r="Q41" s="644"/>
      <c r="R41" s="1149">
        <f>E41</f>
        <v>0</v>
      </c>
      <c r="S41" s="1149"/>
      <c r="T41" s="1149">
        <f>G41</f>
        <v>0</v>
      </c>
      <c r="U41" s="1149"/>
      <c r="V41" s="1149">
        <f>I41</f>
        <v>0</v>
      </c>
      <c r="W41" s="1149"/>
      <c r="X41" s="1004"/>
      <c r="Y41" s="1181"/>
      <c r="Z41" s="1004"/>
      <c r="AA41" s="1004"/>
      <c r="AB41" s="1004"/>
      <c r="AC41" s="1004"/>
    </row>
    <row r="42" ht="15.75" spans="1:29">
      <c r="A42" s="1046" t="s">
        <v>1513</v>
      </c>
      <c r="B42" s="1047"/>
      <c r="C42" s="1048" t="e">
        <f>R43</f>
        <v>#DIV/0!</v>
      </c>
      <c r="D42" s="1049" t="s">
        <v>1514</v>
      </c>
      <c r="E42" s="1050" t="e">
        <f>R42</f>
        <v>#DIV/0!</v>
      </c>
      <c r="F42" s="1051"/>
      <c r="G42" s="1048" t="e">
        <f>T42</f>
        <v>#DIV/0!</v>
      </c>
      <c r="H42" s="1051"/>
      <c r="I42" s="1050" t="e">
        <f>V42</f>
        <v>#DIV/0!</v>
      </c>
      <c r="J42" s="1051"/>
      <c r="K42" s="1117">
        <f>F42+H42+J42</f>
        <v>0</v>
      </c>
      <c r="L42" s="1732"/>
      <c r="M42" s="1576"/>
      <c r="N42" s="1576"/>
      <c r="O42" s="1576"/>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4"/>
      <c r="Y42" s="1004"/>
      <c r="Z42" s="1004"/>
      <c r="AA42" s="1004"/>
      <c r="AB42" s="1004"/>
      <c r="AC42" s="1004"/>
    </row>
    <row r="43" ht="15.75" spans="1:29">
      <c r="A43" s="1052" t="s">
        <v>1515</v>
      </c>
      <c r="B43" s="1053"/>
      <c r="C43" s="962" t="e">
        <f>R43</f>
        <v>#DIV/0!</v>
      </c>
      <c r="D43" s="962"/>
      <c r="E43" s="962"/>
      <c r="F43" s="962"/>
      <c r="G43" s="962"/>
      <c r="H43" s="962"/>
      <c r="I43" s="962"/>
      <c r="J43" s="962"/>
      <c r="K43" s="1118"/>
      <c r="L43" s="1732"/>
      <c r="M43" s="1576"/>
      <c r="N43" s="1576"/>
      <c r="O43" s="1576"/>
      <c r="P43" s="1022"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4"/>
      <c r="Y43" s="1004"/>
      <c r="Z43" s="1004"/>
      <c r="AA43" s="1004"/>
      <c r="AB43" s="1004"/>
      <c r="AC43" s="1004"/>
    </row>
    <row r="44" spans="1:15">
      <c r="A44" s="1054"/>
      <c r="B44" s="1054"/>
      <c r="C44" s="1054"/>
      <c r="D44" s="1054"/>
      <c r="E44" s="1054"/>
      <c r="F44" s="1054"/>
      <c r="G44" s="1547"/>
      <c r="H44" s="1054"/>
      <c r="I44" s="1054"/>
      <c r="J44" s="1054"/>
      <c r="K44" s="1119"/>
      <c r="L44" s="1598"/>
      <c r="M44" s="1576"/>
      <c r="N44" s="1576"/>
      <c r="O44" s="1576"/>
    </row>
    <row r="45" spans="1:15">
      <c r="A45" s="1054"/>
      <c r="B45" s="1054"/>
      <c r="C45" s="1054"/>
      <c r="D45" s="1054"/>
      <c r="E45" s="1054"/>
      <c r="F45" s="1054"/>
      <c r="G45" s="1054"/>
      <c r="H45" s="1054"/>
      <c r="I45" s="1054"/>
      <c r="J45" s="1054"/>
      <c r="K45" s="1119"/>
      <c r="L45" s="1598"/>
      <c r="M45" s="1576"/>
      <c r="N45" s="1576"/>
      <c r="O45" s="1576"/>
    </row>
    <row r="46" ht="13.5" customHeight="1" spans="1:15">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598"/>
      <c r="M46" s="1576"/>
      <c r="N46" s="1576"/>
      <c r="O46" s="1576"/>
    </row>
    <row r="47" ht="13.5" customHeight="1" spans="1:15">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598"/>
      <c r="M47" s="1576"/>
      <c r="N47" s="1576"/>
      <c r="O47" s="1576"/>
    </row>
    <row r="48" s="923" customFormat="1" ht="13.5" customHeight="1" spans="1:15">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3"/>
      <c r="M48" s="1734"/>
      <c r="N48" s="1734"/>
      <c r="O48" s="1734"/>
    </row>
    <row r="49" s="923" customFormat="1" spans="1:15">
      <c r="A49" s="1059"/>
      <c r="B49" s="1060"/>
      <c r="C49" s="1061"/>
      <c r="D49" s="1059"/>
      <c r="E49" s="1059"/>
      <c r="F49" s="1059"/>
      <c r="G49" s="1059"/>
      <c r="H49" s="1059"/>
      <c r="I49" s="1059"/>
      <c r="J49" s="1059"/>
      <c r="K49" s="1122"/>
      <c r="L49" s="1733"/>
      <c r="M49" s="1734"/>
      <c r="N49" s="1734"/>
      <c r="O49" s="1734"/>
    </row>
    <row r="50" spans="1:15">
      <c r="A50" s="1054"/>
      <c r="B50" s="1060"/>
      <c r="C50" s="1061"/>
      <c r="D50" s="1054"/>
      <c r="E50" s="1054"/>
      <c r="F50" s="1054"/>
      <c r="G50" s="1054"/>
      <c r="H50" s="1054"/>
      <c r="I50" s="1054"/>
      <c r="J50" s="1054"/>
      <c r="K50" s="1119"/>
      <c r="L50" s="1598"/>
      <c r="M50" s="1576"/>
      <c r="N50" s="1576"/>
      <c r="O50" s="1576"/>
    </row>
    <row r="51" ht="21" spans="1:17">
      <c r="A51" s="1062" t="s">
        <v>1519</v>
      </c>
      <c r="B51" s="1004"/>
      <c r="C51" s="1063"/>
      <c r="D51" s="1063"/>
      <c r="E51" s="1063"/>
      <c r="F51" s="1064"/>
      <c r="G51" s="1064"/>
      <c r="H51" s="1063"/>
      <c r="I51" s="1063"/>
      <c r="J51" s="1063"/>
      <c r="K51" s="1644"/>
      <c r="L51" s="1126"/>
      <c r="M51" s="1127"/>
      <c r="N51" s="1127"/>
      <c r="O51" s="1127"/>
      <c r="P51" s="1735"/>
      <c r="Q51" s="1736"/>
    </row>
    <row r="52" s="924" customFormat="1" ht="15" spans="1:15">
      <c r="A52" s="1065" t="s">
        <v>1479</v>
      </c>
      <c r="B52" s="1066"/>
      <c r="C52" s="1067" t="str">
        <f>YEAR(C7)&amp;"-"&amp;MONTH(C7)</f>
        <v>2025-5</v>
      </c>
      <c r="D52" s="1068">
        <f>EDATE(C52,-1)</f>
        <v>45748</v>
      </c>
      <c r="E52" s="1068">
        <f t="shared" ref="E52:O52" si="16">EDATE(D52,-1)</f>
        <v>45717</v>
      </c>
      <c r="F52" s="1068">
        <f t="shared" si="16"/>
        <v>45689</v>
      </c>
      <c r="G52" s="1068">
        <f t="shared" si="16"/>
        <v>45658</v>
      </c>
      <c r="H52" s="1068">
        <f t="shared" si="16"/>
        <v>45627</v>
      </c>
      <c r="I52" s="1068">
        <f t="shared" si="16"/>
        <v>45597</v>
      </c>
      <c r="J52" s="1068">
        <f t="shared" si="16"/>
        <v>45566</v>
      </c>
      <c r="K52" s="1068">
        <f t="shared" si="16"/>
        <v>45536</v>
      </c>
      <c r="L52" s="1068">
        <f t="shared" si="16"/>
        <v>45505</v>
      </c>
      <c r="M52" s="1068">
        <f t="shared" si="16"/>
        <v>45474</v>
      </c>
      <c r="N52" s="1068">
        <f t="shared" si="16"/>
        <v>45444</v>
      </c>
      <c r="O52" s="1068">
        <f t="shared" si="16"/>
        <v>45413</v>
      </c>
    </row>
    <row r="53" s="920" customFormat="1" ht="15" spans="1:16">
      <c r="A53" s="1069"/>
      <c r="B53" s="1070"/>
      <c r="C53" s="1071">
        <v>100</v>
      </c>
      <c r="D53" s="1072"/>
      <c r="E53" s="1072"/>
      <c r="F53" s="1072"/>
      <c r="G53" s="1072"/>
      <c r="H53" s="1072"/>
      <c r="I53" s="1072"/>
      <c r="J53" s="1072"/>
      <c r="K53" s="1072"/>
      <c r="L53" s="1072"/>
      <c r="M53" s="988"/>
      <c r="N53" s="1072"/>
      <c r="O53" s="1136"/>
      <c r="P53" s="1736"/>
    </row>
    <row r="54" s="920" customFormat="1" ht="15.75" spans="1:17">
      <c r="A54" s="1073" t="s">
        <v>1520</v>
      </c>
      <c r="B54" s="1074"/>
      <c r="C54" s="1075"/>
      <c r="D54" s="1076"/>
      <c r="E54" s="1076"/>
      <c r="F54" s="1076"/>
      <c r="G54" s="1076"/>
      <c r="H54" s="1076"/>
      <c r="I54" s="1076"/>
      <c r="J54" s="1076"/>
      <c r="K54" s="1076"/>
      <c r="L54" s="1076"/>
      <c r="M54" s="1131"/>
      <c r="N54" s="1737"/>
      <c r="O54" s="1738"/>
      <c r="P54" s="1736"/>
      <c r="Q54" s="1736"/>
    </row>
    <row r="55" s="920" customFormat="1" ht="15" spans="1:17">
      <c r="A55" s="1077" t="s">
        <v>1482</v>
      </c>
      <c r="B55" s="1070"/>
      <c r="C55" s="1078" t="s">
        <v>1521</v>
      </c>
      <c r="D55" s="1080"/>
      <c r="E55" s="1080"/>
      <c r="F55" s="1080"/>
      <c r="G55" s="1080"/>
      <c r="H55" s="1080"/>
      <c r="I55" s="1080"/>
      <c r="J55" s="1080"/>
      <c r="K55" s="1080"/>
      <c r="L55" s="1132"/>
      <c r="M55" s="1133"/>
      <c r="N55" s="1739"/>
      <c r="O55" s="1739"/>
      <c r="P55" s="1740"/>
      <c r="Q55" s="1736"/>
    </row>
    <row r="56" s="920" customFormat="1" ht="15.75" spans="1:17">
      <c r="A56" s="1077"/>
      <c r="B56" s="1070"/>
      <c r="C56" s="1610">
        <v>100</v>
      </c>
      <c r="D56" s="1072"/>
      <c r="E56" s="1072"/>
      <c r="F56" s="1072"/>
      <c r="G56" s="1072"/>
      <c r="H56" s="1072"/>
      <c r="I56" s="1072"/>
      <c r="J56" s="1072"/>
      <c r="K56" s="1072"/>
      <c r="L56" s="1072"/>
      <c r="M56" s="1136"/>
      <c r="N56" s="1739"/>
      <c r="O56" s="1739"/>
      <c r="P56" s="1736"/>
      <c r="Q56" s="1736"/>
    </row>
    <row r="57" spans="1:17">
      <c r="A57" s="997" t="s">
        <v>1522</v>
      </c>
      <c r="B57" s="1082" t="s">
        <v>1485</v>
      </c>
      <c r="C57" s="640">
        <f>C9</f>
        <v>0</v>
      </c>
      <c r="D57" s="1083"/>
      <c r="E57" s="1083"/>
      <c r="F57" s="1083"/>
      <c r="G57" s="1083"/>
      <c r="H57" s="1083"/>
      <c r="I57" s="1083"/>
      <c r="J57" s="1083"/>
      <c r="K57" s="1137"/>
      <c r="L57" s="1138"/>
      <c r="M57" s="1139"/>
      <c r="N57" s="1741"/>
      <c r="O57" s="1741"/>
      <c r="P57" s="1742"/>
      <c r="Q57" s="1736"/>
    </row>
    <row r="58" ht="15.75" spans="1:17">
      <c r="A58" s="984"/>
      <c r="B58" s="1084"/>
      <c r="C58" s="1085">
        <v>100</v>
      </c>
      <c r="D58" s="1085"/>
      <c r="E58" s="1085"/>
      <c r="F58" s="1085"/>
      <c r="G58" s="1085"/>
      <c r="H58" s="1085"/>
      <c r="I58" s="1085"/>
      <c r="J58" s="1085"/>
      <c r="K58" s="1085"/>
      <c r="L58" s="1085"/>
      <c r="M58" s="1142"/>
      <c r="N58" s="1743"/>
      <c r="O58" s="1743"/>
      <c r="P58" s="1742"/>
      <c r="Q58" s="1736"/>
    </row>
    <row r="59" ht="27.75" spans="1:17">
      <c r="A59" s="984"/>
      <c r="B59" s="1182" t="s">
        <v>1488</v>
      </c>
      <c r="C59" s="1183"/>
      <c r="D59" s="1183"/>
      <c r="E59" s="1183"/>
      <c r="F59" s="1183"/>
      <c r="G59" s="1183"/>
      <c r="H59" s="1183"/>
      <c r="I59" s="1183"/>
      <c r="J59" s="1183"/>
      <c r="K59" s="1213"/>
      <c r="L59" s="1214"/>
      <c r="M59" s="1215"/>
      <c r="N59" s="1741"/>
      <c r="O59" s="1741"/>
      <c r="P59" s="1742"/>
      <c r="Q59" s="1736"/>
    </row>
    <row r="60" ht="15.75" spans="1:17">
      <c r="A60" s="984"/>
      <c r="B60" s="1184"/>
      <c r="C60" s="1085"/>
      <c r="D60" s="1085"/>
      <c r="E60" s="1085"/>
      <c r="F60" s="1085"/>
      <c r="G60" s="1085"/>
      <c r="H60" s="1085"/>
      <c r="I60" s="1085"/>
      <c r="J60" s="1085"/>
      <c r="K60" s="1085"/>
      <c r="L60" s="1085"/>
      <c r="M60" s="1142"/>
      <c r="N60" s="1743"/>
      <c r="O60" s="1743"/>
      <c r="P60" s="1742"/>
      <c r="Q60" s="1736"/>
    </row>
    <row r="61" ht="15.75" spans="1:17">
      <c r="A61" s="984"/>
      <c r="B61" s="1185" t="s">
        <v>1489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6" t="str">
        <f>M62&amp;"（含）"&amp;"-"&amp;P62</f>
        <v>（含）-</v>
      </c>
      <c r="N61" s="1743"/>
      <c r="O61" s="1743"/>
      <c r="P61" s="1742"/>
      <c r="Q61" s="1736"/>
    </row>
    <row r="62" ht="15" spans="1:17">
      <c r="A62" s="984"/>
      <c r="B62" s="1187"/>
      <c r="C62" s="1188">
        <v>0</v>
      </c>
      <c r="D62" s="1188">
        <v>2</v>
      </c>
      <c r="E62" s="1188"/>
      <c r="F62" s="1188"/>
      <c r="G62" s="1188"/>
      <c r="H62" s="1188"/>
      <c r="I62" s="1188"/>
      <c r="J62" s="1188"/>
      <c r="K62" s="1216"/>
      <c r="L62" s="1217"/>
      <c r="M62" s="1218"/>
      <c r="N62" s="1741"/>
      <c r="O62" s="1741"/>
      <c r="P62" s="1742"/>
      <c r="Q62" s="1736"/>
    </row>
    <row r="63" ht="15.75" spans="1:17">
      <c r="A63" s="984"/>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3"/>
      <c r="O63" s="1743"/>
      <c r="P63" s="1742"/>
      <c r="Q63" s="1736"/>
    </row>
    <row r="64" s="922" customFormat="1" ht="15.75" spans="1:17">
      <c r="A64" s="1190"/>
      <c r="B64" s="1182">
        <f>B12</f>
        <v>111</v>
      </c>
      <c r="C64" s="1191"/>
      <c r="D64" s="1191"/>
      <c r="E64" s="1191"/>
      <c r="F64" s="1191"/>
      <c r="G64" s="1191"/>
      <c r="H64" s="1192"/>
      <c r="I64" s="1192"/>
      <c r="J64" s="1192"/>
      <c r="K64" s="1192"/>
      <c r="L64" s="1220"/>
      <c r="M64" s="1221"/>
      <c r="N64" s="1744"/>
      <c r="O64" s="1744"/>
      <c r="P64" s="1745"/>
      <c r="Q64" s="1746"/>
    </row>
    <row r="65" s="922" customFormat="1" ht="15.75" spans="1:17">
      <c r="A65" s="1190"/>
      <c r="B65" s="1184"/>
      <c r="C65" s="1193"/>
      <c r="D65" s="1085"/>
      <c r="E65" s="1085"/>
      <c r="F65" s="1085"/>
      <c r="G65" s="1085"/>
      <c r="H65" s="1085"/>
      <c r="I65" s="1085"/>
      <c r="J65" s="1085"/>
      <c r="K65" s="1085"/>
      <c r="L65" s="1085"/>
      <c r="M65" s="1142"/>
      <c r="N65" s="1743"/>
      <c r="O65" s="1743"/>
      <c r="P65" s="1745"/>
      <c r="Q65" s="1746"/>
    </row>
    <row r="66" s="922" customFormat="1" ht="15.75" spans="1:17">
      <c r="A66" s="1190"/>
      <c r="B66" s="1182">
        <f>B13</f>
        <v>111</v>
      </c>
      <c r="C66" s="1191"/>
      <c r="D66" s="1191"/>
      <c r="E66" s="1191"/>
      <c r="F66" s="1191"/>
      <c r="G66" s="1191"/>
      <c r="H66" s="1192"/>
      <c r="I66" s="1192"/>
      <c r="J66" s="1192"/>
      <c r="K66" s="1192"/>
      <c r="L66" s="1220"/>
      <c r="M66" s="1221"/>
      <c r="N66" s="1744"/>
      <c r="O66" s="1744"/>
      <c r="Q66" s="1749"/>
    </row>
    <row r="67" s="922" customFormat="1" ht="15.75" spans="1:17">
      <c r="A67" s="1190"/>
      <c r="B67" s="1184"/>
      <c r="C67" s="1193"/>
      <c r="D67" s="1085"/>
      <c r="E67" s="1085"/>
      <c r="F67" s="1085"/>
      <c r="G67" s="1193"/>
      <c r="H67" s="1194"/>
      <c r="I67" s="1194"/>
      <c r="J67" s="1194"/>
      <c r="K67" s="1194"/>
      <c r="L67" s="1194"/>
      <c r="M67" s="1225"/>
      <c r="N67" s="1744"/>
      <c r="O67" s="1744"/>
      <c r="P67" s="1745"/>
      <c r="Q67" s="1746"/>
    </row>
    <row r="68" s="922" customFormat="1" ht="15.75" spans="1:17">
      <c r="A68" s="1190"/>
      <c r="B68" s="1185">
        <f>B14</f>
        <v>111</v>
      </c>
      <c r="C68" s="1080"/>
      <c r="D68" s="1080"/>
      <c r="E68" s="1080"/>
      <c r="F68" s="1080"/>
      <c r="G68" s="1080"/>
      <c r="H68" s="1195"/>
      <c r="I68" s="1195"/>
      <c r="J68" s="1195"/>
      <c r="K68" s="1195"/>
      <c r="L68" s="1226"/>
      <c r="M68" s="1227"/>
      <c r="N68" s="1744"/>
      <c r="O68" s="1744"/>
      <c r="P68" s="1747"/>
      <c r="Q68" s="1746"/>
    </row>
    <row r="69" s="922" customFormat="1" ht="15.75" spans="1:17">
      <c r="A69" s="1196"/>
      <c r="B69" s="1197"/>
      <c r="C69" s="1198"/>
      <c r="D69" s="1198"/>
      <c r="E69" s="1198"/>
      <c r="F69" s="1198"/>
      <c r="G69" s="1198"/>
      <c r="H69" s="1199"/>
      <c r="I69" s="1199"/>
      <c r="J69" s="1199"/>
      <c r="K69" s="1199"/>
      <c r="L69" s="1199"/>
      <c r="M69" s="1229"/>
      <c r="N69" s="1744"/>
      <c r="O69" s="1744"/>
      <c r="P69" s="1745"/>
      <c r="Q69" s="1746"/>
    </row>
    <row r="70" spans="1:17">
      <c r="A70" s="997" t="s">
        <v>1490</v>
      </c>
      <c r="B70" s="1082" t="s">
        <v>1609</v>
      </c>
      <c r="C70" s="1200" t="s">
        <v>1523</v>
      </c>
      <c r="D70" s="1200" t="s">
        <v>1524</v>
      </c>
      <c r="E70" s="1200" t="s">
        <v>1525</v>
      </c>
      <c r="F70" s="1200" t="s">
        <v>1526</v>
      </c>
      <c r="G70" s="1200" t="s">
        <v>1527</v>
      </c>
      <c r="H70" s="640"/>
      <c r="I70" s="640"/>
      <c r="J70" s="640"/>
      <c r="K70" s="1230"/>
      <c r="L70" s="1231"/>
      <c r="M70" s="1232"/>
      <c r="N70" s="1741"/>
      <c r="O70" s="1741"/>
      <c r="P70" s="1748"/>
      <c r="Q70" s="1736"/>
    </row>
    <row r="71" ht="15.75" spans="1:17">
      <c r="A71" s="984"/>
      <c r="B71" s="1184"/>
      <c r="C71" s="1189">
        <v>100</v>
      </c>
      <c r="D71" s="1189">
        <f>C71-$K15</f>
        <v>100</v>
      </c>
      <c r="E71" s="1189">
        <f>D71-$K15</f>
        <v>100</v>
      </c>
      <c r="F71" s="1189">
        <f>E71-$K15</f>
        <v>100</v>
      </c>
      <c r="G71" s="1189">
        <f>F71-$K15</f>
        <v>100</v>
      </c>
      <c r="H71" s="1189"/>
      <c r="I71" s="1189"/>
      <c r="J71" s="1189"/>
      <c r="K71" s="1189"/>
      <c r="L71" s="1189"/>
      <c r="M71" s="1219"/>
      <c r="N71" s="1743"/>
      <c r="O71" s="1743"/>
      <c r="P71" s="1742"/>
      <c r="Q71" s="1736"/>
    </row>
    <row r="72" ht="15.75" spans="1:17">
      <c r="A72" s="984"/>
      <c r="B72" s="1182" t="s">
        <v>1493</v>
      </c>
      <c r="C72" s="1201" t="s">
        <v>1523</v>
      </c>
      <c r="D72" s="1201" t="s">
        <v>1524</v>
      </c>
      <c r="E72" s="1201" t="s">
        <v>1525</v>
      </c>
      <c r="F72" s="1201" t="s">
        <v>1526</v>
      </c>
      <c r="G72" s="1201" t="s">
        <v>1527</v>
      </c>
      <c r="H72" s="1202"/>
      <c r="I72" s="1202"/>
      <c r="J72" s="1202"/>
      <c r="K72" s="1234"/>
      <c r="L72" s="1235"/>
      <c r="M72" s="1236"/>
      <c r="N72" s="1741"/>
      <c r="O72" s="1741"/>
      <c r="P72" s="1742"/>
      <c r="Q72" s="1736"/>
    </row>
    <row r="73" ht="15.75" spans="1:17">
      <c r="A73" s="984"/>
      <c r="B73" s="1184"/>
      <c r="C73" s="1189">
        <v>100</v>
      </c>
      <c r="D73" s="1189">
        <f>C73-$K17</f>
        <v>100</v>
      </c>
      <c r="E73" s="1189">
        <f>D73-$K17</f>
        <v>100</v>
      </c>
      <c r="F73" s="1189">
        <f>E73-$K17</f>
        <v>100</v>
      </c>
      <c r="G73" s="1189">
        <f>F73-$K17</f>
        <v>100</v>
      </c>
      <c r="H73" s="1189"/>
      <c r="I73" s="1189"/>
      <c r="J73" s="1189"/>
      <c r="K73" s="1189"/>
      <c r="L73" s="1189"/>
      <c r="M73" s="1219"/>
      <c r="N73" s="1743"/>
      <c r="O73" s="1743"/>
      <c r="P73" s="1742"/>
      <c r="Q73" s="1736"/>
    </row>
    <row r="74" ht="15.75" spans="1:17">
      <c r="A74" s="984"/>
      <c r="B74" s="1182" t="s">
        <v>1494</v>
      </c>
      <c r="C74" s="1201" t="s">
        <v>1523</v>
      </c>
      <c r="D74" s="1201" t="s">
        <v>1524</v>
      </c>
      <c r="E74" s="1201" t="s">
        <v>1525</v>
      </c>
      <c r="F74" s="1201" t="s">
        <v>1526</v>
      </c>
      <c r="G74" s="1201" t="s">
        <v>1527</v>
      </c>
      <c r="H74" s="1202"/>
      <c r="I74" s="1202"/>
      <c r="J74" s="1202"/>
      <c r="K74" s="1234"/>
      <c r="L74" s="1235"/>
      <c r="M74" s="1236"/>
      <c r="N74" s="1741"/>
      <c r="O74" s="1741"/>
      <c r="P74" s="1742"/>
      <c r="Q74" s="1736"/>
    </row>
    <row r="75" ht="15.75" spans="1:17">
      <c r="A75" s="984"/>
      <c r="B75" s="1184"/>
      <c r="C75" s="1189">
        <v>100</v>
      </c>
      <c r="D75" s="1189">
        <f>C75-$K19</f>
        <v>100</v>
      </c>
      <c r="E75" s="1189">
        <f>D75-$K19</f>
        <v>100</v>
      </c>
      <c r="F75" s="1189">
        <f>E75-$K19</f>
        <v>100</v>
      </c>
      <c r="G75" s="1189">
        <f>F75-$K19</f>
        <v>100</v>
      </c>
      <c r="H75" s="1189"/>
      <c r="I75" s="1189"/>
      <c r="J75" s="1189"/>
      <c r="K75" s="1189"/>
      <c r="L75" s="1189"/>
      <c r="M75" s="1219"/>
      <c r="N75" s="1743"/>
      <c r="O75" s="1743"/>
      <c r="P75" s="1742"/>
      <c r="Q75" s="1736"/>
    </row>
    <row r="76" ht="15.75" spans="1:17">
      <c r="A76" s="984"/>
      <c r="B76" s="1185" t="s">
        <v>1495</v>
      </c>
      <c r="C76" s="1177" t="s">
        <v>1528</v>
      </c>
      <c r="D76" s="1177" t="s">
        <v>1529</v>
      </c>
      <c r="E76" s="1177" t="s">
        <v>1530</v>
      </c>
      <c r="F76" s="1177" t="s">
        <v>1531</v>
      </c>
      <c r="G76" s="1177" t="s">
        <v>1532</v>
      </c>
      <c r="H76" s="1202"/>
      <c r="I76" s="1202"/>
      <c r="J76" s="1202"/>
      <c r="K76" s="1202"/>
      <c r="L76" s="1202"/>
      <c r="M76" s="1237"/>
      <c r="N76" s="1743"/>
      <c r="O76" s="1743"/>
      <c r="P76" s="1742"/>
      <c r="Q76" s="1736"/>
    </row>
    <row r="77" ht="15.75" spans="1:17">
      <c r="A77" s="984"/>
      <c r="B77" s="1185"/>
      <c r="C77" s="1189">
        <v>100</v>
      </c>
      <c r="D77" s="1189">
        <f>C77-$K21</f>
        <v>100</v>
      </c>
      <c r="E77" s="1189">
        <f>D77-$K21</f>
        <v>100</v>
      </c>
      <c r="F77" s="1189">
        <f>E77-$K21</f>
        <v>100</v>
      </c>
      <c r="G77" s="1189">
        <f>F77-$K21</f>
        <v>100</v>
      </c>
      <c r="H77" s="1177"/>
      <c r="I77" s="1177"/>
      <c r="J77" s="1177"/>
      <c r="K77" s="1177"/>
      <c r="L77" s="1177"/>
      <c r="M77" s="1008"/>
      <c r="N77" s="1743"/>
      <c r="O77" s="1743"/>
      <c r="P77" s="1742"/>
      <c r="Q77" s="1736"/>
    </row>
    <row r="78" ht="15.75" spans="1:17">
      <c r="A78" s="984"/>
      <c r="B78" s="1182" t="s">
        <v>1603</v>
      </c>
      <c r="C78" s="1201" t="s">
        <v>1523</v>
      </c>
      <c r="D78" s="1201" t="s">
        <v>1524</v>
      </c>
      <c r="E78" s="1201" t="s">
        <v>1525</v>
      </c>
      <c r="F78" s="1201" t="s">
        <v>1526</v>
      </c>
      <c r="G78" s="1201" t="s">
        <v>1527</v>
      </c>
      <c r="H78" s="1202"/>
      <c r="I78" s="1202"/>
      <c r="J78" s="1202"/>
      <c r="K78" s="1234"/>
      <c r="L78" s="1235"/>
      <c r="M78" s="1236"/>
      <c r="N78" s="1741"/>
      <c r="O78" s="1741"/>
      <c r="P78" s="1742"/>
      <c r="Q78" s="1736"/>
    </row>
    <row r="79" ht="15.75" spans="1:17">
      <c r="A79" s="984"/>
      <c r="B79" s="1184"/>
      <c r="C79" s="1189">
        <v>100</v>
      </c>
      <c r="D79" s="1189">
        <f>C79-$K23</f>
        <v>100</v>
      </c>
      <c r="E79" s="1189">
        <f>D79-$K23</f>
        <v>100</v>
      </c>
      <c r="F79" s="1189">
        <f>E79-$K23</f>
        <v>100</v>
      </c>
      <c r="G79" s="1189">
        <f>F79-$K23</f>
        <v>100</v>
      </c>
      <c r="H79" s="1189"/>
      <c r="I79" s="1189"/>
      <c r="J79" s="1189"/>
      <c r="K79" s="1189"/>
      <c r="L79" s="1189"/>
      <c r="M79" s="1219"/>
      <c r="N79" s="1743"/>
      <c r="O79" s="1743"/>
      <c r="P79" s="1742"/>
      <c r="Q79" s="1736"/>
    </row>
    <row r="80" s="920" customFormat="1" ht="15.75" spans="1:17">
      <c r="A80" s="987"/>
      <c r="B80" s="1182">
        <f>B25</f>
        <v>111</v>
      </c>
      <c r="C80" s="1191"/>
      <c r="D80" s="1191"/>
      <c r="E80" s="1191"/>
      <c r="F80" s="1191"/>
      <c r="G80" s="1191"/>
      <c r="H80" s="1191"/>
      <c r="I80" s="1191"/>
      <c r="J80" s="1191"/>
      <c r="K80" s="1191"/>
      <c r="L80" s="1238"/>
      <c r="M80" s="1239"/>
      <c r="N80" s="1739"/>
      <c r="O80" s="1739"/>
      <c r="P80" s="1742"/>
      <c r="Q80" s="1736"/>
    </row>
    <row r="81" s="920" customFormat="1" ht="15.75" spans="1:17">
      <c r="A81" s="987"/>
      <c r="B81" s="1184"/>
      <c r="C81" s="1193"/>
      <c r="D81" s="1085"/>
      <c r="E81" s="1085"/>
      <c r="F81" s="1085"/>
      <c r="G81" s="1085"/>
      <c r="H81" s="1085"/>
      <c r="I81" s="1085"/>
      <c r="J81" s="1085"/>
      <c r="K81" s="1085"/>
      <c r="L81" s="1085"/>
      <c r="M81" s="1142"/>
      <c r="N81" s="1743"/>
      <c r="O81" s="1743"/>
      <c r="P81" s="1742"/>
      <c r="Q81" s="1736"/>
    </row>
    <row r="82" s="920" customFormat="1" ht="15.75" spans="1:17">
      <c r="A82" s="987"/>
      <c r="B82" s="1182">
        <f>B26</f>
        <v>111</v>
      </c>
      <c r="C82" s="1191"/>
      <c r="D82" s="1191"/>
      <c r="E82" s="1191"/>
      <c r="F82" s="1191"/>
      <c r="G82" s="1191"/>
      <c r="H82" s="1191"/>
      <c r="I82" s="1191"/>
      <c r="J82" s="1191"/>
      <c r="K82" s="1191"/>
      <c r="L82" s="1238"/>
      <c r="M82" s="1239"/>
      <c r="N82" s="1739"/>
      <c r="O82" s="1739"/>
      <c r="P82" s="1742"/>
      <c r="Q82" s="1736"/>
    </row>
    <row r="83" s="920" customFormat="1" ht="15.75" spans="1:17">
      <c r="A83" s="987"/>
      <c r="B83" s="1184"/>
      <c r="C83" s="1193"/>
      <c r="D83" s="1085"/>
      <c r="E83" s="1085"/>
      <c r="F83" s="1085"/>
      <c r="G83" s="1085"/>
      <c r="H83" s="1085"/>
      <c r="I83" s="1085"/>
      <c r="J83" s="1085"/>
      <c r="K83" s="1085"/>
      <c r="L83" s="1085"/>
      <c r="M83" s="1142"/>
      <c r="N83" s="1743"/>
      <c r="O83" s="1743"/>
      <c r="P83" s="1742"/>
      <c r="Q83" s="1736"/>
    </row>
    <row r="84" s="922" customFormat="1" ht="15.75" spans="1:17">
      <c r="A84" s="1190"/>
      <c r="B84" s="1182">
        <f>B27</f>
        <v>111</v>
      </c>
      <c r="C84" s="1191"/>
      <c r="D84" s="1191"/>
      <c r="E84" s="1191"/>
      <c r="F84" s="1191"/>
      <c r="G84" s="1191"/>
      <c r="H84" s="1191"/>
      <c r="I84" s="1191"/>
      <c r="J84" s="1191"/>
      <c r="K84" s="1191"/>
      <c r="L84" s="1238"/>
      <c r="M84" s="1239"/>
      <c r="N84" s="1744"/>
      <c r="O84" s="1744"/>
      <c r="P84" s="1745"/>
      <c r="Q84" s="1746"/>
    </row>
    <row r="85" s="922" customFormat="1" ht="15.75" spans="1:17">
      <c r="A85" s="1190"/>
      <c r="B85" s="1184"/>
      <c r="C85" s="1193"/>
      <c r="D85" s="1085"/>
      <c r="E85" s="1085"/>
      <c r="F85" s="1085"/>
      <c r="G85" s="1085"/>
      <c r="H85" s="1085"/>
      <c r="I85" s="1085"/>
      <c r="J85" s="1085"/>
      <c r="K85" s="1085"/>
      <c r="L85" s="1085"/>
      <c r="M85" s="1142"/>
      <c r="N85" s="1744"/>
      <c r="O85" s="1744"/>
      <c r="P85" s="1745"/>
      <c r="Q85" s="1746"/>
    </row>
    <row r="86" ht="15.75" spans="1:17">
      <c r="A86" s="984"/>
      <c r="B86" s="1185">
        <f>B28</f>
        <v>111</v>
      </c>
      <c r="C86" s="1080"/>
      <c r="D86" s="1080"/>
      <c r="E86" s="1080"/>
      <c r="F86" s="1080"/>
      <c r="G86" s="1207"/>
      <c r="H86" s="1207"/>
      <c r="I86" s="1207"/>
      <c r="J86" s="1207"/>
      <c r="K86" s="1240"/>
      <c r="L86" s="1241"/>
      <c r="M86" s="1242"/>
      <c r="N86" s="1741"/>
      <c r="O86" s="1741"/>
      <c r="P86" s="1742"/>
      <c r="Q86" s="1736"/>
    </row>
    <row r="87" ht="15.75" spans="1:17">
      <c r="A87" s="992"/>
      <c r="B87" s="1197"/>
      <c r="C87" s="1198"/>
      <c r="D87" s="1198"/>
      <c r="E87" s="1198"/>
      <c r="F87" s="1198"/>
      <c r="G87" s="1208"/>
      <c r="H87" s="1208"/>
      <c r="I87" s="1208"/>
      <c r="J87" s="1208"/>
      <c r="K87" s="1208"/>
      <c r="L87" s="1208"/>
      <c r="M87" s="1243"/>
      <c r="N87" s="1743"/>
      <c r="O87" s="1743"/>
      <c r="P87" s="1742"/>
      <c r="Q87" s="1736"/>
    </row>
    <row r="88" spans="1:17">
      <c r="A88" s="997" t="s">
        <v>1499</v>
      </c>
      <c r="B88" s="1082" t="s">
        <v>1500</v>
      </c>
      <c r="C88" s="1083"/>
      <c r="D88" s="1083"/>
      <c r="E88" s="1083"/>
      <c r="F88" s="1083"/>
      <c r="G88" s="1083"/>
      <c r="H88" s="1083"/>
      <c r="I88" s="1083"/>
      <c r="J88" s="1083"/>
      <c r="K88" s="1137"/>
      <c r="L88" s="1138"/>
      <c r="M88" s="1139"/>
      <c r="N88" s="1741"/>
      <c r="O88" s="1741"/>
      <c r="P88" s="1742"/>
      <c r="Q88" s="1736"/>
    </row>
    <row r="89" ht="15.75" spans="1:17">
      <c r="A89" s="984"/>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3"/>
      <c r="O89" s="1743"/>
      <c r="P89" s="1742"/>
      <c r="Q89" s="1736"/>
    </row>
    <row r="90" ht="15.75" spans="1:17">
      <c r="A90" s="984"/>
      <c r="B90" s="1182" t="s">
        <v>1502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39"/>
      <c r="O90" s="1739"/>
      <c r="P90" s="1742"/>
      <c r="Q90" s="1736"/>
    </row>
    <row r="91" s="922" customFormat="1" ht="15" spans="1:17">
      <c r="A91" s="1028"/>
      <c r="B91" s="1210"/>
      <c r="C91" s="1211"/>
      <c r="D91" s="1211"/>
      <c r="E91" s="1211"/>
      <c r="F91" s="1211"/>
      <c r="G91" s="1211"/>
      <c r="H91" s="1211"/>
      <c r="I91" s="1211"/>
      <c r="J91" s="1245"/>
      <c r="K91" s="1245"/>
      <c r="L91" s="1246"/>
      <c r="M91" s="1247"/>
      <c r="N91" s="1744"/>
      <c r="O91" s="1744"/>
      <c r="P91" s="1745"/>
      <c r="Q91" s="1746"/>
    </row>
    <row r="92" s="922" customFormat="1" ht="15.75" spans="1:17">
      <c r="A92" s="1190"/>
      <c r="B92" s="1184"/>
      <c r="C92" s="1193"/>
      <c r="D92" s="1085"/>
      <c r="E92" s="1085"/>
      <c r="F92" s="1085"/>
      <c r="G92" s="1085"/>
      <c r="H92" s="1085"/>
      <c r="I92" s="1085"/>
      <c r="J92" s="1085"/>
      <c r="K92" s="1085"/>
      <c r="L92" s="1085"/>
      <c r="M92" s="1142"/>
      <c r="N92" s="1743"/>
      <c r="O92" s="1743"/>
      <c r="P92" s="1745"/>
      <c r="Q92" s="1746"/>
    </row>
    <row r="93" ht="15.75" spans="1:17">
      <c r="A93" s="1030"/>
      <c r="B93" s="1182" t="s">
        <v>1503</v>
      </c>
      <c r="C93" s="1191"/>
      <c r="D93" s="1191"/>
      <c r="E93" s="1183"/>
      <c r="F93" s="1183"/>
      <c r="G93" s="1183"/>
      <c r="H93" s="1183"/>
      <c r="I93" s="1183"/>
      <c r="J93" s="1183"/>
      <c r="K93" s="1213"/>
      <c r="L93" s="1214"/>
      <c r="M93" s="1215"/>
      <c r="N93" s="1741"/>
      <c r="O93" s="1741"/>
      <c r="P93" s="1742"/>
      <c r="Q93" s="1736"/>
    </row>
    <row r="94" ht="15.75" spans="1:17">
      <c r="A94" s="984"/>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3"/>
      <c r="O94" s="1743"/>
      <c r="P94" s="1742"/>
      <c r="Q94" s="1736"/>
    </row>
    <row r="95" ht="15.75" spans="1:17">
      <c r="A95" s="1030"/>
      <c r="B95" s="1182" t="s">
        <v>1505</v>
      </c>
      <c r="C95" s="1191"/>
      <c r="D95" s="1191"/>
      <c r="E95" s="1191"/>
      <c r="F95" s="1183"/>
      <c r="G95" s="1183"/>
      <c r="H95" s="1183"/>
      <c r="I95" s="1183"/>
      <c r="J95" s="1183"/>
      <c r="K95" s="1213"/>
      <c r="L95" s="1214"/>
      <c r="M95" s="1215"/>
      <c r="N95" s="1741"/>
      <c r="O95" s="1741"/>
      <c r="P95" s="1742"/>
      <c r="Q95" s="1736"/>
    </row>
    <row r="96" ht="15.75" spans="1:17">
      <c r="A96" s="984"/>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3"/>
      <c r="O96" s="1743"/>
      <c r="P96" s="1742"/>
      <c r="Q96" s="1736"/>
    </row>
    <row r="97" ht="15.75" spans="1:17">
      <c r="A97" s="1030"/>
      <c r="B97" s="1182" t="s">
        <v>634</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41"/>
      <c r="O97" s="1741"/>
      <c r="P97" s="1742"/>
      <c r="Q97" s="1736"/>
    </row>
    <row r="98" ht="15" spans="1:17">
      <c r="A98" s="1030"/>
      <c r="B98" s="1185"/>
      <c r="C98" s="815">
        <v>0.5</v>
      </c>
      <c r="D98" s="815">
        <v>0.6</v>
      </c>
      <c r="E98" s="815">
        <v>0.7</v>
      </c>
      <c r="F98" s="815">
        <v>0.8</v>
      </c>
      <c r="G98" s="815">
        <v>0.9</v>
      </c>
      <c r="H98" s="815">
        <v>1.0001</v>
      </c>
      <c r="I98" s="1248"/>
      <c r="J98" s="1248"/>
      <c r="K98" s="1249"/>
      <c r="L98" s="1250"/>
      <c r="M98" s="1251"/>
      <c r="N98" s="1741"/>
      <c r="O98" s="1741"/>
      <c r="P98" s="1742"/>
      <c r="Q98" s="1736"/>
    </row>
    <row r="99" ht="15.75" spans="1:17">
      <c r="A99" s="984"/>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3"/>
      <c r="O99" s="1743"/>
      <c r="P99" s="1742"/>
      <c r="Q99" s="1736"/>
    </row>
    <row r="100" s="922" customFormat="1" ht="15.75" spans="1:17">
      <c r="A100" s="1028"/>
      <c r="B100" s="1182" t="s">
        <v>1506</v>
      </c>
      <c r="C100" s="1191"/>
      <c r="D100" s="1191"/>
      <c r="E100" s="1191"/>
      <c r="F100" s="1191"/>
      <c r="G100" s="1191"/>
      <c r="H100" s="1183"/>
      <c r="I100" s="1183"/>
      <c r="J100" s="1183"/>
      <c r="K100" s="1213"/>
      <c r="L100" s="1214"/>
      <c r="M100" s="1215"/>
      <c r="N100" s="1744"/>
      <c r="O100" s="1744"/>
      <c r="P100" s="1745"/>
      <c r="Q100" s="1746"/>
    </row>
    <row r="101" s="922"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4"/>
      <c r="O101" s="1744"/>
      <c r="P101" s="1745"/>
      <c r="Q101" s="1746"/>
    </row>
    <row r="102" ht="15.75" spans="1:17">
      <c r="A102" s="1030"/>
      <c r="B102" s="1182" t="s">
        <v>1507</v>
      </c>
      <c r="C102" s="1191"/>
      <c r="D102" s="1191"/>
      <c r="E102" s="1191"/>
      <c r="F102" s="1191"/>
      <c r="G102" s="1191"/>
      <c r="H102" s="1183"/>
      <c r="I102" s="1183"/>
      <c r="J102" s="1183"/>
      <c r="K102" s="1213"/>
      <c r="L102" s="1214"/>
      <c r="M102" s="1215"/>
      <c r="N102" s="1741"/>
      <c r="O102" s="1741"/>
      <c r="P102" s="1742"/>
      <c r="Q102" s="1736"/>
    </row>
    <row r="103" ht="15.75" spans="1:17">
      <c r="A103" s="984"/>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3"/>
      <c r="O103" s="1743"/>
      <c r="P103" s="1742"/>
      <c r="Q103" s="1736"/>
    </row>
    <row r="104" ht="15.75" spans="1:17">
      <c r="A104" s="1030"/>
      <c r="B104" s="1182" t="s">
        <v>1510</v>
      </c>
      <c r="C104" s="1191"/>
      <c r="D104" s="1191"/>
      <c r="E104" s="1191"/>
      <c r="F104" s="1191"/>
      <c r="G104" s="1191"/>
      <c r="H104" s="1183"/>
      <c r="I104" s="1183"/>
      <c r="J104" s="1183"/>
      <c r="K104" s="1213"/>
      <c r="L104" s="1214"/>
      <c r="M104" s="1215"/>
      <c r="N104" s="1741"/>
      <c r="O104" s="1741"/>
      <c r="P104" s="1742"/>
      <c r="Q104" s="1736"/>
    </row>
    <row r="105" ht="15.75" spans="1:17">
      <c r="A105" s="984"/>
      <c r="B105" s="1184"/>
      <c r="C105" s="1189">
        <v>100</v>
      </c>
      <c r="D105" s="1189">
        <f>C105-$K36</f>
        <v>100</v>
      </c>
      <c r="E105" s="1189">
        <f>D105-$K36</f>
        <v>100</v>
      </c>
      <c r="F105" s="1189">
        <f>E105-$K36</f>
        <v>100</v>
      </c>
      <c r="G105" s="1189">
        <f>F105-$K36</f>
        <v>100</v>
      </c>
      <c r="H105" s="1189"/>
      <c r="I105" s="1189"/>
      <c r="J105" s="1189"/>
      <c r="K105" s="1189"/>
      <c r="L105" s="1189"/>
      <c r="M105" s="1219"/>
      <c r="N105" s="1743"/>
      <c r="O105" s="1743"/>
      <c r="P105" s="1742"/>
      <c r="Q105" s="1736"/>
    </row>
    <row r="106" ht="15.75" spans="1:17">
      <c r="A106" s="1030"/>
      <c r="B106" s="1660" t="s">
        <v>1611</v>
      </c>
      <c r="C106" s="1201" t="s">
        <v>1523</v>
      </c>
      <c r="D106" s="1201" t="s">
        <v>1524</v>
      </c>
      <c r="E106" s="1201" t="s">
        <v>1525</v>
      </c>
      <c r="F106" s="1201" t="s">
        <v>1526</v>
      </c>
      <c r="G106" s="1201" t="s">
        <v>1527</v>
      </c>
      <c r="H106" s="1202"/>
      <c r="I106" s="1202"/>
      <c r="J106" s="1202"/>
      <c r="K106" s="1234"/>
      <c r="L106" s="1235"/>
      <c r="M106" s="1236"/>
      <c r="N106" s="1743"/>
      <c r="O106" s="1743"/>
      <c r="P106" s="848"/>
      <c r="Q106" s="1750"/>
    </row>
    <row r="107" ht="15.75" spans="1:17">
      <c r="A107" s="984"/>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3"/>
      <c r="O107" s="1743"/>
      <c r="P107" s="1742"/>
      <c r="Q107" s="1736"/>
    </row>
    <row r="108" s="922" customFormat="1" ht="15.75" spans="1:17">
      <c r="A108" s="1028"/>
      <c r="B108" s="1182">
        <f>B38</f>
        <v>111</v>
      </c>
      <c r="C108" s="1191"/>
      <c r="D108" s="1191"/>
      <c r="E108" s="1191"/>
      <c r="F108" s="1191"/>
      <c r="G108" s="1191"/>
      <c r="H108" s="1192"/>
      <c r="I108" s="1192"/>
      <c r="J108" s="1192"/>
      <c r="K108" s="1192"/>
      <c r="L108" s="1220"/>
      <c r="M108" s="1221"/>
      <c r="N108" s="1744"/>
      <c r="O108" s="1744"/>
      <c r="P108" s="1745"/>
      <c r="Q108" s="1746"/>
    </row>
    <row r="109" s="922" customFormat="1" ht="15.75" spans="1:17">
      <c r="A109" s="1190"/>
      <c r="B109" s="1084"/>
      <c r="C109" s="1193"/>
      <c r="D109" s="1085"/>
      <c r="E109" s="1085"/>
      <c r="F109" s="1085"/>
      <c r="G109" s="1193"/>
      <c r="H109" s="1194"/>
      <c r="I109" s="1194"/>
      <c r="J109" s="1194"/>
      <c r="K109" s="1194"/>
      <c r="L109" s="1194"/>
      <c r="M109" s="1225"/>
      <c r="N109" s="1744"/>
      <c r="O109" s="1744"/>
      <c r="P109" s="1745"/>
      <c r="Q109" s="1746"/>
    </row>
    <row r="110" ht="15.75" spans="1:17">
      <c r="A110" s="1030"/>
      <c r="B110" s="1182">
        <f>B39</f>
        <v>111</v>
      </c>
      <c r="C110" s="1191"/>
      <c r="D110" s="1191"/>
      <c r="E110" s="1191"/>
      <c r="F110" s="1191"/>
      <c r="G110" s="1191"/>
      <c r="H110" s="1192"/>
      <c r="I110" s="1192"/>
      <c r="J110" s="1192"/>
      <c r="K110" s="1192"/>
      <c r="L110" s="1220"/>
      <c r="M110" s="1221"/>
      <c r="N110" s="1741"/>
      <c r="O110" s="1741"/>
      <c r="P110" s="1742"/>
      <c r="Q110" s="1736"/>
    </row>
    <row r="111" ht="15.75" spans="1:17">
      <c r="A111" s="984"/>
      <c r="B111" s="1184"/>
      <c r="C111" s="1193"/>
      <c r="D111" s="1085"/>
      <c r="E111" s="1085"/>
      <c r="F111" s="1085"/>
      <c r="G111" s="1193"/>
      <c r="H111" s="1194"/>
      <c r="I111" s="1194"/>
      <c r="J111" s="1194"/>
      <c r="K111" s="1194"/>
      <c r="L111" s="1194"/>
      <c r="M111" s="1225"/>
      <c r="N111" s="1743"/>
      <c r="O111" s="1743"/>
      <c r="P111" s="1742"/>
      <c r="Q111" s="1736"/>
    </row>
    <row r="112" ht="15.75" spans="1:17">
      <c r="A112" s="1030"/>
      <c r="B112" s="1185">
        <f>B40</f>
        <v>111</v>
      </c>
      <c r="C112" s="1080"/>
      <c r="D112" s="1080"/>
      <c r="E112" s="1080"/>
      <c r="F112" s="1080"/>
      <c r="G112" s="1207"/>
      <c r="H112" s="1207"/>
      <c r="I112" s="1207"/>
      <c r="J112" s="1207"/>
      <c r="K112" s="1080"/>
      <c r="L112" s="1132"/>
      <c r="M112" s="1242"/>
      <c r="N112" s="1741"/>
      <c r="O112" s="1741"/>
      <c r="P112" s="1742"/>
      <c r="Q112" s="1736"/>
    </row>
    <row r="113" ht="15.75" spans="1:17">
      <c r="A113" s="992"/>
      <c r="B113" s="1197"/>
      <c r="C113" s="1198"/>
      <c r="D113" s="1198"/>
      <c r="E113" s="1198"/>
      <c r="F113" s="1198"/>
      <c r="G113" s="1208"/>
      <c r="H113" s="1208"/>
      <c r="I113" s="1208"/>
      <c r="J113" s="1208"/>
      <c r="K113" s="1208"/>
      <c r="L113" s="1208"/>
      <c r="M113" s="1243"/>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估价对象为北京市房地产，为所有。根据《国有土地使用证》[]，估价对象（分摊）出让国有建设用地使用权面积为0平方米，建筑面积为349.48平方米。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估价对象为北京市房地产,属开发建设的，该项目尚在开发建设中。根据《国有土地使用证》[]，估价对象（分摊）出让国有建设用地使用权面积为0平方米，规划建筑面积为349.48平方米。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5.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1613</v>
      </c>
      <c r="C1" s="1648" t="s">
        <v>1463</v>
      </c>
      <c r="D1" s="932"/>
      <c r="E1" s="1649"/>
      <c r="F1" s="934"/>
      <c r="G1" s="1669" t="s">
        <v>1464</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IF(B37="元/平方米",ROUND(C39*D3/10000,0),ROUND(F3*C39/10000,0)),IF(B37="元/平方米",ROUND(C39*D3/10000,0),ROUND(F3*C39/10000,0))-D2),IF(E1="单套模式",IF(C2="——",IF(B37="元/平方米",ROUND(C39*D3/10000,0),ROUND(F3*C39/10000,0)),IF(B37="元/平方米",ROUND(C39*D3/10000,0),ROUND(F3*C39/10000,0))-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699"/>
      <c r="Q2" s="1504"/>
      <c r="R2" s="1504"/>
      <c r="S2" s="1504"/>
      <c r="T2" s="1504"/>
      <c r="U2" s="1504"/>
      <c r="V2" s="1504"/>
      <c r="W2" s="1504"/>
      <c r="X2" s="1504"/>
      <c r="Y2" s="1504"/>
      <c r="Z2" s="1504"/>
      <c r="AA2" s="1504"/>
      <c r="AB2" s="1504"/>
      <c r="AC2" s="1603"/>
    </row>
    <row r="3" s="919" customFormat="1" ht="28.5" customHeight="1" spans="1:29">
      <c r="A3" s="352" t="s">
        <v>987</v>
      </c>
      <c r="B3" s="944" t="e">
        <f ca="1">IF(AND(C2="——",B37="元/平方米"),C39,ROUND(B2*10000/D3,0))</f>
        <v>#DIV/0!</v>
      </c>
      <c r="C3" s="945" t="s">
        <v>1465</v>
      </c>
      <c r="D3" s="946">
        <f>SUMIF('数据-汇总表'!$C19:$C33,D1,'数据-汇总表'!$E19:$E33)</f>
        <v>0</v>
      </c>
      <c r="E3" s="945" t="s">
        <v>1614</v>
      </c>
      <c r="F3" s="946">
        <f>SUMIF('数据-取费表'!A5:A15,D1,'数据-取费表'!AH5:AH15)</f>
        <v>0</v>
      </c>
      <c r="G3" s="943"/>
      <c r="H3" s="943"/>
      <c r="I3" s="943"/>
      <c r="J3" s="943"/>
      <c r="K3" s="1092"/>
      <c r="L3" s="1089"/>
      <c r="M3" s="1090" t="e">
        <f ca="1">IF(C2="——",IF(B37="元/平方米",ROUND(C39*D3/10000,0),ROUND(F3*C39/10000,0)),IF(B37="元/平方米",ROUND(C39*D3/10000,0),ROUND(F3*C39/10000,0))-D2)</f>
        <v>#DIV/0!</v>
      </c>
      <c r="N3" s="1090"/>
      <c r="O3" s="1090"/>
      <c r="P3" s="1699"/>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SUMIF(48:48,YEAR(E7)&amp;"-"&amp;MONTH(E7),49:49)</f>
        <v>0</v>
      </c>
      <c r="G7" s="971"/>
      <c r="H7" s="970">
        <f>SUMIF(48:48,YEAR(G7)&amp;"-"&amp;MONTH(G7),49:49)</f>
        <v>0</v>
      </c>
      <c r="I7" s="971"/>
      <c r="J7" s="970">
        <f>SUMIF(48:48,YEAR(I7)&amp;"-"&amp;MONTH(I7),49:49)</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SUMIF(51:51,E8,52:52)-SUMIF(51:51,C8,52:52)+100</f>
        <v>100</v>
      </c>
      <c r="G8" s="973"/>
      <c r="H8" s="970">
        <f>SUMIF(51:51,G8,52:52)-SUMIF(51:51,C8,52:52)+100</f>
        <v>100</v>
      </c>
      <c r="I8" s="973"/>
      <c r="J8" s="970">
        <f>SUMIF(51:51,I8,52:52)-SUMIF(51:51,C8,52:52)+100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6" si="3">D8/F8</f>
        <v>1</v>
      </c>
      <c r="AB8" s="1175">
        <f t="shared" ref="AB8:AB36" si="4">D8/H8</f>
        <v>1</v>
      </c>
      <c r="AC8" s="1175">
        <f t="shared" ref="AC8:AC36" si="5">D8/J8</f>
        <v>1</v>
      </c>
    </row>
    <row r="9" s="920" customFormat="1" spans="1:29">
      <c r="A9" s="1671" t="s">
        <v>1484</v>
      </c>
      <c r="B9" s="1672" t="s">
        <v>1485</v>
      </c>
      <c r="C9" s="1650"/>
      <c r="D9" s="977">
        <v>100</v>
      </c>
      <c r="E9" s="1651"/>
      <c r="F9" s="977">
        <f>SUMIF(53:53,E9,54:54)-SUMIF(53:53,C9,54:54)+100</f>
        <v>100</v>
      </c>
      <c r="G9" s="978"/>
      <c r="H9" s="977">
        <f>SUMIF(53:53,G9,54:54)-SUMIF(53:53,C9,54:54)+100</f>
        <v>100</v>
      </c>
      <c r="I9" s="978"/>
      <c r="J9" s="977">
        <f>SUMIF(53:53,I9,54:54)-SUMIF(53:53,C9,54:54)+100</f>
        <v>100</v>
      </c>
      <c r="K9" s="1096"/>
      <c r="L9" s="1097"/>
      <c r="M9" s="1098"/>
      <c r="N9" s="1098"/>
      <c r="O9" s="1098"/>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1673"/>
      <c r="B10" s="1674" t="s">
        <v>1488</v>
      </c>
      <c r="C10" s="981"/>
      <c r="D10" s="982">
        <v>100</v>
      </c>
      <c r="E10" s="981"/>
      <c r="F10" s="982">
        <f>SUMIF(55:55,E10,56:56)-SUMIF(55:55,C10,56:56)+100</f>
        <v>100</v>
      </c>
      <c r="G10" s="983"/>
      <c r="H10" s="982">
        <f>SUMIF(55:55,G10,56:56)-SUMIF(55:55,C10,56:56)+100</f>
        <v>100</v>
      </c>
      <c r="I10" s="981"/>
      <c r="J10" s="982">
        <f>SUMIF(55:55,I10,56:56)-SUMIF(55:55,C10,56:56)+100</f>
        <v>100</v>
      </c>
      <c r="K10" s="1096"/>
      <c r="L10" s="1101"/>
      <c r="M10" s="1102"/>
      <c r="N10" s="1102"/>
      <c r="O10" s="1102"/>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1675"/>
      <c r="B11" s="1676">
        <v>111</v>
      </c>
      <c r="C11" s="989"/>
      <c r="D11" s="982">
        <v>100</v>
      </c>
      <c r="E11" s="989"/>
      <c r="F11" s="982">
        <f>SUMIF(57:57,E11,58:58)-SUMIF(57:57,C11,58:58)+100</f>
        <v>100</v>
      </c>
      <c r="G11" s="989"/>
      <c r="H11" s="982">
        <f>SUMIF(57:57,G11,58:58)-SUMIF(57:57,C11,58:58)+100</f>
        <v>100</v>
      </c>
      <c r="I11" s="989"/>
      <c r="J11" s="982">
        <f>SUMIF(57:57,I11,58:58)-SUMIF(57:57,C11,58:58)+100</f>
        <v>100</v>
      </c>
      <c r="K11" s="1105"/>
      <c r="L11" s="1104"/>
      <c r="M11" s="1054"/>
      <c r="N11" s="1054"/>
      <c r="O11" s="1054"/>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1677"/>
      <c r="B12" s="1676">
        <v>111</v>
      </c>
      <c r="C12" s="989"/>
      <c r="D12" s="990">
        <v>100</v>
      </c>
      <c r="E12" s="989"/>
      <c r="F12" s="982">
        <f>SUMIF(59:59,E12,60:60)-SUMIF(59:59,C12,60:60)+100</f>
        <v>100</v>
      </c>
      <c r="G12" s="989"/>
      <c r="H12" s="982">
        <f>SUMIF(59:59,G12,60:60)-SUMIF(59:59,C12,60:60)+100</f>
        <v>100</v>
      </c>
      <c r="I12" s="989"/>
      <c r="J12" s="982">
        <f>SUMIF(59:59,I12,60:60)-SUMIF(59:59,C12,60:60)+100</f>
        <v>100</v>
      </c>
      <c r="K12" s="1105"/>
      <c r="L12" s="1097"/>
      <c r="M12" s="1098"/>
      <c r="N12" s="1098"/>
      <c r="O12" s="1098"/>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1678"/>
      <c r="B13" s="1676">
        <v>111</v>
      </c>
      <c r="C13" s="991"/>
      <c r="D13" s="780">
        <v>100</v>
      </c>
      <c r="E13" s="989"/>
      <c r="F13" s="982">
        <f>SUMIF(61:61,E13,62:62)-SUMIF(61:61,C13,62:62)+100</f>
        <v>100</v>
      </c>
      <c r="G13" s="989"/>
      <c r="H13" s="780">
        <f>SUMIF(61:61,G13,62:62)-SUMIF(61:61,C13,62:62)+100</f>
        <v>100</v>
      </c>
      <c r="I13" s="989"/>
      <c r="J13" s="780">
        <f>SUMIF(61:61,I13,62:62)-SUMIF(61:61,C13,62:62)+100</f>
        <v>100</v>
      </c>
      <c r="K13" s="1105"/>
      <c r="L13" s="1106"/>
      <c r="M13" s="1054"/>
      <c r="N13" s="1054"/>
      <c r="O13" s="1054"/>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49" t="s">
        <v>1490</v>
      </c>
      <c r="B14" s="1517" t="s">
        <v>1493</v>
      </c>
      <c r="C14" s="1518" t="str">
        <f>IF(B1="工业",估价对象房地状况!G4,估价对象房地状况!C6)</f>
        <v>估价对象周边道路状况、公共交通通达情况、停车便捷程度，综合评价交通便捷度较好</v>
      </c>
      <c r="D14" s="1000">
        <v>100</v>
      </c>
      <c r="E14" s="1001"/>
      <c r="F14" s="1002">
        <f>SUMIF(63:63,E15,64:64)-SUMIF(63:63,C15,64:64)+100</f>
        <v>100</v>
      </c>
      <c r="G14" s="1003"/>
      <c r="H14" s="1000">
        <f>SUMIF(63:63,G15,64:64)-SUMIF(63:63,C15,64:64)+100</f>
        <v>100</v>
      </c>
      <c r="I14" s="1001"/>
      <c r="J14" s="1000">
        <f>SUMIF(63:63,I15,64:64)-SUMIF(63:63,C15,64:64)+100</f>
        <v>100</v>
      </c>
      <c r="K14" s="1107"/>
      <c r="L14" s="1106"/>
      <c r="M14" s="1054"/>
      <c r="N14" s="1054"/>
      <c r="O14" s="1054"/>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55"/>
      <c r="B15" s="1679"/>
      <c r="C15" s="1005"/>
      <c r="D15" s="1006"/>
      <c r="E15" s="1005"/>
      <c r="F15" s="1007"/>
      <c r="G15" s="1005"/>
      <c r="H15" s="1008"/>
      <c r="I15" s="1005"/>
      <c r="J15" s="1006"/>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40.5" spans="1:29">
      <c r="A16" s="955"/>
      <c r="B16" s="1521" t="s">
        <v>1494</v>
      </c>
      <c r="C16" s="1010" t="str">
        <f>IF(B1="工业",估价对象房地状况!G5,估价对象房地状况!C7)</f>
        <v>估价对象所在区域公共配套设施齐备情况</v>
      </c>
      <c r="D16" s="1014">
        <v>100</v>
      </c>
      <c r="E16" s="1017"/>
      <c r="F16" s="1018">
        <f>SUMIF(65:65,E17,66:66)-SUMIF(65:65,C17,66:66)+100</f>
        <v>100</v>
      </c>
      <c r="G16" s="1019"/>
      <c r="H16" s="1014">
        <f>SUMIF(65:65,G17,66:66)-SUMIF(65:65,C17,66:66)+100</f>
        <v>100</v>
      </c>
      <c r="I16" s="1017"/>
      <c r="J16" s="1014">
        <f>SUMIF(65:65,I17,66:66)-SUMIF(65:65,C17,66:66)+100</f>
        <v>100</v>
      </c>
      <c r="K16" s="1107"/>
      <c r="L16" s="1106"/>
      <c r="M16" s="1054"/>
      <c r="N16" s="1054"/>
      <c r="O16" s="1054"/>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55"/>
      <c r="B17" s="1026"/>
      <c r="C17" s="1016"/>
      <c r="D17" s="1006"/>
      <c r="E17" s="1005"/>
      <c r="F17" s="1007"/>
      <c r="G17" s="1005"/>
      <c r="H17" s="1006"/>
      <c r="I17" s="1005"/>
      <c r="J17" s="1006"/>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27" spans="1:29">
      <c r="A18" s="955"/>
      <c r="B18" s="1523" t="s">
        <v>1495</v>
      </c>
      <c r="C18" s="1010" t="str">
        <f>IF(B1="工业",估价对象房地状况!G6,估价对象房地状况!C8)</f>
        <v>估价对象所在区域基础设施水平</v>
      </c>
      <c r="D18" s="1008">
        <v>100</v>
      </c>
      <c r="E18" s="1011"/>
      <c r="F18" s="1018">
        <f>SUMIF(67:67,E19,68:68)-SUMIF(67:67,C19,68:68)+100</f>
        <v>100</v>
      </c>
      <c r="G18" s="1013"/>
      <c r="H18" s="1014">
        <f>SUMIF(67:67,G19,68:68)-SUMIF(67:67,C19,68:68)+100</f>
        <v>100</v>
      </c>
      <c r="I18" s="1011"/>
      <c r="J18" s="1014">
        <f>SUMIF(67:67,I19,68:68)-SUMIF(67:67,C19,68:68)+100</f>
        <v>100</v>
      </c>
      <c r="K18" s="1107"/>
      <c r="L18" s="1106"/>
      <c r="M18" s="1054"/>
      <c r="N18" s="1054"/>
      <c r="O18" s="1054"/>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5"/>
      <c r="B19" s="1523"/>
      <c r="C19" s="1016"/>
      <c r="D19" s="1008"/>
      <c r="E19" s="1016"/>
      <c r="F19" s="1012"/>
      <c r="G19" s="1016"/>
      <c r="H19" s="1006"/>
      <c r="I19" s="1005"/>
      <c r="J19" s="1006"/>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54" spans="1:29">
      <c r="A20" s="955"/>
      <c r="B20" s="1521" t="s">
        <v>1496</v>
      </c>
      <c r="C20" s="1010" t="str">
        <f>IF(B1="工业",估价对象房地状况!G7,估价对象房地状况!C9)</f>
        <v>区域自然环境：；人文环境；综合评价环境状况一般</v>
      </c>
      <c r="D20" s="1014">
        <v>100</v>
      </c>
      <c r="E20" s="1017"/>
      <c r="F20" s="1018">
        <f>SUMIF(69:69,E21,70:70)-SUMIF(69:69,C21,70:70)+100</f>
        <v>100</v>
      </c>
      <c r="G20" s="1019"/>
      <c r="H20" s="1008">
        <f>SUMIF(69:69,G21,70:70)-SUMIF(69:69,C21,70:70)+100</f>
        <v>100</v>
      </c>
      <c r="I20" s="1011"/>
      <c r="J20" s="1008">
        <f>SUMIF(69:69,I21,70:70)-SUMIF(69:69,C21,70:70)+100</f>
        <v>100</v>
      </c>
      <c r="K20" s="1107"/>
      <c r="L20" s="1106"/>
      <c r="M20" s="1054"/>
      <c r="N20" s="1054"/>
      <c r="O20" s="1054"/>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55"/>
      <c r="B21" s="1026"/>
      <c r="C21" s="1005"/>
      <c r="D21" s="1006"/>
      <c r="E21" s="1005"/>
      <c r="F21" s="1007"/>
      <c r="G21" s="1005"/>
      <c r="H21" s="1006"/>
      <c r="I21" s="1005"/>
      <c r="J21" s="1006"/>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5"/>
      <c r="B22" s="1521" t="s">
        <v>1569</v>
      </c>
      <c r="C22" s="1021"/>
      <c r="D22" s="1008">
        <v>100</v>
      </c>
      <c r="E22" s="1021"/>
      <c r="F22" s="1022">
        <f>SUMIF(71:71,E22,72:72)-SUMIF(71:71,C22,72:72)+100</f>
        <v>100</v>
      </c>
      <c r="G22" s="1021"/>
      <c r="H22" s="780">
        <f>SUMIF(71:71,G22,72:72)-SUMIF(71:71,C22,72:72)+100</f>
        <v>100</v>
      </c>
      <c r="I22" s="1021"/>
      <c r="J22" s="780">
        <f>SUMIF(71:71,I22,72:72)-SUMIF(71:71,C22,72:72)+100</f>
        <v>100</v>
      </c>
      <c r="K22" s="1103"/>
      <c r="L22" s="1106"/>
      <c r="M22" s="1054"/>
      <c r="N22" s="1054"/>
      <c r="O22" s="1054"/>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1136">
        <v>111</v>
      </c>
      <c r="C23" s="989"/>
      <c r="D23" s="780">
        <v>100</v>
      </c>
      <c r="E23" s="989"/>
      <c r="F23" s="1022">
        <f>SUMIF(73:73,E23,74:74)-SUMIF(73:73,C23,74:74)+100</f>
        <v>100</v>
      </c>
      <c r="G23" s="989"/>
      <c r="H23" s="780">
        <f>SUMIF(73:73,G23,74:74)-SUMIF(73:73,C23,74:74)+100</f>
        <v>100</v>
      </c>
      <c r="I23" s="989"/>
      <c r="J23" s="780">
        <f>SUMIF(73:73,I23,74:74)-SUMIF(73:73,C23,74:74)+100</f>
        <v>100</v>
      </c>
      <c r="K23" s="1105"/>
      <c r="L23" s="1106"/>
      <c r="M23" s="1054"/>
      <c r="N23" s="1054"/>
      <c r="O23" s="1054"/>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55"/>
      <c r="B24" s="1136">
        <v>111</v>
      </c>
      <c r="C24" s="989"/>
      <c r="D24" s="780">
        <v>100</v>
      </c>
      <c r="E24" s="989"/>
      <c r="F24" s="1022">
        <f>SUMIF(75:75,E24,76:76)-SUMIF(75:75,C24,76:76)+100</f>
        <v>100</v>
      </c>
      <c r="G24" s="989"/>
      <c r="H24" s="780">
        <f>SUMIF(75:75,G24,76:76)-SUMIF(75:75,C24,76:76)+100</f>
        <v>100</v>
      </c>
      <c r="I24" s="989"/>
      <c r="J24" s="780">
        <f>SUMIF(75:75,I24,76:76)-SUMIF(75:75,C24,76:76)+100</f>
        <v>100</v>
      </c>
      <c r="K24" s="1105"/>
      <c r="L24" s="1106"/>
      <c r="M24" s="1054"/>
      <c r="N24" s="1054"/>
      <c r="O24" s="1054"/>
      <c r="P24" s="1177"/>
      <c r="Q24" s="644">
        <f t="shared" ref="Q24:Q36"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1069"/>
      <c r="B25" s="1680">
        <v>111</v>
      </c>
      <c r="C25" s="994"/>
      <c r="D25" s="1681">
        <v>100</v>
      </c>
      <c r="E25" s="1682"/>
      <c r="F25" s="1683">
        <f>SUMIF(77:77,E25,78:78)-SUMIF(77:77,C25,78:78)+100</f>
        <v>100</v>
      </c>
      <c r="G25" s="1682"/>
      <c r="H25" s="1681">
        <f>SUMIF(77:77,G25,78:78)-SUMIF(77:77,C25,78:78)+100</f>
        <v>100</v>
      </c>
      <c r="I25" s="1682"/>
      <c r="J25" s="1681">
        <f>SUMIF(77:77,I25,78:78)-SUMIF(77:77,C25,78:78)+100</f>
        <v>100</v>
      </c>
      <c r="K25" s="1105"/>
      <c r="L25" s="1097"/>
      <c r="M25" s="1098"/>
      <c r="N25" s="1098"/>
      <c r="O25" s="1098"/>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84" t="s">
        <v>1499</v>
      </c>
      <c r="B26" s="977" t="s">
        <v>1615</v>
      </c>
      <c r="C26" s="1685" t="str">
        <f>B1</f>
        <v>车库</v>
      </c>
      <c r="D26" s="1006">
        <v>100</v>
      </c>
      <c r="E26" s="1005"/>
      <c r="F26" s="1007">
        <f>SUMIF(79:79,E26,80:80)-SUMIF(79:79,C26,80:80)+100</f>
        <v>0</v>
      </c>
      <c r="G26" s="1005"/>
      <c r="H26" s="1006">
        <f>SUMIF(79:79,G26,80:80)-SUMIF(79:79,C26,80:80)+100</f>
        <v>0</v>
      </c>
      <c r="I26" s="1005"/>
      <c r="J26" s="1006">
        <f>SUMIF(79:79,I26,80:80)-SUMIF(79:79,C26,80:80)+100</f>
        <v>0</v>
      </c>
      <c r="K26" s="1103"/>
      <c r="L26" s="1106"/>
      <c r="M26" s="1054"/>
      <c r="N26" s="1054"/>
      <c r="O26" s="1054"/>
      <c r="P26" s="1590" t="s">
        <v>1501</v>
      </c>
      <c r="Q26" s="644" t="str">
        <f t="shared" si="11"/>
        <v>配套类型</v>
      </c>
      <c r="R26" s="1162" t="s">
        <v>1481</v>
      </c>
      <c r="S26" s="1163">
        <f t="shared" ref="S26:S36" si="12">F26</f>
        <v>0</v>
      </c>
      <c r="T26" s="1162" t="s">
        <v>1481</v>
      </c>
      <c r="U26" s="1163">
        <f t="shared" ref="U26:U36" si="13">H26</f>
        <v>0</v>
      </c>
      <c r="V26" s="1162" t="s">
        <v>1481</v>
      </c>
      <c r="W26" s="1163">
        <f t="shared" ref="W26:W36" si="14">J26</f>
        <v>0</v>
      </c>
      <c r="X26" s="1150"/>
      <c r="Y26" s="1178" t="s">
        <v>1501</v>
      </c>
      <c r="Z26" s="1149" t="str">
        <f t="shared" ref="Z26:Z36" si="15">Q26</f>
        <v>配套类型</v>
      </c>
      <c r="AA26" s="1149" t="e">
        <f t="shared" si="3"/>
        <v>#DIV/0!</v>
      </c>
      <c r="AB26" s="1149" t="e">
        <f t="shared" si="4"/>
        <v>#DIV/0!</v>
      </c>
      <c r="AC26" s="1149" t="e">
        <f t="shared" si="5"/>
        <v>#DIV/0!</v>
      </c>
    </row>
    <row r="27" s="922" customFormat="1" ht="15" spans="1:29">
      <c r="A27" s="1686"/>
      <c r="B27" s="982" t="s">
        <v>1616</v>
      </c>
      <c r="C27" s="1687"/>
      <c r="D27" s="982">
        <v>100</v>
      </c>
      <c r="E27" s="1687"/>
      <c r="F27" s="1022">
        <f>SUMIF(81:81,E27,82:82)-SUMIF(81:81,C27,82:82)+100</f>
        <v>100</v>
      </c>
      <c r="G27" s="1687"/>
      <c r="H27" s="780">
        <f>SUMIF(81:81,G27,82:82)-SUMIF(81:81,C27,82:82)+100</f>
        <v>100</v>
      </c>
      <c r="I27" s="1687"/>
      <c r="J27" s="780">
        <f>SUMIF(81:81,I27,82:82)-SUMIF(81:81,C27,82:82)+100</f>
        <v>100</v>
      </c>
      <c r="K27" s="1105"/>
      <c r="L27" s="1104"/>
      <c r="M27" s="1112"/>
      <c r="N27" s="1112"/>
      <c r="O27" s="1112"/>
      <c r="P27" s="1178"/>
      <c r="Q27" s="1164" t="str">
        <f t="shared" si="11"/>
        <v>项目停车位配比</v>
      </c>
      <c r="R27" s="1165" t="s">
        <v>1481</v>
      </c>
      <c r="S27" s="1166">
        <f t="shared" si="12"/>
        <v>100</v>
      </c>
      <c r="T27" s="1165" t="s">
        <v>1481</v>
      </c>
      <c r="U27" s="1166">
        <f t="shared" si="13"/>
        <v>100</v>
      </c>
      <c r="V27" s="1165" t="s">
        <v>1481</v>
      </c>
      <c r="W27" s="1166">
        <f t="shared" si="14"/>
        <v>100</v>
      </c>
      <c r="X27" s="1167"/>
      <c r="Y27" s="1178"/>
      <c r="Z27" s="1179" t="str">
        <f t="shared" si="15"/>
        <v>项目停车位配比</v>
      </c>
      <c r="AA27" s="1149">
        <f t="shared" si="3"/>
        <v>1</v>
      </c>
      <c r="AB27" s="1149">
        <f t="shared" si="4"/>
        <v>1</v>
      </c>
      <c r="AC27" s="1149">
        <f t="shared" si="5"/>
        <v>1</v>
      </c>
    </row>
    <row r="28" ht="15" spans="1:29">
      <c r="A28" s="1688"/>
      <c r="B28" s="982" t="s">
        <v>1505</v>
      </c>
      <c r="C28" s="1031"/>
      <c r="D28" s="780">
        <v>100</v>
      </c>
      <c r="E28" s="1031"/>
      <c r="F28" s="1022">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1481</v>
      </c>
      <c r="S28" s="1163">
        <f t="shared" si="12"/>
        <v>100</v>
      </c>
      <c r="T28" s="1162" t="s">
        <v>1481</v>
      </c>
      <c r="U28" s="1163">
        <f t="shared" si="13"/>
        <v>100</v>
      </c>
      <c r="V28" s="1162" t="s">
        <v>1481</v>
      </c>
      <c r="W28" s="1163">
        <f t="shared" si="14"/>
        <v>100</v>
      </c>
      <c r="X28" s="1150"/>
      <c r="Y28" s="1178"/>
      <c r="Z28" s="1149" t="str">
        <f t="shared" si="15"/>
        <v>公共部分装修</v>
      </c>
      <c r="AA28" s="1149">
        <f t="shared" si="3"/>
        <v>1</v>
      </c>
      <c r="AB28" s="1149">
        <f t="shared" si="4"/>
        <v>1</v>
      </c>
      <c r="AC28" s="1149">
        <f t="shared" si="5"/>
        <v>1</v>
      </c>
    </row>
    <row r="29" ht="15" spans="1:29">
      <c r="A29" s="1688"/>
      <c r="B29" s="982" t="s">
        <v>1617</v>
      </c>
      <c r="C29" s="1033"/>
      <c r="D29" s="780">
        <v>100</v>
      </c>
      <c r="E29" s="1033"/>
      <c r="F29" s="1022" t="e">
        <f>LOOKUP(E29,86:86,87:87)-LOOKUP(C29,86:86,87:87)+100</f>
        <v>#N/A</v>
      </c>
      <c r="G29" s="1033"/>
      <c r="H29" s="1022" t="e">
        <f>LOOKUP(G29,86:86,87:87)-LOOKUP(C29,86:86,87:87)+100</f>
        <v>#N/A</v>
      </c>
      <c r="I29" s="1033"/>
      <c r="J29" s="780" t="e">
        <f>LOOKUP(I29,86:86,87:87)-LOOKUP(C29,86:86,87:87)+100</f>
        <v>#N/A</v>
      </c>
      <c r="K29" s="1103"/>
      <c r="L29" s="1106"/>
      <c r="M29" s="1054"/>
      <c r="N29" s="1054"/>
      <c r="O29" s="1054"/>
      <c r="P29" s="1178"/>
      <c r="Q29" s="644" t="str">
        <f t="shared" si="11"/>
        <v>成新率</v>
      </c>
      <c r="R29" s="1162" t="s">
        <v>1481</v>
      </c>
      <c r="S29" s="1163" t="e">
        <f t="shared" si="12"/>
        <v>#N/A</v>
      </c>
      <c r="T29" s="1162" t="s">
        <v>1481</v>
      </c>
      <c r="U29" s="1163" t="e">
        <f t="shared" si="13"/>
        <v>#N/A</v>
      </c>
      <c r="V29" s="1162" t="s">
        <v>1481</v>
      </c>
      <c r="W29" s="1163" t="e">
        <f t="shared" si="14"/>
        <v>#N/A</v>
      </c>
      <c r="X29" s="1150"/>
      <c r="Y29" s="1178"/>
      <c r="Z29" s="1149" t="str">
        <f t="shared" si="15"/>
        <v>成新率</v>
      </c>
      <c r="AA29" s="1149" t="e">
        <f t="shared" si="3"/>
        <v>#N/A</v>
      </c>
      <c r="AB29" s="1149" t="e">
        <f t="shared" si="4"/>
        <v>#N/A</v>
      </c>
      <c r="AC29" s="1149" t="e">
        <f t="shared" si="5"/>
        <v>#N/A</v>
      </c>
    </row>
    <row r="30" ht="15" spans="1:29">
      <c r="A30" s="1688"/>
      <c r="B30" s="982" t="s">
        <v>1618</v>
      </c>
      <c r="C30" s="1657"/>
      <c r="D30" s="780">
        <v>100</v>
      </c>
      <c r="E30" s="1657"/>
      <c r="F30" s="1022">
        <f>SUMIF(88:88,E30,89:89)-SUMIF(88:88,C30,89:89)+100</f>
        <v>100</v>
      </c>
      <c r="G30" s="1657"/>
      <c r="H30" s="780">
        <f>SUMIF(88:88,E30,89:89)-SUMIF(88:88,C30,89:89)+100</f>
        <v>100</v>
      </c>
      <c r="I30" s="1657"/>
      <c r="J30" s="780">
        <f>SUMIF(88:88,E30,89:89)-SUMIF(88:88,C30,89:89)+100</f>
        <v>100</v>
      </c>
      <c r="K30" s="1103"/>
      <c r="L30" s="1106"/>
      <c r="M30" s="1054"/>
      <c r="N30" s="1054"/>
      <c r="O30" s="1054"/>
      <c r="P30" s="1178"/>
      <c r="Q30" s="644" t="str">
        <f t="shared" si="11"/>
        <v>物业等级</v>
      </c>
      <c r="R30" s="1162" t="s">
        <v>1481</v>
      </c>
      <c r="S30" s="1163">
        <f t="shared" si="12"/>
        <v>100</v>
      </c>
      <c r="T30" s="1162" t="s">
        <v>1481</v>
      </c>
      <c r="U30" s="1163">
        <f t="shared" si="13"/>
        <v>100</v>
      </c>
      <c r="V30" s="1162" t="s">
        <v>1481</v>
      </c>
      <c r="W30" s="1163">
        <f t="shared" si="14"/>
        <v>100</v>
      </c>
      <c r="X30" s="1150"/>
      <c r="Y30" s="1178"/>
      <c r="Z30" s="1149" t="str">
        <f t="shared" si="15"/>
        <v>物业等级</v>
      </c>
      <c r="AA30" s="1149">
        <f t="shared" si="3"/>
        <v>1</v>
      </c>
      <c r="AB30" s="1149">
        <f t="shared" si="4"/>
        <v>1</v>
      </c>
      <c r="AC30" s="1149">
        <f t="shared" si="5"/>
        <v>1</v>
      </c>
    </row>
    <row r="31" s="920" customFormat="1" ht="15" spans="1:29">
      <c r="A31" s="1689"/>
      <c r="B31" s="982" t="s">
        <v>1619</v>
      </c>
      <c r="C31" s="1029"/>
      <c r="D31" s="982">
        <v>100</v>
      </c>
      <c r="E31" s="1029"/>
      <c r="F31" s="1022" t="e">
        <f>LOOKUP(E31,91:91,92:92)-LOOKUP(C31,91:91,92:92)+100</f>
        <v>#N/A</v>
      </c>
      <c r="G31" s="1029"/>
      <c r="H31" s="780" t="e">
        <f>LOOKUP(G31,91:91,92:92)-LOOKUP(C31,91:91,92:92)+100</f>
        <v>#N/A</v>
      </c>
      <c r="I31" s="1029"/>
      <c r="J31" s="780" t="e">
        <f>LOOKUP(I31,91:91,92:92)-LOOKUP(C31,91:91,92:92)+100</f>
        <v>#N/A</v>
      </c>
      <c r="K31" s="1103"/>
      <c r="L31" s="1097"/>
      <c r="M31" s="1098"/>
      <c r="N31" s="1098"/>
      <c r="O31" s="1098"/>
      <c r="P31" s="1178"/>
      <c r="Q31" s="815" t="str">
        <f t="shared" si="11"/>
        <v>停车位面积</v>
      </c>
      <c r="R31" s="1158" t="s">
        <v>1481</v>
      </c>
      <c r="S31" s="1159" t="e">
        <f t="shared" si="12"/>
        <v>#N/A</v>
      </c>
      <c r="T31" s="1158" t="s">
        <v>1481</v>
      </c>
      <c r="U31" s="1159" t="e">
        <f t="shared" si="13"/>
        <v>#N/A</v>
      </c>
      <c r="V31" s="1158" t="s">
        <v>1481</v>
      </c>
      <c r="W31" s="1159" t="e">
        <f t="shared" si="14"/>
        <v>#N/A</v>
      </c>
      <c r="X31" s="1160"/>
      <c r="Y31" s="1178"/>
      <c r="Z31" s="1175" t="str">
        <f t="shared" si="15"/>
        <v>停车位面积</v>
      </c>
      <c r="AA31" s="1175" t="e">
        <f t="shared" si="3"/>
        <v>#N/A</v>
      </c>
      <c r="AB31" s="1175" t="e">
        <f t="shared" si="4"/>
        <v>#N/A</v>
      </c>
      <c r="AC31" s="1175" t="e">
        <f t="shared" si="5"/>
        <v>#N/A</v>
      </c>
    </row>
    <row r="32" ht="15" spans="1:29">
      <c r="A32" s="1688"/>
      <c r="B32" s="982" t="s">
        <v>1620</v>
      </c>
      <c r="C32" s="1031"/>
      <c r="D32" s="780">
        <v>100</v>
      </c>
      <c r="E32" s="1031"/>
      <c r="F32" s="1022">
        <f>SUMIF(93:93,E32,94:94)-SUMIF(93:93,C32,94:94)+100</f>
        <v>100</v>
      </c>
      <c r="G32" s="1031"/>
      <c r="H32" s="780">
        <f>SUMIF(93:93,G32,94:94)-SUMIF(93:93,C32,94:94)+100</f>
        <v>100</v>
      </c>
      <c r="I32" s="1031"/>
      <c r="J32" s="780">
        <f>SUMIF(93:93,I32,94:94)-SUMIF(93:93,C32,94:94)+100</f>
        <v>100</v>
      </c>
      <c r="K32" s="1103"/>
      <c r="L32" s="1106"/>
      <c r="M32" s="1054"/>
      <c r="N32" s="1054"/>
      <c r="O32" s="1054"/>
      <c r="P32" s="1178" t="s">
        <v>1501</v>
      </c>
      <c r="Q32" s="644" t="str">
        <f t="shared" si="11"/>
        <v>车位类型</v>
      </c>
      <c r="R32" s="1162" t="s">
        <v>1481</v>
      </c>
      <c r="S32" s="1163">
        <f t="shared" si="12"/>
        <v>100</v>
      </c>
      <c r="T32" s="1162" t="s">
        <v>1481</v>
      </c>
      <c r="U32" s="1163">
        <f t="shared" si="13"/>
        <v>100</v>
      </c>
      <c r="V32" s="1162" t="s">
        <v>1481</v>
      </c>
      <c r="W32" s="1163">
        <f t="shared" si="14"/>
        <v>100</v>
      </c>
      <c r="X32" s="1150"/>
      <c r="Y32" s="1178" t="s">
        <v>1501</v>
      </c>
      <c r="Z32" s="1149" t="str">
        <f t="shared" si="15"/>
        <v>车位类型</v>
      </c>
      <c r="AA32" s="1149">
        <f t="shared" si="3"/>
        <v>1</v>
      </c>
      <c r="AB32" s="1149">
        <f t="shared" si="4"/>
        <v>1</v>
      </c>
      <c r="AC32" s="1149">
        <f t="shared" si="5"/>
        <v>1</v>
      </c>
    </row>
    <row r="33" ht="15" spans="1:29">
      <c r="A33" s="1688"/>
      <c r="B33" s="982" t="s">
        <v>1621</v>
      </c>
      <c r="C33" s="1031"/>
      <c r="D33" s="780">
        <v>100</v>
      </c>
      <c r="E33" s="1031"/>
      <c r="F33" s="1022">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1481</v>
      </c>
      <c r="S33" s="1163">
        <f t="shared" si="12"/>
        <v>100</v>
      </c>
      <c r="T33" s="1162" t="s">
        <v>1481</v>
      </c>
      <c r="U33" s="1163">
        <f t="shared" si="13"/>
        <v>100</v>
      </c>
      <c r="V33" s="1162" t="s">
        <v>1481</v>
      </c>
      <c r="W33" s="1163">
        <f t="shared" si="14"/>
        <v>100</v>
      </c>
      <c r="X33" s="1150"/>
      <c r="Y33" s="1178"/>
      <c r="Z33" s="1149" t="str">
        <f t="shared" si="15"/>
        <v>是否直接入户</v>
      </c>
      <c r="AA33" s="1149">
        <f t="shared" si="3"/>
        <v>1</v>
      </c>
      <c r="AB33" s="1149">
        <f t="shared" si="4"/>
        <v>1</v>
      </c>
      <c r="AC33" s="1149">
        <f t="shared" si="5"/>
        <v>1</v>
      </c>
    </row>
    <row r="34" ht="15" spans="1:29">
      <c r="A34" s="1688"/>
      <c r="B34" s="1136">
        <v>111</v>
      </c>
      <c r="C34" s="989"/>
      <c r="D34" s="780">
        <v>100</v>
      </c>
      <c r="E34" s="989"/>
      <c r="F34" s="1022">
        <f>SUMIF(97:97,E34,98:98)-SUMIF(97:97,C34,98:98)+100</f>
        <v>100</v>
      </c>
      <c r="G34" s="989"/>
      <c r="H34" s="780">
        <f>SUMIF(97:97,G34,98:98)-SUMIF(97:97,C34,98:98)+100</f>
        <v>100</v>
      </c>
      <c r="I34" s="989"/>
      <c r="J34" s="780">
        <f>SUMIF(97:97,I34,98:98)-SUMIF(97:97,C34,98:98)+100</f>
        <v>100</v>
      </c>
      <c r="K34" s="1105"/>
      <c r="L34" s="1106"/>
      <c r="M34" s="1054"/>
      <c r="N34" s="1054"/>
      <c r="O34" s="1054"/>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s="922" customFormat="1" ht="15" spans="1:29">
      <c r="A35" s="1686"/>
      <c r="B35" s="1136">
        <v>111</v>
      </c>
      <c r="C35" s="989"/>
      <c r="D35" s="780">
        <v>100</v>
      </c>
      <c r="E35" s="989"/>
      <c r="F35" s="1022">
        <f>SUMIF(99:99,E35,100:100)-SUMIF(99:99,C35,100:100)+100</f>
        <v>100</v>
      </c>
      <c r="G35" s="989"/>
      <c r="H35" s="780">
        <f>SUMIF(99:99,G35,100:100)-SUMIF(99:99,C35,100:100)+100</f>
        <v>100</v>
      </c>
      <c r="I35" s="989"/>
      <c r="J35" s="780">
        <f>SUMIF(99:99,I35,100:100)-SUMIF(99:99,C35,100:100)+100</f>
        <v>100</v>
      </c>
      <c r="K35" s="1105"/>
      <c r="L35" s="1104"/>
      <c r="M35" s="1112"/>
      <c r="N35" s="1112"/>
      <c r="O35" s="1112"/>
      <c r="P35" s="1178"/>
      <c r="Q35" s="1164">
        <f t="shared" si="11"/>
        <v>111</v>
      </c>
      <c r="R35" s="1165" t="s">
        <v>1481</v>
      </c>
      <c r="S35" s="1166">
        <f t="shared" si="12"/>
        <v>100</v>
      </c>
      <c r="T35" s="1165" t="s">
        <v>1481</v>
      </c>
      <c r="U35" s="1166">
        <f t="shared" si="13"/>
        <v>100</v>
      </c>
      <c r="V35" s="1165" t="s">
        <v>1481</v>
      </c>
      <c r="W35" s="1166">
        <f t="shared" si="14"/>
        <v>100</v>
      </c>
      <c r="X35" s="1167"/>
      <c r="Y35" s="1178"/>
      <c r="Z35" s="1179">
        <f t="shared" si="15"/>
        <v>111</v>
      </c>
      <c r="AA35" s="1149">
        <f t="shared" si="3"/>
        <v>1</v>
      </c>
      <c r="AB35" s="1149">
        <f t="shared" si="4"/>
        <v>1</v>
      </c>
      <c r="AC35" s="1149">
        <f t="shared" si="5"/>
        <v>1</v>
      </c>
    </row>
    <row r="36" ht="15.75" spans="1:29">
      <c r="A36" s="1690"/>
      <c r="B36" s="1680">
        <v>111</v>
      </c>
      <c r="C36" s="991"/>
      <c r="D36" s="780">
        <v>100</v>
      </c>
      <c r="E36" s="989"/>
      <c r="F36" s="1022">
        <f>SUMIF(101:101,E36,102:102)-SUMIF(101:101,C36,102:102)+100</f>
        <v>100</v>
      </c>
      <c r="G36" s="989"/>
      <c r="H36" s="780">
        <f>SUMIF(101:101,G36,102:102)-SUMIF(101:101,C36,102:102)+100</f>
        <v>100</v>
      </c>
      <c r="I36" s="989"/>
      <c r="J36" s="780">
        <f>SUMIF(101:101,I36,102:102)-SUMIF(101:101,C36,102:102)+100</f>
        <v>100</v>
      </c>
      <c r="K36" s="1105"/>
      <c r="L36" s="1106"/>
      <c r="M36" s="1054"/>
      <c r="N36" s="1054"/>
      <c r="O36" s="1054"/>
      <c r="P36" s="1178"/>
      <c r="Q36" s="644">
        <f t="shared" si="11"/>
        <v>111</v>
      </c>
      <c r="R36" s="1162" t="s">
        <v>1481</v>
      </c>
      <c r="S36" s="1163">
        <f t="shared" si="12"/>
        <v>100</v>
      </c>
      <c r="T36" s="1162" t="s">
        <v>1481</v>
      </c>
      <c r="U36" s="1163">
        <f t="shared" si="13"/>
        <v>100</v>
      </c>
      <c r="V36" s="1162" t="s">
        <v>1481</v>
      </c>
      <c r="W36" s="1163">
        <f t="shared" si="14"/>
        <v>100</v>
      </c>
      <c r="X36" s="1150"/>
      <c r="Y36" s="1178"/>
      <c r="Z36" s="1149">
        <f t="shared" si="15"/>
        <v>111</v>
      </c>
      <c r="AA36" s="1149">
        <f t="shared" si="3"/>
        <v>1</v>
      </c>
      <c r="AB36" s="1149">
        <f t="shared" si="4"/>
        <v>1</v>
      </c>
      <c r="AC36" s="1149">
        <f t="shared" si="5"/>
        <v>1</v>
      </c>
    </row>
    <row r="37" ht="15" spans="1:29">
      <c r="A37" s="1038" t="s">
        <v>1622</v>
      </c>
      <c r="B37" s="1691" t="s">
        <v>1623</v>
      </c>
      <c r="C37" s="1040" t="s">
        <v>124</v>
      </c>
      <c r="D37" s="1041"/>
      <c r="E37" s="1042"/>
      <c r="F37" s="1043"/>
      <c r="G37" s="1044"/>
      <c r="H37" s="1045"/>
      <c r="I37" s="1042"/>
      <c r="J37" s="1045"/>
      <c r="K37" s="1700"/>
      <c r="L37" s="1593"/>
      <c r="M37" s="1054"/>
      <c r="N37" s="1054"/>
      <c r="O37" s="1054"/>
      <c r="P37" s="644" t="str">
        <f>A37</f>
        <v>成交单价</v>
      </c>
      <c r="Q37" s="644"/>
      <c r="R37" s="1149">
        <f>E37</f>
        <v>0</v>
      </c>
      <c r="S37" s="1149"/>
      <c r="T37" s="1149">
        <f>G37</f>
        <v>0</v>
      </c>
      <c r="U37" s="1149"/>
      <c r="V37" s="1149">
        <f>I37</f>
        <v>0</v>
      </c>
      <c r="W37" s="1149"/>
      <c r="X37" s="1004"/>
      <c r="Y37" s="1181"/>
      <c r="Z37" s="1004"/>
      <c r="AA37" s="1004"/>
      <c r="AB37" s="1004"/>
      <c r="AC37" s="1004"/>
    </row>
    <row r="38" ht="15.75" spans="1:29">
      <c r="A38" s="1046" t="s">
        <v>1513</v>
      </c>
      <c r="B38" s="1047" t="str">
        <f>B37</f>
        <v>元/平方米</v>
      </c>
      <c r="C38" s="1048" t="e">
        <f>R39</f>
        <v>#DIV/0!</v>
      </c>
      <c r="D38" s="1049" t="s">
        <v>1514</v>
      </c>
      <c r="E38" s="1050" t="e">
        <f>R38</f>
        <v>#DIV/0!</v>
      </c>
      <c r="F38" s="1051"/>
      <c r="G38" s="1048" t="e">
        <f>T38</f>
        <v>#DIV/0!</v>
      </c>
      <c r="H38" s="1051"/>
      <c r="I38" s="1050" t="e">
        <f>V38</f>
        <v>#DIV/0!</v>
      </c>
      <c r="J38" s="1051"/>
      <c r="K38" s="1117">
        <f>F38+H38+J38</f>
        <v>0</v>
      </c>
      <c r="L38" s="1593"/>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4"/>
      <c r="Y38" s="1004"/>
      <c r="Z38" s="1004"/>
      <c r="AA38" s="1004"/>
      <c r="AB38" s="1004"/>
      <c r="AC38" s="1004"/>
    </row>
    <row r="39" ht="15.75" spans="1:29">
      <c r="A39" s="1052" t="s">
        <v>1624</v>
      </c>
      <c r="B39" s="1053"/>
      <c r="C39" s="962" t="e">
        <f>R39</f>
        <v>#DIV/0!</v>
      </c>
      <c r="D39" s="962"/>
      <c r="E39" s="962"/>
      <c r="F39" s="962"/>
      <c r="G39" s="962"/>
      <c r="H39" s="962"/>
      <c r="I39" s="962"/>
      <c r="J39" s="962"/>
      <c r="K39" s="1701"/>
      <c r="L39" s="1593"/>
      <c r="M39" s="1054"/>
      <c r="N39" s="1054"/>
      <c r="O39" s="1054"/>
      <c r="P39" s="1022" t="str">
        <f>A39</f>
        <v>估价对象XX用房的比较价值（楼面单价，元/平方米）</v>
      </c>
      <c r="Q39" s="1168"/>
      <c r="R39" s="1658" t="e">
        <f>IF(F1="售价",ROUND(IF(D38="简单平均",AVERAGE(R38:W38),R38*F38+T38*H38+V38*J38),0),ROUND(IF(D38="简单平均",AVERAGE(R38:V38),R38*F38+T38*H38+V38*J38),1))</f>
        <v>#DIV/0!</v>
      </c>
      <c r="S39" s="1658"/>
      <c r="T39" s="1658"/>
      <c r="U39" s="1658"/>
      <c r="V39" s="1658"/>
      <c r="W39" s="1658"/>
      <c r="X39" s="1004"/>
      <c r="Y39" s="1004"/>
      <c r="Z39" s="1004"/>
      <c r="AA39" s="1004"/>
      <c r="AB39" s="1004"/>
      <c r="AC39" s="1004"/>
    </row>
    <row r="40" spans="1:29">
      <c r="A40" s="1054"/>
      <c r="B40" s="1054"/>
      <c r="C40" s="1054"/>
      <c r="D40" s="1054"/>
      <c r="E40" s="1054"/>
      <c r="F40" s="1054"/>
      <c r="G40" s="1547"/>
      <c r="H40" s="1054"/>
      <c r="I40" s="1054"/>
      <c r="J40" s="1054"/>
      <c r="K40" s="1119"/>
      <c r="L40" s="1121"/>
      <c r="M40" s="1054"/>
      <c r="N40" s="1054"/>
      <c r="O40" s="1054"/>
      <c r="P40" s="1702"/>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2"/>
      <c r="Q41" s="1054"/>
      <c r="R41" s="1054"/>
      <c r="S41" s="1054"/>
      <c r="T41" s="1054"/>
      <c r="U41" s="1054"/>
      <c r="V41" s="1054"/>
      <c r="W41" s="1054"/>
      <c r="X41" s="1054"/>
      <c r="Y41" s="1054"/>
      <c r="Z41" s="1054"/>
      <c r="AA41" s="1054"/>
      <c r="AB41" s="1054"/>
      <c r="AC41" s="1054"/>
    </row>
    <row r="42" ht="13.5" customHeight="1" spans="1:29">
      <c r="A42" s="1054"/>
      <c r="B42" s="1054"/>
      <c r="C42" s="1056" t="s">
        <v>1516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2"/>
      <c r="Q42" s="1054"/>
      <c r="R42" s="1054"/>
      <c r="S42" s="1054"/>
      <c r="T42" s="1054"/>
      <c r="U42" s="1054"/>
      <c r="V42" s="1054"/>
      <c r="W42" s="1054"/>
      <c r="X42" s="1054"/>
      <c r="Y42" s="1054"/>
      <c r="Z42" s="1054"/>
      <c r="AA42" s="1054"/>
      <c r="AB42" s="1054"/>
      <c r="AC42" s="1054"/>
    </row>
    <row r="43" ht="13.5" customHeight="1" spans="1:29">
      <c r="A43" s="1054"/>
      <c r="B43" s="1054"/>
      <c r="C43" s="1056" t="s">
        <v>1517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2"/>
      <c r="Q43" s="1054"/>
      <c r="R43" s="1054"/>
      <c r="S43" s="1054"/>
      <c r="T43" s="1054"/>
      <c r="U43" s="1054"/>
      <c r="V43" s="1054"/>
      <c r="W43" s="1054"/>
      <c r="X43" s="1054"/>
      <c r="Y43" s="1054"/>
      <c r="Z43" s="1054"/>
      <c r="AA43" s="1054"/>
      <c r="AB43" s="1054"/>
      <c r="AC43" s="1054"/>
    </row>
    <row r="44" s="923" customFormat="1" ht="13.5" customHeight="1" spans="1:29">
      <c r="A44" s="1059"/>
      <c r="B44" s="1059"/>
      <c r="C44" s="1056" t="s">
        <v>1518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3"/>
      <c r="Q44" s="1059"/>
      <c r="R44" s="1059"/>
      <c r="S44" s="1059"/>
      <c r="T44" s="1059"/>
      <c r="U44" s="1059"/>
      <c r="V44" s="1059"/>
      <c r="W44" s="1059"/>
      <c r="X44" s="1059"/>
      <c r="Y44" s="1059"/>
      <c r="Z44" s="1059"/>
      <c r="AA44" s="1059"/>
      <c r="AB44" s="1059"/>
      <c r="AC44" s="1059"/>
    </row>
    <row r="45" s="923" customFormat="1" spans="1:29">
      <c r="A45" s="1059"/>
      <c r="B45" s="1060"/>
      <c r="C45" s="1061"/>
      <c r="D45" s="1059"/>
      <c r="E45" s="1059"/>
      <c r="F45" s="1059"/>
      <c r="G45" s="1059"/>
      <c r="H45" s="1059"/>
      <c r="I45" s="1059"/>
      <c r="J45" s="1059"/>
      <c r="K45" s="1122"/>
      <c r="L45" s="1123"/>
      <c r="M45" s="1059"/>
      <c r="N45" s="1059"/>
      <c r="O45" s="1059"/>
      <c r="P45" s="1703"/>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2"/>
      <c r="Q46" s="1054"/>
      <c r="R46" s="1054"/>
      <c r="S46" s="1054"/>
      <c r="T46" s="1054"/>
      <c r="U46" s="1054"/>
      <c r="V46" s="1054"/>
      <c r="W46" s="1054"/>
      <c r="X46" s="1054"/>
      <c r="Y46" s="1054"/>
      <c r="Z46" s="1054"/>
      <c r="AA46" s="1054"/>
      <c r="AB46" s="1054"/>
      <c r="AC46" s="1054"/>
    </row>
    <row r="47" ht="21" spans="1:29">
      <c r="A47" s="1692" t="s">
        <v>1519</v>
      </c>
      <c r="B47" s="1576"/>
      <c r="C47" s="1127"/>
      <c r="D47" s="1127"/>
      <c r="E47" s="1127"/>
      <c r="F47" s="1693"/>
      <c r="G47" s="1693"/>
      <c r="H47" s="1127"/>
      <c r="I47" s="1127"/>
      <c r="J47" s="1127"/>
      <c r="K47" s="1644"/>
      <c r="L47" s="1126"/>
      <c r="M47" s="1127"/>
      <c r="N47" s="1600"/>
      <c r="O47" s="1600"/>
      <c r="P47" s="1704"/>
      <c r="Q47" s="1170"/>
      <c r="R47" s="1054"/>
      <c r="S47" s="1054"/>
      <c r="T47" s="1054"/>
      <c r="U47" s="1054"/>
      <c r="V47" s="1054"/>
      <c r="W47" s="1054"/>
      <c r="X47" s="1054"/>
      <c r="Y47" s="1054"/>
      <c r="Z47" s="1054"/>
      <c r="AA47" s="1054"/>
      <c r="AB47" s="1054"/>
      <c r="AC47" s="1054"/>
    </row>
    <row r="48" s="924" customFormat="1" ht="15" spans="1:29">
      <c r="A48" s="1065" t="s">
        <v>1479</v>
      </c>
      <c r="B48" s="1066"/>
      <c r="C48" s="1067" t="str">
        <f>YEAR(C7)&amp;"-"&amp;MONTH(C7)</f>
        <v>2025-5</v>
      </c>
      <c r="D48" s="1068">
        <f>EDATE(C48,-1)</f>
        <v>45748</v>
      </c>
      <c r="E48" s="1068">
        <f t="shared" ref="E48:O48" si="16">EDATE(D48,-1)</f>
        <v>45717</v>
      </c>
      <c r="F48" s="1068">
        <f t="shared" si="16"/>
        <v>45689</v>
      </c>
      <c r="G48" s="1068">
        <f t="shared" si="16"/>
        <v>45658</v>
      </c>
      <c r="H48" s="1068">
        <f t="shared" si="16"/>
        <v>45627</v>
      </c>
      <c r="I48" s="1068">
        <f t="shared" si="16"/>
        <v>45597</v>
      </c>
      <c r="J48" s="1068">
        <f t="shared" si="16"/>
        <v>45566</v>
      </c>
      <c r="K48" s="1068">
        <f t="shared" si="16"/>
        <v>45536</v>
      </c>
      <c r="L48" s="1068">
        <f t="shared" si="16"/>
        <v>45505</v>
      </c>
      <c r="M48" s="1068">
        <f t="shared" si="16"/>
        <v>45474</v>
      </c>
      <c r="N48" s="1068">
        <f t="shared" si="16"/>
        <v>45444</v>
      </c>
      <c r="O48" s="1068">
        <f t="shared" si="16"/>
        <v>45413</v>
      </c>
      <c r="P48" s="1705"/>
      <c r="Q48" s="1171"/>
      <c r="R48" s="1171"/>
      <c r="S48" s="1171"/>
      <c r="T48" s="1171"/>
      <c r="U48" s="1171"/>
      <c r="V48" s="1171"/>
      <c r="W48" s="1171"/>
      <c r="X48" s="1171"/>
      <c r="Y48" s="1171"/>
      <c r="Z48" s="1171"/>
      <c r="AA48" s="1171"/>
      <c r="AB48" s="1171"/>
      <c r="AC48" s="1171"/>
    </row>
    <row r="49" s="920" customFormat="1" ht="15" spans="1:29">
      <c r="A49" s="1069"/>
      <c r="B49" s="1070"/>
      <c r="C49" s="1694">
        <v>100</v>
      </c>
      <c r="D49" s="1072"/>
      <c r="E49" s="1072"/>
      <c r="F49" s="1072"/>
      <c r="G49" s="1072"/>
      <c r="H49" s="1072"/>
      <c r="I49" s="1072"/>
      <c r="J49" s="1072"/>
      <c r="K49" s="1072"/>
      <c r="L49" s="1072"/>
      <c r="M49" s="988"/>
      <c r="N49" s="1072"/>
      <c r="O49" s="988"/>
      <c r="P49" s="1706"/>
      <c r="Q49" s="1098"/>
      <c r="R49" s="1098"/>
      <c r="S49" s="1098"/>
      <c r="T49" s="1098"/>
      <c r="U49" s="1098"/>
      <c r="V49" s="1098"/>
      <c r="W49" s="1098"/>
      <c r="X49" s="1098"/>
      <c r="Y49" s="1098"/>
      <c r="Z49" s="1098"/>
      <c r="AA49" s="1098"/>
      <c r="AB49" s="1098"/>
      <c r="AC49" s="1098"/>
    </row>
    <row r="50" s="920" customFormat="1" ht="15.75" spans="1:29">
      <c r="A50" s="1073" t="s">
        <v>1520</v>
      </c>
      <c r="B50" s="1074"/>
      <c r="C50" s="1075"/>
      <c r="D50" s="1076"/>
      <c r="E50" s="1076"/>
      <c r="F50" s="1076"/>
      <c r="G50" s="1076"/>
      <c r="H50" s="1076"/>
      <c r="I50" s="1076"/>
      <c r="J50" s="1076"/>
      <c r="K50" s="1076"/>
      <c r="L50" s="1076"/>
      <c r="M50" s="1131"/>
      <c r="N50" s="1076"/>
      <c r="O50" s="1131"/>
      <c r="P50" s="1706"/>
      <c r="Q50" s="1170"/>
      <c r="R50" s="1098"/>
      <c r="S50" s="1098"/>
      <c r="T50" s="1098"/>
      <c r="U50" s="1098"/>
      <c r="V50" s="1098"/>
      <c r="W50" s="1098"/>
      <c r="X50" s="1098"/>
      <c r="Y50" s="1098"/>
      <c r="Z50" s="1098"/>
      <c r="AA50" s="1098"/>
      <c r="AB50" s="1098"/>
      <c r="AC50" s="1098"/>
    </row>
    <row r="51" s="920" customFormat="1" ht="15" spans="1:29">
      <c r="A51" s="1077" t="s">
        <v>1482</v>
      </c>
      <c r="B51" s="1070"/>
      <c r="C51" s="1078" t="s">
        <v>1521</v>
      </c>
      <c r="D51" s="1080"/>
      <c r="E51" s="1080"/>
      <c r="F51" s="1080"/>
      <c r="G51" s="1080"/>
      <c r="H51" s="1080"/>
      <c r="I51" s="1080"/>
      <c r="J51" s="1080"/>
      <c r="K51" s="1080"/>
      <c r="L51" s="1132"/>
      <c r="M51" s="1133"/>
      <c r="N51" s="1134"/>
      <c r="O51" s="1134"/>
      <c r="P51" s="1707"/>
      <c r="Q51" s="1170"/>
      <c r="R51" s="1098"/>
      <c r="S51" s="1098"/>
      <c r="T51" s="1098"/>
      <c r="U51" s="1098"/>
      <c r="V51" s="1098"/>
      <c r="W51" s="1098"/>
      <c r="X51" s="1098"/>
      <c r="Y51" s="1098"/>
      <c r="Z51" s="1098"/>
      <c r="AA51" s="1098"/>
      <c r="AB51" s="1098"/>
      <c r="AC51" s="1098"/>
    </row>
    <row r="52" s="920" customFormat="1" ht="15.75" spans="1:29">
      <c r="A52" s="1077"/>
      <c r="B52" s="1070"/>
      <c r="C52" s="1610">
        <v>100</v>
      </c>
      <c r="D52" s="1072"/>
      <c r="E52" s="1072"/>
      <c r="F52" s="1072"/>
      <c r="G52" s="1072"/>
      <c r="H52" s="1072"/>
      <c r="I52" s="1072"/>
      <c r="J52" s="1072"/>
      <c r="K52" s="1072"/>
      <c r="L52" s="1072"/>
      <c r="M52" s="1136"/>
      <c r="N52" s="1134"/>
      <c r="O52" s="1134"/>
      <c r="P52" s="1706"/>
      <c r="Q52" s="1170"/>
      <c r="R52" s="1098"/>
      <c r="S52" s="1098"/>
      <c r="T52" s="1098"/>
      <c r="U52" s="1098"/>
      <c r="V52" s="1098"/>
      <c r="W52" s="1098"/>
      <c r="X52" s="1098"/>
      <c r="Y52" s="1098"/>
      <c r="Z52" s="1098"/>
      <c r="AA52" s="1098"/>
      <c r="AB52" s="1098"/>
      <c r="AC52" s="1098"/>
    </row>
    <row r="53" spans="1:29">
      <c r="A53" s="997" t="s">
        <v>1522</v>
      </c>
      <c r="B53" s="1082" t="s">
        <v>1485</v>
      </c>
      <c r="C53" s="640">
        <f>C9</f>
        <v>0</v>
      </c>
      <c r="D53" s="1083"/>
      <c r="E53" s="1083"/>
      <c r="F53" s="1083"/>
      <c r="G53" s="1083"/>
      <c r="H53" s="1083"/>
      <c r="I53" s="1083"/>
      <c r="J53" s="1083"/>
      <c r="K53" s="1137"/>
      <c r="L53" s="1138"/>
      <c r="M53" s="1139"/>
      <c r="N53" s="1140"/>
      <c r="O53" s="1140"/>
      <c r="P53" s="1708"/>
      <c r="Q53" s="1170"/>
      <c r="R53" s="1054"/>
      <c r="S53" s="1054"/>
      <c r="T53" s="1054"/>
      <c r="U53" s="1054"/>
      <c r="V53" s="1054"/>
      <c r="W53" s="1054"/>
      <c r="X53" s="1054"/>
      <c r="Y53" s="1054"/>
      <c r="Z53" s="1054"/>
      <c r="AA53" s="1054"/>
      <c r="AB53" s="1054"/>
      <c r="AC53" s="1054"/>
    </row>
    <row r="54" ht="15.75" spans="1:29">
      <c r="A54" s="984"/>
      <c r="B54" s="1084"/>
      <c r="C54" s="1085">
        <v>100</v>
      </c>
      <c r="D54" s="1085"/>
      <c r="E54" s="1085"/>
      <c r="F54" s="1085"/>
      <c r="G54" s="1085"/>
      <c r="H54" s="1085"/>
      <c r="I54" s="1085"/>
      <c r="J54" s="1085"/>
      <c r="K54" s="1085"/>
      <c r="L54" s="1085"/>
      <c r="M54" s="1142"/>
      <c r="N54" s="1143"/>
      <c r="O54" s="1143"/>
      <c r="P54" s="1708"/>
      <c r="Q54" s="1170"/>
      <c r="R54" s="1054"/>
      <c r="S54" s="1054"/>
      <c r="T54" s="1054"/>
      <c r="U54" s="1054"/>
      <c r="V54" s="1054"/>
      <c r="W54" s="1054"/>
      <c r="X54" s="1054"/>
      <c r="Y54" s="1054"/>
      <c r="Z54" s="1054"/>
      <c r="AA54" s="1054"/>
      <c r="AB54" s="1054"/>
      <c r="AC54" s="1054"/>
    </row>
    <row r="55" ht="27.75" spans="1:29">
      <c r="A55" s="984"/>
      <c r="B55" s="1182" t="s">
        <v>1488</v>
      </c>
      <c r="C55" s="1183"/>
      <c r="D55" s="1183"/>
      <c r="E55" s="1183"/>
      <c r="F55" s="1183"/>
      <c r="G55" s="1183"/>
      <c r="H55" s="1183"/>
      <c r="I55" s="1183"/>
      <c r="J55" s="1183"/>
      <c r="K55" s="1213"/>
      <c r="L55" s="1214"/>
      <c r="M55" s="1215"/>
      <c r="N55" s="1140"/>
      <c r="O55" s="1140"/>
      <c r="P55" s="1708"/>
      <c r="Q55" s="1170"/>
      <c r="R55" s="1054"/>
      <c r="S55" s="1054"/>
      <c r="T55" s="1054"/>
      <c r="U55" s="1054"/>
      <c r="V55" s="1054"/>
      <c r="W55" s="1054"/>
      <c r="X55" s="1054"/>
      <c r="Y55" s="1054"/>
      <c r="Z55" s="1054"/>
      <c r="AA55" s="1054"/>
      <c r="AB55" s="1054"/>
      <c r="AC55" s="1054"/>
    </row>
    <row r="56" ht="15.75" spans="1:29">
      <c r="A56" s="984"/>
      <c r="B56" s="1184"/>
      <c r="C56" s="1085"/>
      <c r="D56" s="1085"/>
      <c r="E56" s="1085"/>
      <c r="F56" s="1085"/>
      <c r="G56" s="1085"/>
      <c r="H56" s="1085"/>
      <c r="I56" s="1085"/>
      <c r="J56" s="1085"/>
      <c r="K56" s="1085"/>
      <c r="L56" s="1085"/>
      <c r="M56" s="1142"/>
      <c r="N56" s="1143"/>
      <c r="O56" s="1143"/>
      <c r="P56" s="1708"/>
      <c r="Q56" s="1170"/>
      <c r="R56" s="1054"/>
      <c r="S56" s="1054"/>
      <c r="T56" s="1054"/>
      <c r="U56" s="1054"/>
      <c r="V56" s="1054"/>
      <c r="W56" s="1054"/>
      <c r="X56" s="1054"/>
      <c r="Y56" s="1054"/>
      <c r="Z56" s="1054"/>
      <c r="AA56" s="1054"/>
      <c r="AB56" s="1054"/>
      <c r="AC56" s="1054"/>
    </row>
    <row r="57" ht="15.75" spans="1:29">
      <c r="A57" s="984"/>
      <c r="B57" s="1177">
        <f>B11</f>
        <v>111</v>
      </c>
      <c r="C57" s="1188"/>
      <c r="D57" s="1188"/>
      <c r="E57" s="1188"/>
      <c r="F57" s="1188"/>
      <c r="G57" s="1188"/>
      <c r="H57" s="1188"/>
      <c r="I57" s="1188"/>
      <c r="J57" s="1188"/>
      <c r="K57" s="1216"/>
      <c r="L57" s="1217"/>
      <c r="M57" s="1218"/>
      <c r="N57" s="1140"/>
      <c r="O57" s="1140"/>
      <c r="P57" s="1708"/>
      <c r="Q57" s="1170"/>
      <c r="R57" s="1054"/>
      <c r="S57" s="1054"/>
      <c r="T57" s="1054"/>
      <c r="U57" s="1054"/>
      <c r="V57" s="1054"/>
      <c r="W57" s="1054"/>
      <c r="X57" s="1054"/>
      <c r="Y57" s="1054"/>
      <c r="Z57" s="1054"/>
      <c r="AA57" s="1054"/>
      <c r="AB57" s="1054"/>
      <c r="AC57" s="1054"/>
    </row>
    <row r="58" ht="15.75" spans="1:29">
      <c r="A58" s="984"/>
      <c r="B58" s="1084"/>
      <c r="C58" s="1193"/>
      <c r="D58" s="1085"/>
      <c r="E58" s="1085"/>
      <c r="F58" s="1085"/>
      <c r="G58" s="1085"/>
      <c r="H58" s="1085"/>
      <c r="I58" s="1085"/>
      <c r="J58" s="1085"/>
      <c r="K58" s="1085"/>
      <c r="L58" s="1085"/>
      <c r="M58" s="1142"/>
      <c r="N58" s="1143"/>
      <c r="O58" s="1143"/>
      <c r="P58" s="1708"/>
      <c r="Q58" s="1170"/>
      <c r="R58" s="1054"/>
      <c r="S58" s="1054"/>
      <c r="T58" s="1054"/>
      <c r="U58" s="1054"/>
      <c r="V58" s="1054"/>
      <c r="W58" s="1054"/>
      <c r="X58" s="1054"/>
      <c r="Y58" s="1054"/>
      <c r="Z58" s="1054"/>
      <c r="AA58" s="1054"/>
      <c r="AB58" s="1054"/>
      <c r="AC58" s="1054"/>
    </row>
    <row r="59" s="922" customFormat="1" ht="15.75" spans="1:29">
      <c r="A59" s="1190"/>
      <c r="B59" s="1182">
        <f>B12</f>
        <v>111</v>
      </c>
      <c r="C59" s="1188"/>
      <c r="D59" s="1188"/>
      <c r="E59" s="1188"/>
      <c r="F59" s="1188"/>
      <c r="G59" s="1191"/>
      <c r="H59" s="1192"/>
      <c r="I59" s="1192"/>
      <c r="J59" s="1192"/>
      <c r="K59" s="1192"/>
      <c r="L59" s="1220"/>
      <c r="M59" s="1221"/>
      <c r="N59" s="1222"/>
      <c r="O59" s="1222"/>
      <c r="P59" s="1709"/>
      <c r="Q59" s="1252"/>
      <c r="R59" s="1112"/>
      <c r="S59" s="1112"/>
      <c r="T59" s="1112"/>
      <c r="U59" s="1112"/>
      <c r="V59" s="1112"/>
      <c r="W59" s="1112"/>
      <c r="X59" s="1112"/>
      <c r="Y59" s="1112"/>
      <c r="Z59" s="1112"/>
      <c r="AA59" s="1112"/>
      <c r="AB59" s="1112"/>
      <c r="AC59" s="1112"/>
    </row>
    <row r="60" s="922" customFormat="1" ht="15.75" spans="1:29">
      <c r="A60" s="1190"/>
      <c r="B60" s="1184"/>
      <c r="C60" s="1193"/>
      <c r="D60" s="1085"/>
      <c r="E60" s="1085"/>
      <c r="F60" s="1085"/>
      <c r="G60" s="1085"/>
      <c r="H60" s="1085"/>
      <c r="I60" s="1085"/>
      <c r="J60" s="1085"/>
      <c r="K60" s="1085"/>
      <c r="L60" s="1085"/>
      <c r="M60" s="1142"/>
      <c r="N60" s="1143"/>
      <c r="O60" s="1143"/>
      <c r="P60" s="1709"/>
      <c r="Q60" s="1252"/>
      <c r="R60" s="1112"/>
      <c r="S60" s="1112"/>
      <c r="T60" s="1112"/>
      <c r="U60" s="1112"/>
      <c r="V60" s="1112"/>
      <c r="W60" s="1112"/>
      <c r="X60" s="1112"/>
      <c r="Y60" s="1112"/>
      <c r="Z60" s="1112"/>
      <c r="AA60" s="1112"/>
      <c r="AB60" s="1112"/>
      <c r="AC60" s="1112"/>
    </row>
    <row r="61" s="922" customFormat="1" ht="15.75" spans="1:29">
      <c r="A61" s="1190"/>
      <c r="B61" s="1182">
        <f>B13</f>
        <v>111</v>
      </c>
      <c r="C61" s="1191"/>
      <c r="D61" s="1191"/>
      <c r="E61" s="1191"/>
      <c r="F61" s="1191"/>
      <c r="G61" s="1191"/>
      <c r="H61" s="1192"/>
      <c r="I61" s="1192"/>
      <c r="J61" s="1192"/>
      <c r="K61" s="1192"/>
      <c r="L61" s="1220"/>
      <c r="M61" s="1221"/>
      <c r="N61" s="1222"/>
      <c r="O61" s="1222"/>
      <c r="P61" s="1710"/>
      <c r="Q61" s="1253"/>
      <c r="R61" s="1112"/>
      <c r="S61" s="1112"/>
      <c r="T61" s="1112"/>
      <c r="U61" s="1112"/>
      <c r="V61" s="1112"/>
      <c r="W61" s="1112"/>
      <c r="X61" s="1112"/>
      <c r="Y61" s="1112"/>
      <c r="Z61" s="1112"/>
      <c r="AA61" s="1112"/>
      <c r="AB61" s="1112"/>
      <c r="AC61" s="1112"/>
    </row>
    <row r="62" s="922" customFormat="1" ht="15.75" spans="1:29">
      <c r="A62" s="1190"/>
      <c r="B62" s="1184"/>
      <c r="C62" s="1193"/>
      <c r="D62" s="1193"/>
      <c r="E62" s="1193"/>
      <c r="F62" s="1193"/>
      <c r="G62" s="1193"/>
      <c r="H62" s="1194"/>
      <c r="I62" s="1194"/>
      <c r="J62" s="1194"/>
      <c r="K62" s="1194"/>
      <c r="L62" s="1194"/>
      <c r="M62" s="1225"/>
      <c r="N62" s="1222"/>
      <c r="O62" s="1222"/>
      <c r="P62" s="1709"/>
      <c r="Q62" s="1252"/>
      <c r="R62" s="1112"/>
      <c r="S62" s="1112"/>
      <c r="T62" s="1112"/>
      <c r="U62" s="1112"/>
      <c r="V62" s="1112"/>
      <c r="W62" s="1112"/>
      <c r="X62" s="1112"/>
      <c r="Y62" s="1112"/>
      <c r="Z62" s="1112"/>
      <c r="AA62" s="1112"/>
      <c r="AB62" s="1112"/>
      <c r="AC62" s="1112"/>
    </row>
    <row r="63" ht="15" spans="1:29">
      <c r="A63" s="997" t="s">
        <v>1490</v>
      </c>
      <c r="B63" s="1082" t="s">
        <v>1493</v>
      </c>
      <c r="C63" s="1200" t="s">
        <v>1523</v>
      </c>
      <c r="D63" s="1200" t="s">
        <v>1524</v>
      </c>
      <c r="E63" s="1200" t="s">
        <v>1525</v>
      </c>
      <c r="F63" s="1200" t="s">
        <v>1526</v>
      </c>
      <c r="G63" s="1200" t="s">
        <v>1527</v>
      </c>
      <c r="H63" s="640"/>
      <c r="I63" s="640"/>
      <c r="J63" s="640"/>
      <c r="K63" s="1230"/>
      <c r="L63" s="1231"/>
      <c r="M63" s="1232"/>
      <c r="N63" s="1140"/>
      <c r="O63" s="1140"/>
      <c r="P63" s="1711"/>
      <c r="Q63" s="1170"/>
      <c r="R63" s="1054"/>
      <c r="S63" s="1054"/>
      <c r="T63" s="1054"/>
      <c r="U63" s="1054"/>
      <c r="V63" s="1054"/>
      <c r="W63" s="1054"/>
      <c r="X63" s="1054"/>
      <c r="Y63" s="1054"/>
      <c r="Z63" s="1054"/>
      <c r="AA63" s="1054"/>
      <c r="AB63" s="1054"/>
      <c r="AC63" s="1054"/>
    </row>
    <row r="64" ht="15.75" spans="1:29">
      <c r="A64" s="984"/>
      <c r="B64" s="1184"/>
      <c r="C64" s="1189">
        <v>100</v>
      </c>
      <c r="D64" s="1189">
        <f>C64-$K14</f>
        <v>100</v>
      </c>
      <c r="E64" s="1189">
        <f>D64-$K14</f>
        <v>100</v>
      </c>
      <c r="F64" s="1189">
        <f>E64-$K14</f>
        <v>100</v>
      </c>
      <c r="G64" s="1189">
        <f>F64-$K14</f>
        <v>100</v>
      </c>
      <c r="H64" s="1189"/>
      <c r="I64" s="1189"/>
      <c r="J64" s="1189"/>
      <c r="K64" s="1189"/>
      <c r="L64" s="1189"/>
      <c r="M64" s="1219"/>
      <c r="N64" s="1143"/>
      <c r="O64" s="1143"/>
      <c r="P64" s="1708"/>
      <c r="Q64" s="1170"/>
      <c r="R64" s="1054"/>
      <c r="S64" s="1054"/>
      <c r="T64" s="1054"/>
      <c r="U64" s="1054"/>
      <c r="V64" s="1054"/>
      <c r="W64" s="1054"/>
      <c r="X64" s="1054"/>
      <c r="Y64" s="1054"/>
      <c r="Z64" s="1054"/>
      <c r="AA64" s="1054"/>
      <c r="AB64" s="1054"/>
      <c r="AC64" s="1054"/>
    </row>
    <row r="65" ht="15.75" spans="1:29">
      <c r="A65" s="984"/>
      <c r="B65" s="1182" t="s">
        <v>1494</v>
      </c>
      <c r="C65" s="1201" t="s">
        <v>1523</v>
      </c>
      <c r="D65" s="1201" t="s">
        <v>1524</v>
      </c>
      <c r="E65" s="1201" t="s">
        <v>1525</v>
      </c>
      <c r="F65" s="1201" t="s">
        <v>1526</v>
      </c>
      <c r="G65" s="1201" t="s">
        <v>1527</v>
      </c>
      <c r="H65" s="1202"/>
      <c r="I65" s="1202"/>
      <c r="J65" s="1202"/>
      <c r="K65" s="1234"/>
      <c r="L65" s="1235"/>
      <c r="M65" s="1236"/>
      <c r="N65" s="1140"/>
      <c r="O65" s="1140"/>
      <c r="P65" s="1708"/>
      <c r="Q65" s="1170"/>
      <c r="R65" s="1054"/>
      <c r="S65" s="1054"/>
      <c r="T65" s="1054"/>
      <c r="U65" s="1054"/>
      <c r="V65" s="1054"/>
      <c r="W65" s="1054"/>
      <c r="X65" s="1054"/>
      <c r="Y65" s="1054"/>
      <c r="Z65" s="1054"/>
      <c r="AA65" s="1054"/>
      <c r="AB65" s="1054"/>
      <c r="AC65" s="1054"/>
    </row>
    <row r="66" ht="15.75" spans="1:29">
      <c r="A66" s="984"/>
      <c r="B66" s="1184"/>
      <c r="C66" s="1189">
        <v>100</v>
      </c>
      <c r="D66" s="1189">
        <f>C66-$K16</f>
        <v>100</v>
      </c>
      <c r="E66" s="1189">
        <f>D66-$K16</f>
        <v>100</v>
      </c>
      <c r="F66" s="1189">
        <f>E66-$K16</f>
        <v>100</v>
      </c>
      <c r="G66" s="1189">
        <f>F66-$K16</f>
        <v>100</v>
      </c>
      <c r="H66" s="1189"/>
      <c r="I66" s="1189"/>
      <c r="J66" s="1189"/>
      <c r="K66" s="1189"/>
      <c r="L66" s="1189"/>
      <c r="M66" s="1219"/>
      <c r="N66" s="1143"/>
      <c r="O66" s="1143"/>
      <c r="P66" s="1708"/>
      <c r="Q66" s="1170"/>
      <c r="R66" s="1054"/>
      <c r="S66" s="1054"/>
      <c r="T66" s="1054"/>
      <c r="U66" s="1054"/>
      <c r="V66" s="1054"/>
      <c r="W66" s="1054"/>
      <c r="X66" s="1054"/>
      <c r="Y66" s="1054"/>
      <c r="Z66" s="1054"/>
      <c r="AA66" s="1054"/>
      <c r="AB66" s="1054"/>
      <c r="AC66" s="1054"/>
    </row>
    <row r="67" ht="15.75" spans="1:29">
      <c r="A67" s="984"/>
      <c r="B67" s="1185" t="s">
        <v>1495</v>
      </c>
      <c r="C67" s="1177" t="s">
        <v>1528</v>
      </c>
      <c r="D67" s="1177" t="s">
        <v>1529</v>
      </c>
      <c r="E67" s="1177" t="s">
        <v>1530</v>
      </c>
      <c r="F67" s="1177" t="s">
        <v>1531</v>
      </c>
      <c r="G67" s="1177" t="s">
        <v>1532</v>
      </c>
      <c r="H67" s="1202"/>
      <c r="I67" s="1202"/>
      <c r="J67" s="1202"/>
      <c r="K67" s="1202"/>
      <c r="L67" s="1202"/>
      <c r="M67" s="1237"/>
      <c r="N67" s="1143"/>
      <c r="O67" s="1143"/>
      <c r="P67" s="1708"/>
      <c r="Q67" s="1170"/>
      <c r="R67" s="1054"/>
      <c r="S67" s="1054"/>
      <c r="T67" s="1054"/>
      <c r="U67" s="1054"/>
      <c r="V67" s="1054"/>
      <c r="W67" s="1054"/>
      <c r="X67" s="1054"/>
      <c r="Y67" s="1054"/>
      <c r="Z67" s="1054"/>
      <c r="AA67" s="1054"/>
      <c r="AB67" s="1054"/>
      <c r="AC67" s="1054"/>
    </row>
    <row r="68" ht="15.75" spans="1:29">
      <c r="A68" s="984"/>
      <c r="B68" s="1185"/>
      <c r="C68" s="1189">
        <v>100</v>
      </c>
      <c r="D68" s="1189">
        <f>C68-$K18</f>
        <v>100</v>
      </c>
      <c r="E68" s="1189">
        <f>D68-$K18</f>
        <v>100</v>
      </c>
      <c r="F68" s="1189">
        <f>E68-$K18</f>
        <v>100</v>
      </c>
      <c r="G68" s="1189">
        <f>F68-$K18</f>
        <v>100</v>
      </c>
      <c r="H68" s="1177"/>
      <c r="I68" s="1177"/>
      <c r="J68" s="1177"/>
      <c r="K68" s="1177"/>
      <c r="L68" s="1177"/>
      <c r="M68" s="1008"/>
      <c r="N68" s="1143"/>
      <c r="O68" s="1143"/>
      <c r="P68" s="1708"/>
      <c r="Q68" s="1170"/>
      <c r="R68" s="1054"/>
      <c r="S68" s="1054"/>
      <c r="T68" s="1054"/>
      <c r="U68" s="1054"/>
      <c r="V68" s="1054"/>
      <c r="W68" s="1054"/>
      <c r="X68" s="1054"/>
      <c r="Y68" s="1054"/>
      <c r="Z68" s="1054"/>
      <c r="AA68" s="1054"/>
      <c r="AB68" s="1054"/>
      <c r="AC68" s="1054"/>
    </row>
    <row r="69" ht="15.75" spans="1:29">
      <c r="A69" s="984"/>
      <c r="B69" s="1182" t="s">
        <v>1496</v>
      </c>
      <c r="C69" s="1201" t="s">
        <v>1523</v>
      </c>
      <c r="D69" s="1201" t="s">
        <v>1524</v>
      </c>
      <c r="E69" s="1201" t="s">
        <v>1525</v>
      </c>
      <c r="F69" s="1201" t="s">
        <v>1526</v>
      </c>
      <c r="G69" s="1201" t="s">
        <v>1527</v>
      </c>
      <c r="H69" s="1202"/>
      <c r="I69" s="1202"/>
      <c r="J69" s="1202"/>
      <c r="K69" s="1234"/>
      <c r="L69" s="1235"/>
      <c r="M69" s="1236"/>
      <c r="N69" s="1140"/>
      <c r="O69" s="1140"/>
      <c r="P69" s="1708"/>
      <c r="Q69" s="1170"/>
      <c r="R69" s="1054"/>
      <c r="S69" s="1054"/>
      <c r="T69" s="1054"/>
      <c r="U69" s="1054"/>
      <c r="V69" s="1054"/>
      <c r="W69" s="1054"/>
      <c r="X69" s="1054"/>
      <c r="Y69" s="1054"/>
      <c r="Z69" s="1054"/>
      <c r="AA69" s="1054"/>
      <c r="AB69" s="1054"/>
      <c r="AC69" s="1054"/>
    </row>
    <row r="70" ht="15.75" spans="1:29">
      <c r="A70" s="984"/>
      <c r="B70" s="1184"/>
      <c r="C70" s="1189">
        <v>100</v>
      </c>
      <c r="D70" s="1189">
        <f>C70-$K20</f>
        <v>100</v>
      </c>
      <c r="E70" s="1189">
        <f>D70-$K20</f>
        <v>100</v>
      </c>
      <c r="F70" s="1189">
        <f>E70-$K20</f>
        <v>100</v>
      </c>
      <c r="G70" s="1189">
        <f>F70-$K20</f>
        <v>100</v>
      </c>
      <c r="H70" s="1189"/>
      <c r="I70" s="1189"/>
      <c r="J70" s="1189"/>
      <c r="K70" s="1189"/>
      <c r="L70" s="1189"/>
      <c r="M70" s="1219"/>
      <c r="N70" s="1143"/>
      <c r="O70" s="1143"/>
      <c r="P70" s="1708"/>
      <c r="Q70" s="1170"/>
      <c r="R70" s="1054"/>
      <c r="S70" s="1054"/>
      <c r="T70" s="1054"/>
      <c r="U70" s="1054"/>
      <c r="V70" s="1054"/>
      <c r="W70" s="1054"/>
      <c r="X70" s="1054"/>
      <c r="Y70" s="1054"/>
      <c r="Z70" s="1054"/>
      <c r="AA70" s="1054"/>
      <c r="AB70" s="1054"/>
      <c r="AC70" s="1054"/>
    </row>
    <row r="71" ht="15.75" spans="1:29">
      <c r="A71" s="984"/>
      <c r="B71" s="1182" t="s">
        <v>1569</v>
      </c>
      <c r="C71" s="1191"/>
      <c r="D71" s="1191"/>
      <c r="E71" s="1191"/>
      <c r="F71" s="1191"/>
      <c r="G71" s="1191"/>
      <c r="H71" s="1183"/>
      <c r="I71" s="1183"/>
      <c r="J71" s="1183"/>
      <c r="K71" s="1213"/>
      <c r="L71" s="1214"/>
      <c r="M71" s="1215"/>
      <c r="N71" s="1140"/>
      <c r="O71" s="1140"/>
      <c r="P71" s="1708"/>
      <c r="Q71" s="1170"/>
      <c r="R71" s="1054"/>
      <c r="S71" s="1054"/>
      <c r="T71" s="1054"/>
      <c r="U71" s="1054"/>
      <c r="V71" s="1054"/>
      <c r="W71" s="1054"/>
      <c r="X71" s="1054"/>
      <c r="Y71" s="1054"/>
      <c r="Z71" s="1054"/>
      <c r="AA71" s="1054"/>
      <c r="AB71" s="1054"/>
      <c r="AC71" s="1054"/>
    </row>
    <row r="72" ht="15.75" spans="1:29">
      <c r="A72" s="984"/>
      <c r="B72" s="1184"/>
      <c r="C72" s="1189">
        <v>100</v>
      </c>
      <c r="D72" s="1189">
        <f>C72-$K22</f>
        <v>100</v>
      </c>
      <c r="E72" s="1189">
        <f>D72-$K22</f>
        <v>100</v>
      </c>
      <c r="F72" s="1189">
        <f>E72-$K22</f>
        <v>100</v>
      </c>
      <c r="G72" s="1189">
        <f>F72-$K22</f>
        <v>100</v>
      </c>
      <c r="H72" s="1189"/>
      <c r="I72" s="1189"/>
      <c r="J72" s="1189"/>
      <c r="K72" s="1189"/>
      <c r="L72" s="1189"/>
      <c r="M72" s="1219"/>
      <c r="N72" s="1143"/>
      <c r="O72" s="1143"/>
      <c r="P72" s="1708"/>
      <c r="Q72" s="1170"/>
      <c r="R72" s="1054"/>
      <c r="S72" s="1054"/>
      <c r="T72" s="1054"/>
      <c r="U72" s="1054"/>
      <c r="V72" s="1054"/>
      <c r="W72" s="1054"/>
      <c r="X72" s="1054"/>
      <c r="Y72" s="1054"/>
      <c r="Z72" s="1054"/>
      <c r="AA72" s="1054"/>
      <c r="AB72" s="1054"/>
      <c r="AC72" s="1054"/>
    </row>
    <row r="73" s="920" customFormat="1" ht="15.75" spans="1:29">
      <c r="A73" s="987"/>
      <c r="B73" s="1182">
        <f>B23</f>
        <v>111</v>
      </c>
      <c r="C73" s="1188"/>
      <c r="D73" s="1188"/>
      <c r="E73" s="1188"/>
      <c r="F73" s="1188"/>
      <c r="G73" s="1191"/>
      <c r="H73" s="1191"/>
      <c r="I73" s="1191"/>
      <c r="J73" s="1191"/>
      <c r="K73" s="1191"/>
      <c r="L73" s="1238"/>
      <c r="M73" s="1239"/>
      <c r="N73" s="1134"/>
      <c r="O73" s="1134"/>
      <c r="P73" s="1708"/>
      <c r="Q73" s="1170"/>
      <c r="R73" s="1098"/>
      <c r="S73" s="1098"/>
      <c r="T73" s="1098"/>
      <c r="U73" s="1098"/>
      <c r="V73" s="1098"/>
      <c r="W73" s="1098"/>
      <c r="X73" s="1098"/>
      <c r="Y73" s="1098"/>
      <c r="Z73" s="1098"/>
      <c r="AA73" s="1098"/>
      <c r="AB73" s="1098"/>
      <c r="AC73" s="1098"/>
    </row>
    <row r="74" s="920" customFormat="1" ht="15.75" spans="1:29">
      <c r="A74" s="987"/>
      <c r="B74" s="1184"/>
      <c r="C74" s="1193"/>
      <c r="D74" s="1085"/>
      <c r="E74" s="1085"/>
      <c r="F74" s="1085"/>
      <c r="G74" s="1085"/>
      <c r="H74" s="1085"/>
      <c r="I74" s="1085"/>
      <c r="J74" s="1085"/>
      <c r="K74" s="1085"/>
      <c r="L74" s="1085"/>
      <c r="M74" s="1142"/>
      <c r="N74" s="1143"/>
      <c r="O74" s="1143"/>
      <c r="P74" s="1708"/>
      <c r="Q74" s="1170"/>
      <c r="R74" s="1098"/>
      <c r="S74" s="1098"/>
      <c r="T74" s="1098"/>
      <c r="U74" s="1098"/>
      <c r="V74" s="1098"/>
      <c r="W74" s="1098"/>
      <c r="X74" s="1098"/>
      <c r="Y74" s="1098"/>
      <c r="Z74" s="1098"/>
      <c r="AA74" s="1098"/>
      <c r="AB74" s="1098"/>
      <c r="AC74" s="1098"/>
    </row>
    <row r="75" s="920" customFormat="1" ht="15.75" spans="1:29">
      <c r="A75" s="987"/>
      <c r="B75" s="1182">
        <f>B24</f>
        <v>111</v>
      </c>
      <c r="C75" s="1188"/>
      <c r="D75" s="1188"/>
      <c r="E75" s="1188"/>
      <c r="F75" s="1188"/>
      <c r="G75" s="1191"/>
      <c r="H75" s="1191"/>
      <c r="I75" s="1191"/>
      <c r="J75" s="1191"/>
      <c r="K75" s="1191"/>
      <c r="L75" s="1191"/>
      <c r="M75" s="1239"/>
      <c r="N75" s="1134"/>
      <c r="O75" s="1134"/>
      <c r="P75" s="1708"/>
      <c r="Q75" s="1170"/>
      <c r="R75" s="1098"/>
      <c r="S75" s="1098"/>
      <c r="T75" s="1098"/>
      <c r="U75" s="1098"/>
      <c r="V75" s="1098"/>
      <c r="W75" s="1098"/>
      <c r="X75" s="1098"/>
      <c r="Y75" s="1098"/>
      <c r="Z75" s="1098"/>
      <c r="AA75" s="1098"/>
      <c r="AB75" s="1098"/>
      <c r="AC75" s="1098"/>
    </row>
    <row r="76" s="920" customFormat="1" ht="15.75" spans="1:29">
      <c r="A76" s="987"/>
      <c r="B76" s="1184"/>
      <c r="C76" s="1193"/>
      <c r="D76" s="1085"/>
      <c r="E76" s="1085"/>
      <c r="F76" s="1085"/>
      <c r="G76" s="1085"/>
      <c r="H76" s="1085"/>
      <c r="I76" s="1085"/>
      <c r="J76" s="1085"/>
      <c r="K76" s="1085"/>
      <c r="L76" s="1085"/>
      <c r="M76" s="1142"/>
      <c r="N76" s="1143"/>
      <c r="O76" s="1143"/>
      <c r="P76" s="1708"/>
      <c r="Q76" s="1170"/>
      <c r="R76" s="1098"/>
      <c r="S76" s="1098"/>
      <c r="T76" s="1098"/>
      <c r="U76" s="1098"/>
      <c r="V76" s="1098"/>
      <c r="W76" s="1098"/>
      <c r="X76" s="1098"/>
      <c r="Y76" s="1098"/>
      <c r="Z76" s="1098"/>
      <c r="AA76" s="1098"/>
      <c r="AB76" s="1098"/>
      <c r="AC76" s="1098"/>
    </row>
    <row r="77" s="922" customFormat="1" ht="15.75" spans="1:29">
      <c r="A77" s="1190"/>
      <c r="B77" s="1182">
        <f>B25</f>
        <v>111</v>
      </c>
      <c r="C77" s="1191"/>
      <c r="D77" s="1191"/>
      <c r="E77" s="1191"/>
      <c r="F77" s="1191"/>
      <c r="G77" s="1191"/>
      <c r="H77" s="1192"/>
      <c r="I77" s="1192"/>
      <c r="J77" s="1192"/>
      <c r="K77" s="1192"/>
      <c r="L77" s="1220"/>
      <c r="M77" s="1221"/>
      <c r="N77" s="1222"/>
      <c r="O77" s="1222"/>
      <c r="P77" s="1709"/>
      <c r="Q77" s="1252"/>
      <c r="R77" s="1112"/>
      <c r="S77" s="1112"/>
      <c r="T77" s="1112"/>
      <c r="U77" s="1112"/>
      <c r="V77" s="1112"/>
      <c r="W77" s="1112"/>
      <c r="X77" s="1112"/>
      <c r="Y77" s="1112"/>
      <c r="Z77" s="1112"/>
      <c r="AA77" s="1112"/>
      <c r="AB77" s="1112"/>
      <c r="AC77" s="1112"/>
    </row>
    <row r="78" s="922" customFormat="1" ht="15.75" spans="1:29">
      <c r="A78" s="1190"/>
      <c r="B78" s="1184"/>
      <c r="C78" s="1193"/>
      <c r="D78" s="1193"/>
      <c r="E78" s="1193"/>
      <c r="F78" s="1193"/>
      <c r="G78" s="1085"/>
      <c r="H78" s="1085"/>
      <c r="I78" s="1085"/>
      <c r="J78" s="1085"/>
      <c r="K78" s="1085"/>
      <c r="L78" s="1085"/>
      <c r="M78" s="1142"/>
      <c r="N78" s="1222"/>
      <c r="O78" s="1222"/>
      <c r="P78" s="1709"/>
      <c r="Q78" s="1252"/>
      <c r="R78" s="1112"/>
      <c r="S78" s="1112"/>
      <c r="T78" s="1112"/>
      <c r="U78" s="1112"/>
      <c r="V78" s="1112"/>
      <c r="W78" s="1112"/>
      <c r="X78" s="1112"/>
      <c r="Y78" s="1112"/>
      <c r="Z78" s="1112"/>
      <c r="AA78" s="1112"/>
      <c r="AB78" s="1112"/>
      <c r="AC78" s="1112"/>
    </row>
    <row r="79" ht="27.75" spans="1:29">
      <c r="A79" s="997" t="s">
        <v>1499</v>
      </c>
      <c r="B79" s="1082" t="s">
        <v>1625</v>
      </c>
      <c r="C79" s="640" t="str">
        <f>C26</f>
        <v>车库</v>
      </c>
      <c r="D79" s="1083"/>
      <c r="E79" s="1083"/>
      <c r="F79" s="1083"/>
      <c r="G79" s="1083"/>
      <c r="H79" s="1083"/>
      <c r="I79" s="1083"/>
      <c r="J79" s="1083"/>
      <c r="K79" s="1137"/>
      <c r="L79" s="1138"/>
      <c r="M79" s="1139"/>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08"/>
      <c r="Q80" s="1170"/>
      <c r="R80" s="1054"/>
      <c r="S80" s="1054"/>
      <c r="T80" s="1054"/>
      <c r="U80" s="1054"/>
      <c r="V80" s="1054"/>
      <c r="W80" s="1054"/>
      <c r="X80" s="1054"/>
      <c r="Y80" s="1054"/>
      <c r="Z80" s="1054"/>
      <c r="AA80" s="1054"/>
      <c r="AB80" s="1054"/>
      <c r="AC80" s="1054"/>
    </row>
    <row r="81" ht="15.75" spans="1:29">
      <c r="A81" s="984"/>
      <c r="B81" s="1182" t="s">
        <v>1616</v>
      </c>
      <c r="C81" s="1712"/>
      <c r="D81" s="1712"/>
      <c r="E81" s="1712"/>
      <c r="F81" s="1712"/>
      <c r="G81" s="1712"/>
      <c r="H81" s="1712"/>
      <c r="I81" s="1712"/>
      <c r="J81" s="1712"/>
      <c r="K81" s="1713"/>
      <c r="L81" s="1714"/>
      <c r="M81" s="1715"/>
      <c r="N81" s="1134"/>
      <c r="O81" s="1134"/>
      <c r="P81" s="1708"/>
      <c r="Q81" s="1170"/>
      <c r="R81" s="1054"/>
      <c r="S81" s="1054"/>
      <c r="T81" s="1054"/>
      <c r="U81" s="1054"/>
      <c r="V81" s="1054"/>
      <c r="W81" s="1054"/>
      <c r="X81" s="1054"/>
      <c r="Y81" s="1054"/>
      <c r="Z81" s="1054"/>
      <c r="AA81" s="1054"/>
      <c r="AB81" s="1054"/>
      <c r="AC81" s="1054"/>
    </row>
    <row r="82" s="922" customFormat="1" ht="15.75" spans="1:29">
      <c r="A82" s="1190"/>
      <c r="B82" s="1184"/>
      <c r="C82" s="1193"/>
      <c r="D82" s="1085"/>
      <c r="E82" s="1085"/>
      <c r="F82" s="1085"/>
      <c r="G82" s="1085"/>
      <c r="H82" s="1085"/>
      <c r="I82" s="1085"/>
      <c r="J82" s="1085"/>
      <c r="K82" s="1085"/>
      <c r="L82" s="1085"/>
      <c r="M82" s="1142"/>
      <c r="N82" s="1143"/>
      <c r="O82" s="1143"/>
      <c r="P82" s="1709"/>
      <c r="Q82" s="1252"/>
      <c r="R82" s="1112"/>
      <c r="S82" s="1112"/>
      <c r="T82" s="1112"/>
      <c r="U82" s="1112"/>
      <c r="V82" s="1112"/>
      <c r="W82" s="1112"/>
      <c r="X82" s="1112"/>
      <c r="Y82" s="1112"/>
      <c r="Z82" s="1112"/>
      <c r="AA82" s="1112"/>
      <c r="AB82" s="1112"/>
      <c r="AC82" s="1112"/>
    </row>
    <row r="83" ht="15.75" spans="1:29">
      <c r="A83" s="1030"/>
      <c r="B83" s="1182" t="s">
        <v>1505</v>
      </c>
      <c r="C83" s="1191"/>
      <c r="D83" s="1191"/>
      <c r="E83" s="1183"/>
      <c r="F83" s="1183"/>
      <c r="G83" s="1183"/>
      <c r="H83" s="1183"/>
      <c r="I83" s="1183"/>
      <c r="J83" s="1183"/>
      <c r="K83" s="1213"/>
      <c r="L83" s="1214"/>
      <c r="M83" s="1215"/>
      <c r="N83" s="1140"/>
      <c r="O83" s="1140"/>
      <c r="P83" s="1708"/>
      <c r="Q83" s="1170"/>
      <c r="R83" s="1054"/>
      <c r="S83" s="1054"/>
      <c r="T83" s="1054"/>
      <c r="U83" s="1054"/>
      <c r="V83" s="1054"/>
      <c r="W83" s="1054"/>
      <c r="X83" s="1054"/>
      <c r="Y83" s="1054"/>
      <c r="Z83" s="1054"/>
      <c r="AA83" s="1054"/>
      <c r="AB83" s="1054"/>
      <c r="AC83" s="1054"/>
    </row>
    <row r="84" ht="15.75" spans="1:29">
      <c r="A84" s="984"/>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08"/>
      <c r="Q84" s="1170"/>
      <c r="R84" s="1054"/>
      <c r="S84" s="1054"/>
      <c r="T84" s="1054"/>
      <c r="U84" s="1054"/>
      <c r="V84" s="1054"/>
      <c r="W84" s="1054"/>
      <c r="X84" s="1054"/>
      <c r="Y84" s="1054"/>
      <c r="Z84" s="1054"/>
      <c r="AA84" s="1054"/>
      <c r="AB84" s="1054"/>
      <c r="AC84" s="1054"/>
    </row>
    <row r="85" ht="15.75" spans="1:29">
      <c r="A85" s="1030"/>
      <c r="B85" s="1182" t="s">
        <v>1617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08"/>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08"/>
      <c r="Q86" s="1170"/>
      <c r="R86" s="1054"/>
      <c r="S86" s="1054"/>
      <c r="T86" s="1054"/>
      <c r="U86" s="1054"/>
      <c r="V86" s="1054"/>
      <c r="W86" s="1054"/>
      <c r="X86" s="1054"/>
      <c r="Y86" s="1054"/>
      <c r="Z86" s="1054"/>
      <c r="AA86" s="1054"/>
      <c r="AB86" s="1054"/>
      <c r="AC86" s="1054"/>
    </row>
    <row r="87" ht="15.75" spans="1:29">
      <c r="A87" s="984"/>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08"/>
      <c r="Q87" s="1170"/>
      <c r="R87" s="1054"/>
      <c r="S87" s="1054"/>
      <c r="T87" s="1054"/>
      <c r="U87" s="1054"/>
      <c r="V87" s="1054"/>
      <c r="W87" s="1054"/>
      <c r="X87" s="1054"/>
      <c r="Y87" s="1054"/>
      <c r="Z87" s="1054"/>
      <c r="AA87" s="1054"/>
      <c r="AB87" s="1054"/>
      <c r="AC87" s="1054"/>
    </row>
    <row r="88" ht="15.75" spans="1:29">
      <c r="A88" s="1030"/>
      <c r="B88" s="1185" t="s">
        <v>1618</v>
      </c>
      <c r="C88" s="1083"/>
      <c r="D88" s="1083"/>
      <c r="E88" s="1083"/>
      <c r="F88" s="1083"/>
      <c r="G88" s="1083"/>
      <c r="H88" s="1083"/>
      <c r="I88" s="1083"/>
      <c r="J88" s="1083"/>
      <c r="K88" s="1137"/>
      <c r="L88" s="1138"/>
      <c r="M88" s="1139"/>
      <c r="N88" s="1140"/>
      <c r="O88" s="1140"/>
      <c r="P88" s="1708"/>
      <c r="Q88" s="1170"/>
      <c r="R88" s="1054"/>
      <c r="S88" s="1054"/>
      <c r="T88" s="1054"/>
      <c r="U88" s="1054"/>
      <c r="V88" s="1054"/>
      <c r="W88" s="1054"/>
      <c r="X88" s="1054"/>
      <c r="Y88" s="1054"/>
      <c r="Z88" s="1054"/>
      <c r="AA88" s="1054"/>
      <c r="AB88" s="1054"/>
      <c r="AC88" s="1054"/>
    </row>
    <row r="89" ht="15.75" spans="1:29">
      <c r="A89" s="984"/>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08"/>
      <c r="Q89" s="1170"/>
      <c r="R89" s="1054"/>
      <c r="S89" s="1054"/>
      <c r="T89" s="1054"/>
      <c r="U89" s="1054"/>
      <c r="V89" s="1054"/>
      <c r="W89" s="1054"/>
      <c r="X89" s="1054"/>
      <c r="Y89" s="1054"/>
      <c r="Z89" s="1054"/>
      <c r="AA89" s="1054"/>
      <c r="AB89" s="1054"/>
      <c r="AC89" s="1054"/>
    </row>
    <row r="90" s="922" customFormat="1" ht="15.75" spans="1:29">
      <c r="A90" s="1028"/>
      <c r="B90" s="1182" t="s">
        <v>1619</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09"/>
      <c r="Q90" s="1252"/>
      <c r="R90" s="1112"/>
      <c r="S90" s="1112"/>
      <c r="T90" s="1112"/>
      <c r="U90" s="1112"/>
      <c r="V90" s="1112"/>
      <c r="W90" s="1112"/>
      <c r="X90" s="1112"/>
      <c r="Y90" s="1112"/>
      <c r="Z90" s="1112"/>
      <c r="AA90" s="1112"/>
      <c r="AB90" s="1112"/>
      <c r="AC90" s="1112"/>
    </row>
    <row r="91" s="922" customFormat="1" ht="15" spans="1:29">
      <c r="A91" s="1028"/>
      <c r="B91" s="1185"/>
      <c r="C91" s="1211"/>
      <c r="D91" s="1211"/>
      <c r="E91" s="1211"/>
      <c r="F91" s="1211"/>
      <c r="G91" s="1211"/>
      <c r="H91" s="1211"/>
      <c r="I91" s="1211"/>
      <c r="J91" s="1245"/>
      <c r="K91" s="1245"/>
      <c r="L91" s="1246"/>
      <c r="M91" s="1247"/>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193"/>
      <c r="D92" s="1085"/>
      <c r="E92" s="1085"/>
      <c r="F92" s="1085"/>
      <c r="G92" s="1085"/>
      <c r="H92" s="1085"/>
      <c r="I92" s="1085"/>
      <c r="J92" s="1085"/>
      <c r="K92" s="1085"/>
      <c r="L92" s="1085"/>
      <c r="M92" s="1142"/>
      <c r="N92" s="1222"/>
      <c r="O92" s="1222"/>
      <c r="P92" s="1709"/>
      <c r="Q92" s="1252"/>
      <c r="R92" s="1112"/>
      <c r="S92" s="1112"/>
      <c r="T92" s="1112"/>
      <c r="U92" s="1112"/>
      <c r="V92" s="1112"/>
      <c r="W92" s="1112"/>
      <c r="X92" s="1112"/>
      <c r="Y92" s="1112"/>
      <c r="Z92" s="1112"/>
      <c r="AA92" s="1112"/>
      <c r="AB92" s="1112"/>
      <c r="AC92" s="1112"/>
    </row>
    <row r="93" ht="15.75" spans="1:29">
      <c r="A93" s="1030"/>
      <c r="B93" s="1182" t="s">
        <v>1620</v>
      </c>
      <c r="C93" s="1191"/>
      <c r="D93" s="1191"/>
      <c r="E93" s="1183"/>
      <c r="F93" s="1183"/>
      <c r="G93" s="1183"/>
      <c r="H93" s="1183"/>
      <c r="I93" s="1183"/>
      <c r="J93" s="1183"/>
      <c r="K93" s="1213"/>
      <c r="L93" s="1214"/>
      <c r="M93" s="1215"/>
      <c r="N93" s="1140"/>
      <c r="O93" s="1140"/>
      <c r="P93" s="1708"/>
      <c r="Q93" s="1170"/>
      <c r="R93" s="1054"/>
      <c r="S93" s="1054"/>
      <c r="T93" s="1054"/>
      <c r="U93" s="1054"/>
      <c r="V93" s="1054"/>
      <c r="W93" s="1054"/>
      <c r="X93" s="1054"/>
      <c r="Y93" s="1054"/>
      <c r="Z93" s="1054"/>
      <c r="AA93" s="1054"/>
      <c r="AB93" s="1054"/>
      <c r="AC93" s="1054"/>
    </row>
    <row r="94" ht="15.75" spans="1:29">
      <c r="A94" s="984"/>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08"/>
      <c r="Q94" s="1170"/>
      <c r="R94" s="1054"/>
      <c r="S94" s="1054"/>
      <c r="T94" s="1054"/>
      <c r="U94" s="1054"/>
      <c r="V94" s="1054"/>
      <c r="W94" s="1054"/>
      <c r="X94" s="1054"/>
      <c r="Y94" s="1054"/>
      <c r="Z94" s="1054"/>
      <c r="AA94" s="1054"/>
      <c r="AB94" s="1054"/>
      <c r="AC94" s="1054"/>
    </row>
    <row r="95" ht="15.75" spans="1:29">
      <c r="A95" s="1030"/>
      <c r="B95" s="1182" t="s">
        <v>1621</v>
      </c>
      <c r="C95" s="1083"/>
      <c r="D95" s="1083"/>
      <c r="E95" s="1083"/>
      <c r="F95" s="1083"/>
      <c r="G95" s="1083"/>
      <c r="H95" s="1083"/>
      <c r="I95" s="1083"/>
      <c r="J95" s="1083"/>
      <c r="K95" s="1137"/>
      <c r="L95" s="1138"/>
      <c r="M95" s="1139"/>
      <c r="N95" s="1140"/>
      <c r="O95" s="1140"/>
      <c r="P95" s="1708"/>
      <c r="Q95" s="1170"/>
      <c r="R95" s="1054"/>
      <c r="S95" s="1054"/>
      <c r="T95" s="1054"/>
      <c r="U95" s="1054"/>
      <c r="V95" s="1054"/>
      <c r="W95" s="1054"/>
      <c r="X95" s="1054"/>
      <c r="Y95" s="1054"/>
      <c r="Z95" s="1054"/>
      <c r="AA95" s="1054"/>
      <c r="AB95" s="1054"/>
      <c r="AC95" s="1054"/>
    </row>
    <row r="96" ht="15.75" spans="1:29">
      <c r="A96" s="984"/>
      <c r="B96" s="1184"/>
      <c r="C96" s="1189">
        <v>100</v>
      </c>
      <c r="D96" s="1189">
        <f>C96-$K33</f>
        <v>100</v>
      </c>
      <c r="E96" s="1189">
        <f>D96-$K33</f>
        <v>100</v>
      </c>
      <c r="F96" s="1189">
        <f>E96-$K33</f>
        <v>100</v>
      </c>
      <c r="G96" s="1189">
        <f>F96-$K33</f>
        <v>100</v>
      </c>
      <c r="H96" s="1189"/>
      <c r="I96" s="1189"/>
      <c r="J96" s="1189"/>
      <c r="K96" s="1189"/>
      <c r="L96" s="1189"/>
      <c r="M96" s="1219"/>
      <c r="N96" s="1143"/>
      <c r="O96" s="1143"/>
      <c r="P96" s="1708"/>
      <c r="Q96" s="1170"/>
      <c r="R96" s="1054"/>
      <c r="S96" s="1054"/>
      <c r="T96" s="1054"/>
      <c r="U96" s="1054"/>
      <c r="V96" s="1054"/>
      <c r="W96" s="1054"/>
      <c r="X96" s="1054"/>
      <c r="Y96" s="1054"/>
      <c r="Z96" s="1054"/>
      <c r="AA96" s="1054"/>
      <c r="AB96" s="1054"/>
      <c r="AC96" s="1054"/>
    </row>
    <row r="97" ht="15.75" spans="1:29">
      <c r="A97" s="1030"/>
      <c r="B97" s="1660">
        <f>B34</f>
        <v>111</v>
      </c>
      <c r="C97" s="1188"/>
      <c r="D97" s="1188"/>
      <c r="E97" s="1188"/>
      <c r="F97" s="1188"/>
      <c r="G97" s="1191"/>
      <c r="H97" s="1192"/>
      <c r="I97" s="1192"/>
      <c r="J97" s="1192"/>
      <c r="K97" s="1192"/>
      <c r="L97" s="1220"/>
      <c r="M97" s="1221"/>
      <c r="N97" s="1143"/>
      <c r="O97" s="1143"/>
      <c r="P97" s="1716"/>
      <c r="Q97" s="1667"/>
      <c r="R97" s="1054"/>
      <c r="S97" s="1054"/>
      <c r="T97" s="1054"/>
      <c r="U97" s="1054"/>
      <c r="V97" s="1054"/>
      <c r="W97" s="1054"/>
      <c r="X97" s="1054"/>
      <c r="Y97" s="1054"/>
      <c r="Z97" s="1054"/>
      <c r="AA97" s="1054"/>
      <c r="AB97" s="1054"/>
      <c r="AC97" s="1054"/>
    </row>
    <row r="98" ht="15.75" spans="1:29">
      <c r="A98" s="984"/>
      <c r="B98" s="1184"/>
      <c r="C98" s="1193"/>
      <c r="D98" s="1085"/>
      <c r="E98" s="1085"/>
      <c r="F98" s="1085"/>
      <c r="G98" s="1193"/>
      <c r="H98" s="1194"/>
      <c r="I98" s="1194"/>
      <c r="J98" s="1194"/>
      <c r="K98" s="1194"/>
      <c r="L98" s="1194"/>
      <c r="M98" s="1225"/>
      <c r="N98" s="1143"/>
      <c r="O98" s="1143"/>
      <c r="P98" s="1708"/>
      <c r="Q98" s="1170"/>
      <c r="R98" s="1054"/>
      <c r="S98" s="1054"/>
      <c r="T98" s="1054"/>
      <c r="U98" s="1054"/>
      <c r="V98" s="1054"/>
      <c r="W98" s="1054"/>
      <c r="X98" s="1054"/>
      <c r="Y98" s="1054"/>
      <c r="Z98" s="1054"/>
      <c r="AA98" s="1054"/>
      <c r="AB98" s="1054"/>
      <c r="AC98" s="1054"/>
    </row>
    <row r="99" s="922" customFormat="1" ht="15.75" spans="1:29">
      <c r="A99" s="1028"/>
      <c r="B99" s="1182">
        <f>B35</f>
        <v>111</v>
      </c>
      <c r="C99" s="1188"/>
      <c r="D99" s="1188"/>
      <c r="E99" s="1188"/>
      <c r="F99" s="1188"/>
      <c r="G99" s="1191"/>
      <c r="H99" s="1192"/>
      <c r="I99" s="1192"/>
      <c r="J99" s="1192"/>
      <c r="K99" s="1192"/>
      <c r="L99" s="1220"/>
      <c r="M99" s="1221"/>
      <c r="N99" s="1222"/>
      <c r="O99" s="1222"/>
      <c r="P99" s="1709"/>
      <c r="Q99" s="1252"/>
      <c r="R99" s="1112"/>
      <c r="S99" s="1112"/>
      <c r="T99" s="1112"/>
      <c r="U99" s="1112"/>
      <c r="V99" s="1112"/>
      <c r="W99" s="1112"/>
      <c r="X99" s="1112"/>
      <c r="Y99" s="1112"/>
      <c r="Z99" s="1112"/>
      <c r="AA99" s="1112"/>
      <c r="AB99" s="1112"/>
      <c r="AC99" s="1112"/>
    </row>
    <row r="100" s="922" customFormat="1" ht="15.75" spans="1:29">
      <c r="A100" s="1190"/>
      <c r="B100" s="1084"/>
      <c r="C100" s="1193"/>
      <c r="D100" s="1085"/>
      <c r="E100" s="1085"/>
      <c r="F100" s="1085"/>
      <c r="G100" s="1193"/>
      <c r="H100" s="1194"/>
      <c r="I100" s="1194"/>
      <c r="J100" s="1194"/>
      <c r="K100" s="1194"/>
      <c r="L100" s="1194"/>
      <c r="M100" s="1225"/>
      <c r="N100" s="1222"/>
      <c r="O100" s="1222"/>
      <c r="P100" s="1709"/>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93"/>
      <c r="D102" s="1193"/>
      <c r="E102" s="1193"/>
      <c r="F102" s="1193"/>
      <c r="G102" s="1193"/>
      <c r="H102" s="1194"/>
      <c r="I102" s="1194"/>
      <c r="J102" s="1194"/>
      <c r="K102" s="1194"/>
      <c r="L102" s="1194"/>
      <c r="M102" s="1225"/>
      <c r="N102" s="1143"/>
      <c r="O102" s="1143"/>
      <c r="P102" s="1708"/>
      <c r="Q102" s="1170"/>
      <c r="R102" s="1054"/>
      <c r="S102" s="1054"/>
      <c r="T102" s="1054"/>
      <c r="U102" s="1054"/>
      <c r="V102" s="1054"/>
      <c r="W102" s="1054"/>
      <c r="X102" s="1054"/>
      <c r="Y102" s="1054"/>
      <c r="Z102" s="1054"/>
      <c r="AA102" s="1054"/>
      <c r="AB102" s="1054"/>
      <c r="AC102" s="1054"/>
    </row>
    <row r="103" ht="15" spans="14:29">
      <c r="N103" s="1054"/>
      <c r="O103" s="1054"/>
      <c r="P103" s="1702"/>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1626</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IF(E1="项目模式",IF(C2="——",ROUND(C37*D3/10000,0),ROUND(C37*D3/10000,0)-D2),IF(E1="单套模式",IF(C2="——",ROUND(C37*D3/10000,4),ROUND(C37*D3/10000,4)-D2)))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 ca="1">IF(C2="——",C37,ROUND(B2*10000/D3,0))</f>
        <v>#DIV/0!</v>
      </c>
      <c r="C3" s="945" t="s">
        <v>1465</v>
      </c>
      <c r="D3" s="946">
        <f>SUMIF('数据-汇总表'!$C19:$C33,D1,'数据-汇总表'!$E19:$E33)</f>
        <v>0</v>
      </c>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SUMIF(46:46,YEAR(E7)&amp;"-"&amp;MONTH(E7),47:47)</f>
        <v>0</v>
      </c>
      <c r="G7" s="1514"/>
      <c r="H7" s="970">
        <f>SUMIF(46:46,YEAR(G7)&amp;"-"&amp;MONTH(G7),47:47)</f>
        <v>0</v>
      </c>
      <c r="I7" s="971"/>
      <c r="J7" s="970">
        <f>SUMIF(46:46,YEAR(I7)&amp;"-"&amp;MONTH(I7),47:47)</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SUMIF(49:49,E8,50:50)-SUMIF(49:49,C8,50:50)+100</f>
        <v>100</v>
      </c>
      <c r="G8" s="973"/>
      <c r="H8" s="970">
        <f>SUMIF(49:49,G8,50:50)-SUMIF(49:49,C8,50:50)+100</f>
        <v>100</v>
      </c>
      <c r="I8" s="973"/>
      <c r="J8" s="970">
        <f>SUMIF(49:49,I8,50:50)-SUMIF(49:49,C8,50:50)+100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4" si="3">D8/F8</f>
        <v>1</v>
      </c>
      <c r="AB8" s="1175">
        <f t="shared" ref="AB8:AB34" si="4">D8/H8</f>
        <v>1</v>
      </c>
      <c r="AC8" s="1175">
        <f t="shared" ref="AC8:AC34" si="5">D8/J8</f>
        <v>1</v>
      </c>
    </row>
    <row r="9" s="920" customFormat="1" spans="1:29">
      <c r="A9" s="974" t="s">
        <v>1484</v>
      </c>
      <c r="B9" s="975" t="s">
        <v>1485</v>
      </c>
      <c r="C9" s="1650"/>
      <c r="D9" s="977">
        <v>100</v>
      </c>
      <c r="E9" s="1651"/>
      <c r="F9" s="975">
        <f>SUMIF(51:51,E9,52:52)-SUMIF(51:51,C9,52:52)+100</f>
        <v>100</v>
      </c>
      <c r="G9" s="1651"/>
      <c r="H9" s="977">
        <f>SUMIF(51:51,G9,52:52)-SUMIF(51:51,C9,52:52)+100</f>
        <v>100</v>
      </c>
      <c r="I9" s="1651"/>
      <c r="J9" s="977">
        <f>SUMIF(51:51,I9,52:52)-SUMIF(51:51,C9,52:52)+100</f>
        <v>100</v>
      </c>
      <c r="K9" s="1096"/>
      <c r="L9" s="1097"/>
      <c r="M9" s="1098"/>
      <c r="N9" s="1098"/>
      <c r="O9" s="1583"/>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979"/>
      <c r="B10" s="980" t="s">
        <v>1488</v>
      </c>
      <c r="C10" s="981"/>
      <c r="D10" s="982">
        <v>100</v>
      </c>
      <c r="E10" s="981"/>
      <c r="F10" s="980">
        <f>SUMIF(53:53,E10,54:54)-SUMIF(53:53,C10,54:54)+100</f>
        <v>100</v>
      </c>
      <c r="G10" s="981"/>
      <c r="H10" s="982">
        <f>SUMIF(53:53,G10,54:54)-SUMIF(53:53,C10,54:54)+100</f>
        <v>100</v>
      </c>
      <c r="I10" s="981"/>
      <c r="J10" s="982">
        <f>SUMIF(53:53,I10,54:54)-SUMIF(53:53,C10,54:54)+100</f>
        <v>100</v>
      </c>
      <c r="K10" s="1096"/>
      <c r="L10" s="1101"/>
      <c r="M10" s="1102"/>
      <c r="N10" s="1102"/>
      <c r="O10" s="1585"/>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8">
        <v>111</v>
      </c>
      <c r="C11" s="989"/>
      <c r="D11" s="982">
        <v>100</v>
      </c>
      <c r="E11" s="1029"/>
      <c r="F11" s="980">
        <f>SUMIF(55:55,E11,56:56)-SUMIF(55:55,C11,56:56)+100</f>
        <v>100</v>
      </c>
      <c r="G11" s="1029"/>
      <c r="H11" s="982">
        <f>SUMIF(55:55,G11,56:56)-SUMIF(55:55,C11,56:56)+100</f>
        <v>100</v>
      </c>
      <c r="I11" s="1029"/>
      <c r="J11" s="982">
        <f>SUMIF(55:55,I11,56:56)-SUMIF(55:55,C11,56:56)+100</f>
        <v>100</v>
      </c>
      <c r="K11" s="1105"/>
      <c r="L11" s="1104"/>
      <c r="M11" s="1054"/>
      <c r="N11" s="1054"/>
      <c r="O11" s="1587"/>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987"/>
      <c r="B12" s="988">
        <v>111</v>
      </c>
      <c r="C12" s="989"/>
      <c r="D12" s="990">
        <v>100</v>
      </c>
      <c r="E12" s="1029"/>
      <c r="F12" s="980">
        <f>SUMIF(57:57,E12,58:58)-SUMIF(57:57,C12,58:58)+100</f>
        <v>100</v>
      </c>
      <c r="G12" s="1029"/>
      <c r="H12" s="982">
        <f>SUMIF(57:57,G12,58:58)-SUMIF(57:57,C12,58:58)+100</f>
        <v>100</v>
      </c>
      <c r="I12" s="1029"/>
      <c r="J12" s="982">
        <f>SUMIF(57:57,I12,58:58)-SUMIF(57:57,C12,58:58)+100</f>
        <v>100</v>
      </c>
      <c r="K12" s="1105"/>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984"/>
      <c r="B13" s="988">
        <v>111</v>
      </c>
      <c r="C13" s="991"/>
      <c r="D13" s="780">
        <v>100</v>
      </c>
      <c r="E13" s="1029"/>
      <c r="F13" s="980">
        <f>SUMIF(59:59,E13,60:60)-SUMIF(59:59,C13,60:60)+100</f>
        <v>100</v>
      </c>
      <c r="G13" s="1652"/>
      <c r="H13" s="995">
        <f>SUMIF(59:59,G13,60:60)-SUMIF(59:59,C13,60:60)+100</f>
        <v>100</v>
      </c>
      <c r="I13" s="1029"/>
      <c r="J13" s="780">
        <f>SUMIF(59:59,I13,60:60)-SUMIF(59:59,C13,60:60)+100</f>
        <v>100</v>
      </c>
      <c r="K13" s="1105"/>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97" t="s">
        <v>1490</v>
      </c>
      <c r="B14" s="998" t="s">
        <v>1493</v>
      </c>
      <c r="C14" s="1518" t="str">
        <f>IF(B1="工业",估价对象房地状况!G4,估价对象房地状况!C6)</f>
        <v>估价对象周边道路状况、公共交通通达情况、停车便捷程度，综合评价交通便捷度较好</v>
      </c>
      <c r="D14" s="1000">
        <v>100</v>
      </c>
      <c r="E14" s="1001"/>
      <c r="F14" s="1002">
        <f>SUMIF(61:61,E15,62:62)-SUMIF(61:61,C15,62:62)+100</f>
        <v>100</v>
      </c>
      <c r="G14" s="1003"/>
      <c r="H14" s="1000">
        <f>SUMIF(61:61,G15,62:62)-SUMIF(61:61,C15,62:62)+100</f>
        <v>100</v>
      </c>
      <c r="I14" s="1001"/>
      <c r="J14" s="1000">
        <f>SUMIF(61:61,I15,62:62)-SUMIF(61:61,C15,62:62)+100</f>
        <v>100</v>
      </c>
      <c r="K14" s="1107"/>
      <c r="L14" s="1106"/>
      <c r="M14" s="1054"/>
      <c r="N14" s="1054"/>
      <c r="O14" s="1587"/>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84"/>
      <c r="B15" s="1004"/>
      <c r="C15" s="1005"/>
      <c r="D15" s="1006"/>
      <c r="E15" s="1005"/>
      <c r="F15" s="1007"/>
      <c r="G15" s="1005"/>
      <c r="H15" s="1008"/>
      <c r="I15" s="1005"/>
      <c r="J15" s="1006"/>
      <c r="K15" s="1108"/>
      <c r="L15" s="1106"/>
      <c r="M15" s="1054"/>
      <c r="N15" s="1054"/>
      <c r="O15" s="1587"/>
      <c r="P15" s="1177"/>
      <c r="Q15" s="644"/>
      <c r="R15" s="1162"/>
      <c r="S15" s="1163"/>
      <c r="T15" s="1162"/>
      <c r="U15" s="1163"/>
      <c r="V15" s="1162"/>
      <c r="W15" s="1163"/>
      <c r="X15" s="1150"/>
      <c r="Y15" s="1177"/>
      <c r="Z15" s="1149"/>
      <c r="AA15" s="1149">
        <v>1</v>
      </c>
      <c r="AB15" s="1149">
        <v>1</v>
      </c>
      <c r="AC15" s="1149">
        <v>1</v>
      </c>
    </row>
    <row r="16" ht="40.5" spans="1:29">
      <c r="A16" s="984"/>
      <c r="B16" s="1009" t="s">
        <v>1494</v>
      </c>
      <c r="C16" s="1010" t="str">
        <f>IF(B1="工业",估价对象房地状况!G5,估价对象房地状况!C7)</f>
        <v>估价对象所在区域公共配套设施齐备情况</v>
      </c>
      <c r="D16" s="1014">
        <v>100</v>
      </c>
      <c r="E16" s="1017"/>
      <c r="F16" s="1018">
        <f>SUMIF(63:63,E17,64:64)-SUMIF(63:63,C17,64:64)+100</f>
        <v>100</v>
      </c>
      <c r="G16" s="1019"/>
      <c r="H16" s="1014">
        <f>SUMIF(63:63,G17,64:64)-SUMIF(63:63,C17,64:64)+100</f>
        <v>100</v>
      </c>
      <c r="I16" s="1017"/>
      <c r="J16" s="1014">
        <f>SUMIF(63:63,I17,64:64)-SUMIF(63:63,C17,64:64)+100</f>
        <v>100</v>
      </c>
      <c r="K16" s="1107"/>
      <c r="L16" s="1106"/>
      <c r="M16" s="1054"/>
      <c r="N16" s="1054"/>
      <c r="O16" s="1587"/>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84"/>
      <c r="B17" s="1015"/>
      <c r="C17" s="1016"/>
      <c r="D17" s="1006"/>
      <c r="E17" s="1005"/>
      <c r="F17" s="1007"/>
      <c r="G17" s="1005"/>
      <c r="H17" s="1006"/>
      <c r="I17" s="1005"/>
      <c r="J17" s="1006"/>
      <c r="K17" s="1108"/>
      <c r="L17" s="1106"/>
      <c r="M17" s="1054"/>
      <c r="N17" s="1054"/>
      <c r="O17" s="1587"/>
      <c r="P17" s="1177"/>
      <c r="Q17" s="644"/>
      <c r="R17" s="1162"/>
      <c r="S17" s="1163"/>
      <c r="T17" s="1162"/>
      <c r="U17" s="1163"/>
      <c r="V17" s="1162"/>
      <c r="W17" s="1163"/>
      <c r="X17" s="1150"/>
      <c r="Y17" s="1177"/>
      <c r="Z17" s="1149"/>
      <c r="AA17" s="1149">
        <v>1</v>
      </c>
      <c r="AB17" s="1149">
        <v>1</v>
      </c>
      <c r="AC17" s="1149">
        <v>1</v>
      </c>
    </row>
    <row r="18" ht="27" spans="1:29">
      <c r="A18" s="984"/>
      <c r="B18" s="1020" t="s">
        <v>1495</v>
      </c>
      <c r="C18" s="1010" t="str">
        <f>IF(B1="工业",估价对象房地状况!G6,估价对象房地状况!C8)</f>
        <v>估价对象所在区域基础设施水平</v>
      </c>
      <c r="D18" s="1014">
        <v>100</v>
      </c>
      <c r="E18" s="1011"/>
      <c r="F18" s="1018">
        <f>SUMIF(65:65,E19,66:66)-SUMIF(65:65,C19,66:66)+100</f>
        <v>100</v>
      </c>
      <c r="G18" s="1013"/>
      <c r="H18" s="1014">
        <f>SUMIF(65:65,G19,66:66)-SUMIF(65:65,C19,66:66)+100</f>
        <v>100</v>
      </c>
      <c r="I18" s="1017"/>
      <c r="J18" s="1014">
        <f>SUMIF(65:65,I19,66:66)-SUMIF(65:65,C19,66:66)+100</f>
        <v>100</v>
      </c>
      <c r="K18" s="1107"/>
      <c r="L18" s="1106"/>
      <c r="M18" s="1054"/>
      <c r="N18" s="1054"/>
      <c r="O18" s="1587"/>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4"/>
      <c r="B19" s="1020"/>
      <c r="C19" s="1016"/>
      <c r="D19" s="1008"/>
      <c r="E19" s="1016"/>
      <c r="F19" s="1012"/>
      <c r="G19" s="1016"/>
      <c r="H19" s="1006"/>
      <c r="I19" s="1005"/>
      <c r="J19" s="1006"/>
      <c r="K19" s="1110"/>
      <c r="L19" s="1106"/>
      <c r="M19" s="1054"/>
      <c r="N19" s="1054"/>
      <c r="O19" s="1587"/>
      <c r="P19" s="1177"/>
      <c r="Q19" s="644"/>
      <c r="R19" s="1162"/>
      <c r="S19" s="1163"/>
      <c r="T19" s="1162"/>
      <c r="U19" s="1163"/>
      <c r="V19" s="1162"/>
      <c r="W19" s="1163"/>
      <c r="X19" s="1150"/>
      <c r="Y19" s="1177"/>
      <c r="Z19" s="1149"/>
      <c r="AA19" s="1149">
        <v>1</v>
      </c>
      <c r="AB19" s="1149">
        <v>1</v>
      </c>
      <c r="AC19" s="1149">
        <v>1</v>
      </c>
    </row>
    <row r="20" ht="54" spans="1:29">
      <c r="A20" s="984"/>
      <c r="B20" s="1009" t="s">
        <v>1496</v>
      </c>
      <c r="C20" s="1010" t="str">
        <f>IF(B1="工业",估价对象房地状况!G7,估价对象房地状况!C9)</f>
        <v>区域自然环境：；人文环境；综合评价环境状况一般</v>
      </c>
      <c r="D20" s="1014">
        <v>100</v>
      </c>
      <c r="E20" s="1017"/>
      <c r="F20" s="1018">
        <f>SUMIF(67:67,E21,68:68)-SUMIF(67:67,C21,68:68)+100</f>
        <v>100</v>
      </c>
      <c r="G20" s="1019"/>
      <c r="H20" s="1008">
        <f>SUMIF(67:67,G21,68:68)-SUMIF(67:67,C21,68:68)+100</f>
        <v>100</v>
      </c>
      <c r="I20" s="1011"/>
      <c r="J20" s="1008">
        <f>SUMIF(67:67,I21,68:68)-SUMIF(67:67,C21,68:68)+100</f>
        <v>100</v>
      </c>
      <c r="K20" s="1107"/>
      <c r="L20" s="1106"/>
      <c r="M20" s="1054"/>
      <c r="N20" s="1054"/>
      <c r="O20" s="1587"/>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84"/>
      <c r="B21" s="1015"/>
      <c r="C21" s="1005"/>
      <c r="D21" s="1006"/>
      <c r="E21" s="1005"/>
      <c r="F21" s="1007"/>
      <c r="G21" s="1005"/>
      <c r="H21" s="1006"/>
      <c r="I21" s="1005"/>
      <c r="J21" s="1006"/>
      <c r="K21" s="1108"/>
      <c r="L21" s="1106"/>
      <c r="M21" s="1054"/>
      <c r="N21" s="1054"/>
      <c r="O21" s="1587"/>
      <c r="P21" s="1177"/>
      <c r="Q21" s="644"/>
      <c r="R21" s="1162"/>
      <c r="S21" s="1163"/>
      <c r="T21" s="1162"/>
      <c r="U21" s="1163"/>
      <c r="V21" s="1162"/>
      <c r="W21" s="1163"/>
      <c r="X21" s="1150"/>
      <c r="Y21" s="1177"/>
      <c r="Z21" s="1149"/>
      <c r="AA21" s="1149">
        <v>1</v>
      </c>
      <c r="AB21" s="1149">
        <v>1</v>
      </c>
      <c r="AC21" s="1149">
        <v>1</v>
      </c>
    </row>
    <row r="22" ht="15" spans="1:29">
      <c r="A22" s="984"/>
      <c r="B22" s="1009" t="s">
        <v>1569</v>
      </c>
      <c r="C22" s="1021"/>
      <c r="D22" s="1008">
        <v>100</v>
      </c>
      <c r="E22" s="1021"/>
      <c r="F22" s="1022">
        <f>SUMIF(69:69,E22,70:70)-SUMIF(69:69,C22,70:70)+100</f>
        <v>100</v>
      </c>
      <c r="G22" s="1021"/>
      <c r="H22" s="780">
        <f>SUMIF(69:69,G22,70:70)-SUMIF(69:69,C22,70:70)+100</f>
        <v>100</v>
      </c>
      <c r="I22" s="1021"/>
      <c r="J22" s="780">
        <f>SUMIF(69:69,I22,70:70)-SUMIF(69:69,C22,70:70)+100</f>
        <v>100</v>
      </c>
      <c r="K22" s="1103"/>
      <c r="L22" s="1106"/>
      <c r="M22" s="1054"/>
      <c r="N22" s="1054"/>
      <c r="O22" s="1587"/>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988">
        <v>111</v>
      </c>
      <c r="C23" s="989"/>
      <c r="D23" s="780">
        <v>100</v>
      </c>
      <c r="E23" s="991"/>
      <c r="F23" s="1022">
        <f>SUMIF(71:71,E23,72:72)-SUMIF(71:71,C23,72:72)+100</f>
        <v>100</v>
      </c>
      <c r="G23" s="991"/>
      <c r="H23" s="780">
        <f>SUMIF(71:71,G23,72:72)-SUMIF(71:71,C23,72:72)+100</f>
        <v>100</v>
      </c>
      <c r="I23" s="991"/>
      <c r="J23" s="780">
        <f>SUMIF(71:71,I23,72:72)-SUMIF(71:71,C23,72:72)+100</f>
        <v>100</v>
      </c>
      <c r="K23" s="1105"/>
      <c r="L23" s="1106"/>
      <c r="M23" s="1054"/>
      <c r="N23" s="1054"/>
      <c r="O23" s="1587"/>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84"/>
      <c r="B24" s="988">
        <v>111</v>
      </c>
      <c r="C24" s="989"/>
      <c r="D24" s="780">
        <v>100</v>
      </c>
      <c r="E24" s="991"/>
      <c r="F24" s="1022">
        <f>SUMIF(73:73,E24,74:74)-SUMIF(73:73,C24,74:74)+100</f>
        <v>100</v>
      </c>
      <c r="G24" s="991"/>
      <c r="H24" s="780">
        <f>SUMIF(73:73,G24,74:74)-SUMIF(73:73,C24,74:74)+100</f>
        <v>100</v>
      </c>
      <c r="I24" s="991"/>
      <c r="J24" s="780">
        <f>SUMIF(73:73,I24,74:74)-SUMIF(73:73,C24,74:74)+100</f>
        <v>100</v>
      </c>
      <c r="K24" s="1105"/>
      <c r="L24" s="1106"/>
      <c r="M24" s="1054"/>
      <c r="N24" s="1054"/>
      <c r="O24" s="1587"/>
      <c r="P24" s="1177"/>
      <c r="Q24" s="644">
        <f t="shared" ref="Q24:Q34"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987"/>
      <c r="B25" s="988">
        <v>111</v>
      </c>
      <c r="C25" s="1653"/>
      <c r="D25" s="1523">
        <v>100</v>
      </c>
      <c r="E25" s="1653"/>
      <c r="F25" s="1020">
        <f>SUMIF(75:75,E25,76:76)-SUMIF(75:75,C25,76:76)+100</f>
        <v>100</v>
      </c>
      <c r="G25" s="1653"/>
      <c r="H25" s="1523">
        <f>SUMIF(75:75,G25,76:76)-SUMIF(75:75,C25,76:76)+100</f>
        <v>100</v>
      </c>
      <c r="I25" s="1653"/>
      <c r="J25" s="1523">
        <f>SUMIF(75:75,I25,76:76)-SUMIF(75:75,C25,76:76)+100</f>
        <v>100</v>
      </c>
      <c r="K25" s="1105"/>
      <c r="L25" s="1097"/>
      <c r="M25" s="1098"/>
      <c r="N25" s="1098"/>
      <c r="O25" s="1583"/>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54" t="s">
        <v>1499</v>
      </c>
      <c r="B26" s="975" t="s">
        <v>1505</v>
      </c>
      <c r="C26" s="1027"/>
      <c r="D26" s="952">
        <v>100</v>
      </c>
      <c r="E26" s="1027"/>
      <c r="F26" s="954">
        <f>SUMIF(77:77,E26,78:78)-SUMIF(77:77,C26,78:78)+100</f>
        <v>100</v>
      </c>
      <c r="G26" s="1027"/>
      <c r="H26" s="952">
        <f>SUMIF(77:77,G26,78:78)-SUMIF(77:77,C26,78:78)+100</f>
        <v>100</v>
      </c>
      <c r="I26" s="1027"/>
      <c r="J26" s="952">
        <f>SUMIF(77:77,I26,78:78)-SUMIF(77:77,C26,78:78)+100</f>
        <v>100</v>
      </c>
      <c r="K26" s="1103"/>
      <c r="L26" s="1106"/>
      <c r="M26" s="1054"/>
      <c r="N26" s="1054"/>
      <c r="O26" s="1587"/>
      <c r="P26" s="1590" t="s">
        <v>1501</v>
      </c>
      <c r="Q26" s="644" t="str">
        <f t="shared" si="11"/>
        <v>公共部分装修</v>
      </c>
      <c r="R26" s="1162" t="s">
        <v>1481</v>
      </c>
      <c r="S26" s="1163">
        <f t="shared" ref="S26:S34" si="12">F26</f>
        <v>100</v>
      </c>
      <c r="T26" s="1162" t="s">
        <v>1481</v>
      </c>
      <c r="U26" s="1163">
        <f t="shared" ref="U26:U34" si="13">H26</f>
        <v>100</v>
      </c>
      <c r="V26" s="1162" t="s">
        <v>1481</v>
      </c>
      <c r="W26" s="1163">
        <f t="shared" ref="W26:W34" si="14">J26</f>
        <v>100</v>
      </c>
      <c r="X26" s="1150"/>
      <c r="Y26" s="1178" t="s">
        <v>1501</v>
      </c>
      <c r="Z26" s="1149" t="str">
        <f t="shared" ref="Z26:Z34" si="15">Q26</f>
        <v>公共部分装修</v>
      </c>
      <c r="AA26" s="1149">
        <f t="shared" si="3"/>
        <v>1</v>
      </c>
      <c r="AB26" s="1149">
        <f t="shared" si="4"/>
        <v>1</v>
      </c>
      <c r="AC26" s="1149">
        <f t="shared" si="5"/>
        <v>1</v>
      </c>
    </row>
    <row r="27" s="922" customFormat="1" ht="15" spans="1:29">
      <c r="A27" s="1028"/>
      <c r="B27" s="980" t="s">
        <v>1617</v>
      </c>
      <c r="C27" s="1033"/>
      <c r="D27" s="982">
        <v>100</v>
      </c>
      <c r="E27" s="1655"/>
      <c r="F27" s="1022" t="e">
        <f>LOOKUP(E27,80:80,81:81)-LOOKUP(C27,80:80,81:81)+100</f>
        <v>#N/A</v>
      </c>
      <c r="G27" s="1656"/>
      <c r="H27" s="780" t="e">
        <f>LOOKUP(G27,80:80,81:81)-LOOKUP(C27,80:80,81:81)+100</f>
        <v>#N/A</v>
      </c>
      <c r="I27" s="1656"/>
      <c r="J27" s="780" t="e">
        <f>LOOKUP(I27,80:80,81:81)-LOOKUP(C27,80:80,81:81)+100</f>
        <v>#N/A</v>
      </c>
      <c r="K27" s="1103"/>
      <c r="L27" s="1104"/>
      <c r="M27" s="1112"/>
      <c r="N27" s="1112"/>
      <c r="O27" s="1591"/>
      <c r="P27" s="1178"/>
      <c r="Q27" s="1164" t="str">
        <f t="shared" si="11"/>
        <v>成新率</v>
      </c>
      <c r="R27" s="1165" t="s">
        <v>1481</v>
      </c>
      <c r="S27" s="1166" t="e">
        <f t="shared" si="12"/>
        <v>#N/A</v>
      </c>
      <c r="T27" s="1165" t="s">
        <v>1481</v>
      </c>
      <c r="U27" s="1166" t="e">
        <f t="shared" si="13"/>
        <v>#N/A</v>
      </c>
      <c r="V27" s="1165" t="s">
        <v>1481</v>
      </c>
      <c r="W27" s="1166" t="e">
        <f t="shared" si="14"/>
        <v>#N/A</v>
      </c>
      <c r="X27" s="1167"/>
      <c r="Y27" s="1178"/>
      <c r="Z27" s="1179" t="str">
        <f t="shared" si="15"/>
        <v>成新率</v>
      </c>
      <c r="AA27" s="1149" t="e">
        <f t="shared" si="3"/>
        <v>#N/A</v>
      </c>
      <c r="AB27" s="1149" t="e">
        <f t="shared" si="4"/>
        <v>#N/A</v>
      </c>
      <c r="AC27" s="1149" t="e">
        <f t="shared" si="5"/>
        <v>#N/A</v>
      </c>
    </row>
    <row r="28" ht="15" spans="1:29">
      <c r="A28" s="1030"/>
      <c r="B28" s="980" t="s">
        <v>1618</v>
      </c>
      <c r="C28" s="1031"/>
      <c r="D28" s="780">
        <v>100</v>
      </c>
      <c r="E28" s="1031"/>
      <c r="F28" s="1022">
        <f>SUMIF(82:82,E28,83:83)-SUMIF(82:82,C28,83:83)+100</f>
        <v>100</v>
      </c>
      <c r="G28" s="1031"/>
      <c r="H28" s="780">
        <f>SUMIF(82:82,G28,83:83)-SUMIF(82:82,C28,83:83)+100</f>
        <v>100</v>
      </c>
      <c r="I28" s="1031"/>
      <c r="J28" s="780">
        <f>SUMIF(82:82,I28,83:83)-SUMIF(82:82,C28,83:83)+100</f>
        <v>100</v>
      </c>
      <c r="K28" s="1103"/>
      <c r="L28" s="1106"/>
      <c r="M28" s="1054"/>
      <c r="N28" s="1054"/>
      <c r="O28" s="1587"/>
      <c r="P28" s="1178"/>
      <c r="Q28" s="644" t="str">
        <f t="shared" si="11"/>
        <v>物业等级</v>
      </c>
      <c r="R28" s="1162" t="s">
        <v>1481</v>
      </c>
      <c r="S28" s="1163">
        <f t="shared" si="12"/>
        <v>100</v>
      </c>
      <c r="T28" s="1162" t="s">
        <v>1481</v>
      </c>
      <c r="U28" s="1163">
        <f t="shared" si="13"/>
        <v>100</v>
      </c>
      <c r="V28" s="1162" t="s">
        <v>1481</v>
      </c>
      <c r="W28" s="1163">
        <f t="shared" si="14"/>
        <v>100</v>
      </c>
      <c r="X28" s="1150"/>
      <c r="Y28" s="1178"/>
      <c r="Z28" s="1149" t="str">
        <f t="shared" si="15"/>
        <v>物业等级</v>
      </c>
      <c r="AA28" s="1149">
        <f t="shared" si="3"/>
        <v>1</v>
      </c>
      <c r="AB28" s="1149">
        <f t="shared" si="4"/>
        <v>1</v>
      </c>
      <c r="AC28" s="1149">
        <f t="shared" si="5"/>
        <v>1</v>
      </c>
    </row>
    <row r="29" ht="15" spans="1:29">
      <c r="A29" s="1030"/>
      <c r="B29" s="980" t="s">
        <v>1627</v>
      </c>
      <c r="C29" s="1657"/>
      <c r="D29" s="780">
        <v>100</v>
      </c>
      <c r="E29" s="1657"/>
      <c r="F29" s="1022">
        <f>SUMIF(84:84,E29,85:85)-SUMIF(84:84,C29,85:85)+100</f>
        <v>100</v>
      </c>
      <c r="G29" s="1657"/>
      <c r="H29" s="780">
        <f>SUMIF(84:84,G29,85:85)-SUMIF(84:84,C29,85:85)+100</f>
        <v>100</v>
      </c>
      <c r="I29" s="1657"/>
      <c r="J29" s="780">
        <f>SUMIF(84:84,I29,85:85)-SUMIF(84:84,C29,85:85)+100</f>
        <v>100</v>
      </c>
      <c r="K29" s="1103"/>
      <c r="L29" s="1106"/>
      <c r="M29" s="1054"/>
      <c r="N29" s="1054"/>
      <c r="O29" s="1587"/>
      <c r="P29" s="1178"/>
      <c r="Q29" s="644" t="str">
        <f t="shared" si="11"/>
        <v>有无电梯</v>
      </c>
      <c r="R29" s="1162" t="s">
        <v>1481</v>
      </c>
      <c r="S29" s="1163">
        <f t="shared" si="12"/>
        <v>100</v>
      </c>
      <c r="T29" s="1162" t="s">
        <v>1481</v>
      </c>
      <c r="U29" s="1163">
        <f t="shared" si="13"/>
        <v>100</v>
      </c>
      <c r="V29" s="1162" t="s">
        <v>1481</v>
      </c>
      <c r="W29" s="1163">
        <f t="shared" si="14"/>
        <v>100</v>
      </c>
      <c r="X29" s="1150"/>
      <c r="Y29" s="1178"/>
      <c r="Z29" s="1149" t="str">
        <f t="shared" si="15"/>
        <v>有无电梯</v>
      </c>
      <c r="AA29" s="1149">
        <f t="shared" si="3"/>
        <v>1</v>
      </c>
      <c r="AB29" s="1149">
        <f t="shared" si="4"/>
        <v>1</v>
      </c>
      <c r="AC29" s="1149">
        <f t="shared" si="5"/>
        <v>1</v>
      </c>
    </row>
    <row r="30" ht="15" spans="1:29">
      <c r="A30" s="1030"/>
      <c r="B30" s="980" t="s">
        <v>594</v>
      </c>
      <c r="C30" s="1029"/>
      <c r="D30" s="780">
        <v>100</v>
      </c>
      <c r="E30" s="1029"/>
      <c r="F30" s="1022" t="e">
        <f>LOOKUP(E30,87:87,88:88)-LOOKUP(C30,87:87,88:88)+100</f>
        <v>#N/A</v>
      </c>
      <c r="G30" s="1029"/>
      <c r="H30" s="780" t="e">
        <f>LOOKUP(G30,87:87,88:88)-LOOKUP(C30,87:87,88:88)+100</f>
        <v>#N/A</v>
      </c>
      <c r="I30" s="1029"/>
      <c r="J30" s="780" t="e">
        <f>LOOKUP(I30,87:87,88:88)-LOOKUP(C30,87:87,88:88)+100</f>
        <v>#N/A</v>
      </c>
      <c r="K30" s="1105"/>
      <c r="L30" s="1106"/>
      <c r="M30" s="1054"/>
      <c r="N30" s="1054"/>
      <c r="O30" s="1587"/>
      <c r="P30" s="1178"/>
      <c r="Q30" s="644" t="str">
        <f t="shared" si="11"/>
        <v>建筑面积</v>
      </c>
      <c r="R30" s="1162" t="s">
        <v>1481</v>
      </c>
      <c r="S30" s="1163" t="e">
        <f t="shared" si="12"/>
        <v>#N/A</v>
      </c>
      <c r="T30" s="1162" t="s">
        <v>1481</v>
      </c>
      <c r="U30" s="1163" t="e">
        <f t="shared" si="13"/>
        <v>#N/A</v>
      </c>
      <c r="V30" s="1162" t="s">
        <v>1481</v>
      </c>
      <c r="W30" s="1163" t="e">
        <f t="shared" si="14"/>
        <v>#N/A</v>
      </c>
      <c r="X30" s="1150"/>
      <c r="Y30" s="1178"/>
      <c r="Z30" s="1149" t="str">
        <f t="shared" si="15"/>
        <v>建筑面积</v>
      </c>
      <c r="AA30" s="1149" t="e">
        <f t="shared" si="3"/>
        <v>#N/A</v>
      </c>
      <c r="AB30" s="1149" t="e">
        <f t="shared" si="4"/>
        <v>#N/A</v>
      </c>
      <c r="AC30" s="1149" t="e">
        <f t="shared" si="5"/>
        <v>#N/A</v>
      </c>
    </row>
    <row r="31" s="920" customFormat="1" ht="15" spans="1:29">
      <c r="A31" s="1034"/>
      <c r="B31" s="980" t="s">
        <v>1628</v>
      </c>
      <c r="C31" s="1657"/>
      <c r="D31" s="982">
        <v>100</v>
      </c>
      <c r="E31" s="1657"/>
      <c r="F31" s="1022">
        <f>SUMIF(89:89,E31,90:90)-SUMIF(89:89,C31,90:90)+100</f>
        <v>100</v>
      </c>
      <c r="G31" s="1657"/>
      <c r="H31" s="780">
        <f>SUMIF(89:89,G31,90:90)-SUMIF(89:89,C31,90:90)+100</f>
        <v>100</v>
      </c>
      <c r="I31" s="1657"/>
      <c r="J31" s="780">
        <f>SUMIF(89:89,I31,90:90)-SUMIF(89:89,C31,90:90)+100</f>
        <v>100</v>
      </c>
      <c r="K31" s="1103"/>
      <c r="L31" s="1097"/>
      <c r="M31" s="1098"/>
      <c r="N31" s="1098"/>
      <c r="O31" s="1583"/>
      <c r="P31" s="1178"/>
      <c r="Q31" s="815" t="str">
        <f t="shared" si="11"/>
        <v>是否封闭</v>
      </c>
      <c r="R31" s="1158" t="s">
        <v>1481</v>
      </c>
      <c r="S31" s="1159">
        <f t="shared" si="12"/>
        <v>100</v>
      </c>
      <c r="T31" s="1158" t="s">
        <v>1481</v>
      </c>
      <c r="U31" s="1159">
        <f t="shared" si="13"/>
        <v>100</v>
      </c>
      <c r="V31" s="1158" t="s">
        <v>1481</v>
      </c>
      <c r="W31" s="1159">
        <f t="shared" si="14"/>
        <v>100</v>
      </c>
      <c r="X31" s="1160"/>
      <c r="Y31" s="1178"/>
      <c r="Z31" s="1175" t="str">
        <f t="shared" si="15"/>
        <v>是否封闭</v>
      </c>
      <c r="AA31" s="1175">
        <f t="shared" si="3"/>
        <v>1</v>
      </c>
      <c r="AB31" s="1175">
        <f t="shared" si="4"/>
        <v>1</v>
      </c>
      <c r="AC31" s="1175">
        <f t="shared" si="5"/>
        <v>1</v>
      </c>
    </row>
    <row r="32" ht="15" spans="1:29">
      <c r="A32" s="1030"/>
      <c r="B32" s="988">
        <v>111</v>
      </c>
      <c r="C32" s="989"/>
      <c r="D32" s="780">
        <v>100</v>
      </c>
      <c r="E32" s="1029"/>
      <c r="F32" s="1022">
        <f>SUMIF(91:91,E32,92:92)-SUMIF(91:91,C32,92:92)+100</f>
        <v>100</v>
      </c>
      <c r="G32" s="1029"/>
      <c r="H32" s="780">
        <f>SUMIF(91:91,G32,92:92)-SUMIF(91:91,C32,92:92)+100</f>
        <v>100</v>
      </c>
      <c r="I32" s="1029"/>
      <c r="J32" s="780">
        <f>SUMIF(91:91,I32,92:92)-SUMIF(91:91,C32,92:92)+100</f>
        <v>100</v>
      </c>
      <c r="K32" s="1105"/>
      <c r="L32" s="1106"/>
      <c r="M32" s="1054"/>
      <c r="N32" s="1054"/>
      <c r="O32" s="1587"/>
      <c r="P32" s="1178" t="s">
        <v>1501</v>
      </c>
      <c r="Q32" s="644">
        <f t="shared" si="11"/>
        <v>111</v>
      </c>
      <c r="R32" s="1162" t="s">
        <v>1481</v>
      </c>
      <c r="S32" s="1163">
        <f t="shared" si="12"/>
        <v>100</v>
      </c>
      <c r="T32" s="1162" t="s">
        <v>1481</v>
      </c>
      <c r="U32" s="1163">
        <f t="shared" si="13"/>
        <v>100</v>
      </c>
      <c r="V32" s="1162" t="s">
        <v>1481</v>
      </c>
      <c r="W32" s="1163">
        <f t="shared" si="14"/>
        <v>100</v>
      </c>
      <c r="X32" s="1150"/>
      <c r="Y32" s="1178" t="s">
        <v>1501</v>
      </c>
      <c r="Z32" s="1149">
        <f t="shared" si="15"/>
        <v>111</v>
      </c>
      <c r="AA32" s="1149">
        <f t="shared" si="3"/>
        <v>1</v>
      </c>
      <c r="AB32" s="1149">
        <f t="shared" si="4"/>
        <v>1</v>
      </c>
      <c r="AC32" s="1149">
        <f t="shared" si="5"/>
        <v>1</v>
      </c>
    </row>
    <row r="33" ht="15" spans="1:29">
      <c r="A33" s="1030"/>
      <c r="B33" s="988">
        <v>111</v>
      </c>
      <c r="C33" s="989"/>
      <c r="D33" s="780">
        <v>100</v>
      </c>
      <c r="E33" s="1029"/>
      <c r="F33" s="1022">
        <f>SUMIF(93:93,E33,94:94)-SUMIF(93:93,C33,94:94)+100</f>
        <v>100</v>
      </c>
      <c r="G33" s="1029"/>
      <c r="H33" s="780">
        <f>SUMIF(93:93,G33,94:94)-SUMIF(93:93,C33,94:94)+100</f>
        <v>100</v>
      </c>
      <c r="I33" s="1029"/>
      <c r="J33" s="780">
        <f>SUMIF(93:93,I33,94:94)-SUMIF(93:93,C33,94:94)+100</f>
        <v>100</v>
      </c>
      <c r="K33" s="1105"/>
      <c r="L33" s="1106"/>
      <c r="M33" s="1054"/>
      <c r="N33" s="1054"/>
      <c r="O33" s="1587"/>
      <c r="P33" s="1178"/>
      <c r="Q33" s="644">
        <f t="shared" si="11"/>
        <v>111</v>
      </c>
      <c r="R33" s="1162" t="s">
        <v>1481</v>
      </c>
      <c r="S33" s="1163">
        <f t="shared" si="12"/>
        <v>100</v>
      </c>
      <c r="T33" s="1162" t="s">
        <v>1481</v>
      </c>
      <c r="U33" s="1163">
        <f t="shared" si="13"/>
        <v>100</v>
      </c>
      <c r="V33" s="1162" t="s">
        <v>1481</v>
      </c>
      <c r="W33" s="1163">
        <f t="shared" si="14"/>
        <v>100</v>
      </c>
      <c r="X33" s="1150"/>
      <c r="Y33" s="1178"/>
      <c r="Z33" s="1149">
        <f t="shared" si="15"/>
        <v>111</v>
      </c>
      <c r="AA33" s="1149">
        <f t="shared" si="3"/>
        <v>1</v>
      </c>
      <c r="AB33" s="1149">
        <f t="shared" si="4"/>
        <v>1</v>
      </c>
      <c r="AC33" s="1149">
        <f t="shared" si="5"/>
        <v>1</v>
      </c>
    </row>
    <row r="34" ht="15.75" spans="1:29">
      <c r="A34" s="1037"/>
      <c r="B34" s="993">
        <v>111</v>
      </c>
      <c r="C34" s="994"/>
      <c r="D34" s="995">
        <v>100</v>
      </c>
      <c r="E34" s="1652"/>
      <c r="F34" s="996">
        <f>SUMIF(95:95,E34,96:96)-SUMIF(95:95,C34,96:96)+100</f>
        <v>100</v>
      </c>
      <c r="G34" s="1652"/>
      <c r="H34" s="995">
        <f>SUMIF(95:95,G34,96:96)-SUMIF(95:95,C34,96:96)+100</f>
        <v>100</v>
      </c>
      <c r="I34" s="1652"/>
      <c r="J34" s="995">
        <f>SUMIF(95:95,I34,96:96)-SUMIF(95:95,C34,96:96)+100</f>
        <v>100</v>
      </c>
      <c r="K34" s="1105"/>
      <c r="L34" s="1106"/>
      <c r="M34" s="1054"/>
      <c r="N34" s="1054"/>
      <c r="O34" s="1587"/>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ht="15" spans="1:29">
      <c r="A35" s="1038" t="s">
        <v>1512</v>
      </c>
      <c r="B35" s="1039"/>
      <c r="C35" s="1040" t="s">
        <v>124</v>
      </c>
      <c r="D35" s="1041"/>
      <c r="E35" s="1042"/>
      <c r="F35" s="1043"/>
      <c r="G35" s="1044"/>
      <c r="H35" s="1045"/>
      <c r="I35" s="1042"/>
      <c r="J35" s="1045"/>
      <c r="K35" s="1115"/>
      <c r="L35" s="1593"/>
      <c r="M35" s="1054"/>
      <c r="N35" s="1054"/>
      <c r="O35" s="1054"/>
      <c r="P35" s="644" t="str">
        <f>A35</f>
        <v>成交单价（元/平方米）</v>
      </c>
      <c r="Q35" s="644"/>
      <c r="R35" s="1149">
        <f>E35</f>
        <v>0</v>
      </c>
      <c r="S35" s="1149"/>
      <c r="T35" s="1149">
        <f>G35</f>
        <v>0</v>
      </c>
      <c r="U35" s="1149"/>
      <c r="V35" s="1149">
        <f>I35</f>
        <v>0</v>
      </c>
      <c r="W35" s="1149"/>
      <c r="X35" s="1004"/>
      <c r="Y35" s="1181"/>
      <c r="Z35" s="1004"/>
      <c r="AA35" s="1004"/>
      <c r="AB35" s="1004"/>
      <c r="AC35" s="1004"/>
    </row>
    <row r="36" ht="15.75" spans="1:29">
      <c r="A36" s="1046" t="s">
        <v>1513</v>
      </c>
      <c r="B36" s="1047"/>
      <c r="C36" s="1048" t="e">
        <f>R37</f>
        <v>#DIV/0!</v>
      </c>
      <c r="D36" s="1049" t="s">
        <v>1514</v>
      </c>
      <c r="E36" s="1050" t="e">
        <f>R36</f>
        <v>#DIV/0!</v>
      </c>
      <c r="F36" s="1051"/>
      <c r="G36" s="1048" t="e">
        <f>T36</f>
        <v>#DIV/0!</v>
      </c>
      <c r="H36" s="1051"/>
      <c r="I36" s="1050" t="e">
        <f>V36</f>
        <v>#DIV/0!</v>
      </c>
      <c r="J36" s="1051"/>
      <c r="K36" s="1117">
        <f>F36+H36+J36</f>
        <v>0</v>
      </c>
      <c r="L36" s="1593"/>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4"/>
      <c r="Y36" s="1004"/>
      <c r="Z36" s="1004"/>
      <c r="AA36" s="1004"/>
      <c r="AB36" s="1004"/>
      <c r="AC36" s="1004"/>
    </row>
    <row r="37" ht="15.75" spans="1:29">
      <c r="A37" s="1052" t="s">
        <v>1515</v>
      </c>
      <c r="B37" s="1053"/>
      <c r="C37" s="962" t="e">
        <f>R37</f>
        <v>#DIV/0!</v>
      </c>
      <c r="D37" s="962"/>
      <c r="E37" s="962"/>
      <c r="F37" s="962"/>
      <c r="G37" s="962"/>
      <c r="H37" s="962"/>
      <c r="I37" s="962"/>
      <c r="J37" s="962"/>
      <c r="K37" s="1118"/>
      <c r="L37" s="1593"/>
      <c r="M37" s="1054"/>
      <c r="N37" s="1054"/>
      <c r="O37" s="1054"/>
      <c r="P37" s="1022" t="str">
        <f>A37</f>
        <v>估价对象XX用房的比较价值（楼面单价，元/平方米）</v>
      </c>
      <c r="Q37" s="1168"/>
      <c r="R37" s="1658" t="e">
        <f>IF(F1="售价",ROUND(IF(D36="简单平均",AVERAGE(R36:W36),R36*F36+T36*H36+V36*J36),0),ROUND(IF(D36="简单平均",AVERAGE(R36:V36),R36*F36+T36*H36+V36*J36),1))</f>
        <v>#DIV/0!</v>
      </c>
      <c r="S37" s="1658"/>
      <c r="T37" s="1658"/>
      <c r="U37" s="1658"/>
      <c r="V37" s="1658"/>
      <c r="W37" s="1658"/>
      <c r="X37" s="1004"/>
      <c r="Y37" s="1004"/>
      <c r="Z37" s="1004"/>
      <c r="AA37" s="1004"/>
      <c r="AB37" s="1004"/>
      <c r="AC37" s="1004"/>
    </row>
    <row r="38" spans="1:30">
      <c r="A38" s="1054"/>
      <c r="B38" s="1054"/>
      <c r="C38" s="1054"/>
      <c r="D38" s="1054"/>
      <c r="E38" s="1054"/>
      <c r="F38" s="1054"/>
      <c r="G38" s="1547"/>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1516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1517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3" customFormat="1" ht="13.5" customHeight="1" spans="1:30">
      <c r="A42" s="1059"/>
      <c r="B42" s="1059"/>
      <c r="C42" s="1056" t="s">
        <v>1518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3"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1519</v>
      </c>
      <c r="B45" s="1004"/>
      <c r="C45" s="1063"/>
      <c r="D45" s="1063"/>
      <c r="E45" s="1063"/>
      <c r="F45" s="1064"/>
      <c r="G45" s="1064"/>
      <c r="H45" s="1063"/>
      <c r="I45" s="1063"/>
      <c r="J45" s="1063"/>
      <c r="K45" s="1125"/>
      <c r="L45" s="1599"/>
      <c r="M45" s="1063"/>
      <c r="N45" s="1600"/>
      <c r="O45" s="1600"/>
      <c r="P45" s="1600"/>
      <c r="Q45" s="1170"/>
      <c r="R45" s="1054"/>
      <c r="S45" s="1054"/>
      <c r="T45" s="1054"/>
      <c r="U45" s="1054"/>
      <c r="V45" s="1054"/>
      <c r="W45" s="1054"/>
      <c r="X45" s="1054"/>
      <c r="Y45" s="1054"/>
      <c r="Z45" s="1054"/>
      <c r="AA45" s="1054"/>
      <c r="AB45" s="1054"/>
      <c r="AC45" s="1054"/>
      <c r="AD45" s="1054"/>
    </row>
    <row r="46" s="924" customFormat="1" ht="15" spans="1:30">
      <c r="A46" s="1065" t="s">
        <v>1479</v>
      </c>
      <c r="B46" s="1066"/>
      <c r="C46" s="1067" t="str">
        <f>YEAR(C7)&amp;"-"&amp;MONTH(C7)</f>
        <v>2025-5</v>
      </c>
      <c r="D46" s="1068">
        <f>EDATE(C46,-1)</f>
        <v>45748</v>
      </c>
      <c r="E46" s="1068">
        <f t="shared" ref="E46:O46" si="16">EDATE(D46,-1)</f>
        <v>45717</v>
      </c>
      <c r="F46" s="1068">
        <f t="shared" si="16"/>
        <v>45689</v>
      </c>
      <c r="G46" s="1068">
        <f t="shared" si="16"/>
        <v>45658</v>
      </c>
      <c r="H46" s="1068">
        <f t="shared" si="16"/>
        <v>45627</v>
      </c>
      <c r="I46" s="1068">
        <f t="shared" si="16"/>
        <v>45597</v>
      </c>
      <c r="J46" s="1068">
        <f t="shared" si="16"/>
        <v>45566</v>
      </c>
      <c r="K46" s="1068">
        <f t="shared" si="16"/>
        <v>45536</v>
      </c>
      <c r="L46" s="1068">
        <f t="shared" si="16"/>
        <v>45505</v>
      </c>
      <c r="M46" s="1068">
        <f t="shared" si="16"/>
        <v>45474</v>
      </c>
      <c r="N46" s="1068">
        <f t="shared" si="16"/>
        <v>45444</v>
      </c>
      <c r="O46" s="1068">
        <f t="shared" si="16"/>
        <v>45413</v>
      </c>
      <c r="P46" s="1171"/>
      <c r="Q46" s="1171"/>
      <c r="R46" s="1171"/>
      <c r="S46" s="1171"/>
      <c r="T46" s="1171"/>
      <c r="U46" s="1171"/>
      <c r="V46" s="1171"/>
      <c r="W46" s="1171"/>
      <c r="X46" s="1171"/>
      <c r="Y46" s="1171"/>
      <c r="Z46" s="1171"/>
      <c r="AA46" s="1171"/>
      <c r="AB46" s="1171"/>
      <c r="AC46" s="1171"/>
      <c r="AD46" s="1171"/>
    </row>
    <row r="47" s="920" customFormat="1" ht="15" spans="1:30">
      <c r="A47" s="1069"/>
      <c r="B47" s="1070"/>
      <c r="C47" s="1071">
        <v>100</v>
      </c>
      <c r="D47" s="1072"/>
      <c r="E47" s="1072"/>
      <c r="F47" s="1072"/>
      <c r="G47" s="1072"/>
      <c r="H47" s="1072"/>
      <c r="I47" s="1072"/>
      <c r="J47" s="1072"/>
      <c r="K47" s="1072"/>
      <c r="L47" s="1072"/>
      <c r="M47" s="988"/>
      <c r="N47" s="1072"/>
      <c r="O47" s="1136"/>
      <c r="P47" s="1170"/>
      <c r="Q47" s="1098"/>
      <c r="R47" s="1098"/>
      <c r="S47" s="1098"/>
      <c r="T47" s="1098"/>
      <c r="U47" s="1098"/>
      <c r="V47" s="1098"/>
      <c r="W47" s="1098"/>
      <c r="X47" s="1098"/>
      <c r="Y47" s="1098"/>
      <c r="Z47" s="1098"/>
      <c r="AA47" s="1098"/>
      <c r="AB47" s="1098"/>
      <c r="AC47" s="1098"/>
      <c r="AD47" s="1098"/>
    </row>
    <row r="48" s="920" customFormat="1" ht="15.75" spans="1:30">
      <c r="A48" s="1073" t="s">
        <v>1520</v>
      </c>
      <c r="B48" s="1074"/>
      <c r="C48" s="1075"/>
      <c r="D48" s="1076"/>
      <c r="E48" s="1076"/>
      <c r="F48" s="1076"/>
      <c r="G48" s="1076"/>
      <c r="H48" s="1076"/>
      <c r="I48" s="1076"/>
      <c r="J48" s="1076"/>
      <c r="K48" s="1076"/>
      <c r="L48" s="1076"/>
      <c r="M48" s="1131"/>
      <c r="N48" s="1076"/>
      <c r="O48" s="1615"/>
      <c r="P48" s="1170"/>
      <c r="Q48" s="1170"/>
      <c r="R48" s="1098"/>
      <c r="S48" s="1098"/>
      <c r="T48" s="1098"/>
      <c r="U48" s="1098"/>
      <c r="V48" s="1098"/>
      <c r="W48" s="1098"/>
      <c r="X48" s="1098"/>
      <c r="Y48" s="1098"/>
      <c r="Z48" s="1098"/>
      <c r="AA48" s="1098"/>
      <c r="AB48" s="1098"/>
      <c r="AC48" s="1098"/>
      <c r="AD48" s="1098"/>
    </row>
    <row r="49" s="920" customFormat="1" ht="15" spans="1:30">
      <c r="A49" s="1077" t="s">
        <v>1482</v>
      </c>
      <c r="B49" s="1070"/>
      <c r="C49" s="1078" t="s">
        <v>1521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0" customFormat="1" ht="15.75" spans="1:30">
      <c r="A50" s="1077"/>
      <c r="B50" s="1070"/>
      <c r="C50" s="1610">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7" t="s">
        <v>1522</v>
      </c>
      <c r="B51" s="1082" t="s">
        <v>1485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4"/>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4"/>
      <c r="B53" s="1182" t="s">
        <v>1488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4"/>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4"/>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4"/>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2"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2"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2"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2"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7" t="s">
        <v>1490</v>
      </c>
      <c r="B61" s="1082" t="s">
        <v>1493</v>
      </c>
      <c r="C61" s="1200" t="s">
        <v>1523</v>
      </c>
      <c r="D61" s="1200" t="s">
        <v>1524</v>
      </c>
      <c r="E61" s="1200" t="s">
        <v>1525</v>
      </c>
      <c r="F61" s="1200" t="s">
        <v>1526</v>
      </c>
      <c r="G61" s="1200" t="s">
        <v>1527</v>
      </c>
      <c r="H61" s="640"/>
      <c r="I61" s="640"/>
      <c r="J61" s="640"/>
      <c r="K61" s="1230"/>
      <c r="L61" s="1231"/>
      <c r="M61" s="1232"/>
      <c r="N61" s="1140"/>
      <c r="O61" s="1140"/>
      <c r="P61" s="1617"/>
      <c r="Q61" s="1170"/>
      <c r="R61" s="1054"/>
      <c r="S61" s="1054"/>
      <c r="T61" s="1054"/>
      <c r="U61" s="1054"/>
      <c r="V61" s="1054"/>
      <c r="W61" s="1054"/>
      <c r="X61" s="1054"/>
      <c r="Y61" s="1054"/>
      <c r="Z61" s="1054"/>
      <c r="AA61" s="1054"/>
      <c r="AB61" s="1054"/>
      <c r="AC61" s="1054"/>
      <c r="AD61" s="1054"/>
    </row>
    <row r="62" ht="15.75" spans="1:30">
      <c r="A62" s="984"/>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4"/>
      <c r="B63" s="1182" t="s">
        <v>1629</v>
      </c>
      <c r="C63" s="1201" t="s">
        <v>1523</v>
      </c>
      <c r="D63" s="1201" t="s">
        <v>1524</v>
      </c>
      <c r="E63" s="1201" t="s">
        <v>1525</v>
      </c>
      <c r="F63" s="1201" t="s">
        <v>1526</v>
      </c>
      <c r="G63" s="1201" t="s">
        <v>1527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4"/>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4"/>
      <c r="B65" s="1185" t="s">
        <v>1495</v>
      </c>
      <c r="C65" s="1177" t="s">
        <v>1528</v>
      </c>
      <c r="D65" s="1177" t="s">
        <v>1529</v>
      </c>
      <c r="E65" s="1177" t="s">
        <v>1530</v>
      </c>
      <c r="F65" s="1177" t="s">
        <v>1531</v>
      </c>
      <c r="G65" s="1177" t="s">
        <v>1532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4"/>
      <c r="B66" s="1185"/>
      <c r="C66" s="1189">
        <v>100</v>
      </c>
      <c r="D66" s="1189">
        <f>C66-$K18</f>
        <v>100</v>
      </c>
      <c r="E66" s="1189">
        <f>D66-$K18</f>
        <v>100</v>
      </c>
      <c r="F66" s="1189">
        <f>E66-$K18</f>
        <v>100</v>
      </c>
      <c r="G66" s="1189">
        <f>F66-$K18</f>
        <v>100</v>
      </c>
      <c r="H66" s="1177"/>
      <c r="I66" s="1177"/>
      <c r="J66" s="1177"/>
      <c r="K66" s="1177"/>
      <c r="L66" s="1177"/>
      <c r="M66" s="1008"/>
      <c r="N66" s="1143"/>
      <c r="O66" s="1143"/>
      <c r="P66" s="1134"/>
      <c r="Q66" s="1170"/>
      <c r="R66" s="1054"/>
      <c r="S66" s="1054"/>
      <c r="T66" s="1054"/>
      <c r="U66" s="1054"/>
      <c r="V66" s="1054"/>
      <c r="W66" s="1054"/>
      <c r="X66" s="1054"/>
      <c r="Y66" s="1054"/>
      <c r="Z66" s="1054"/>
      <c r="AA66" s="1054"/>
      <c r="AB66" s="1054"/>
      <c r="AC66" s="1054"/>
      <c r="AD66" s="1054"/>
    </row>
    <row r="67" ht="15.75" spans="1:30">
      <c r="A67" s="984"/>
      <c r="B67" s="1182" t="s">
        <v>1496</v>
      </c>
      <c r="C67" s="1201" t="s">
        <v>1523</v>
      </c>
      <c r="D67" s="1201" t="s">
        <v>1524</v>
      </c>
      <c r="E67" s="1201" t="s">
        <v>1525</v>
      </c>
      <c r="F67" s="1201" t="s">
        <v>1526</v>
      </c>
      <c r="G67" s="1201" t="s">
        <v>1527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4"/>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4"/>
      <c r="B69" s="1182" t="s">
        <v>1569</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4"/>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0" customFormat="1" ht="15.75" spans="1:30">
      <c r="A71" s="987"/>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0" customFormat="1" ht="15.75" spans="1:30">
      <c r="A72" s="987"/>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0" customFormat="1" ht="15.75" spans="1:30">
      <c r="A73" s="987"/>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0" customFormat="1" ht="15.75" spans="1:30">
      <c r="A74" s="987"/>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2"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2"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7" t="s">
        <v>1499</v>
      </c>
      <c r="B77" s="1082" t="s">
        <v>1505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4"/>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4"/>
      <c r="B79" s="1182" t="s">
        <v>1617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4"/>
      <c r="B80" s="1185"/>
      <c r="C80" s="815">
        <v>0.5</v>
      </c>
      <c r="D80" s="815">
        <v>0.6</v>
      </c>
      <c r="E80" s="815">
        <v>0.7</v>
      </c>
      <c r="F80" s="815">
        <v>0.8</v>
      </c>
      <c r="G80" s="815">
        <v>0.9</v>
      </c>
      <c r="H80" s="815">
        <v>1.0001</v>
      </c>
      <c r="I80" s="1177"/>
      <c r="J80" s="1177"/>
      <c r="K80" s="1662"/>
      <c r="L80" s="1663"/>
      <c r="M80" s="1664"/>
      <c r="N80" s="1134"/>
      <c r="O80" s="1134"/>
      <c r="P80" s="1134"/>
      <c r="Q80" s="1170"/>
      <c r="R80" s="1054"/>
      <c r="S80" s="1054"/>
      <c r="T80" s="1054"/>
      <c r="U80" s="1054"/>
      <c r="V80" s="1054"/>
      <c r="W80" s="1054"/>
      <c r="X80" s="1054"/>
      <c r="Y80" s="1054"/>
      <c r="Z80" s="1054"/>
      <c r="AA80" s="1054"/>
      <c r="AB80" s="1054"/>
      <c r="AC80" s="1054"/>
      <c r="AD80" s="1054"/>
    </row>
    <row r="81" s="922"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1618</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4"/>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1627</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4"/>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594</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4"/>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2" customFormat="1" ht="15.75" spans="1:30">
      <c r="A89" s="1028"/>
      <c r="B89" s="1182" t="s">
        <v>1628</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2"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4"/>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4"/>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60">
        <f>B34</f>
        <v>111</v>
      </c>
      <c r="C95" s="1188"/>
      <c r="D95" s="1188"/>
      <c r="E95" s="1188"/>
      <c r="F95" s="1188"/>
      <c r="G95" s="1191"/>
      <c r="H95" s="1192"/>
      <c r="I95" s="1192"/>
      <c r="J95" s="1192"/>
      <c r="K95" s="1192"/>
      <c r="L95" s="1220"/>
      <c r="M95" s="1221"/>
      <c r="N95" s="1143"/>
      <c r="O95" s="1143"/>
      <c r="P95" s="1143"/>
      <c r="Q95" s="1667"/>
      <c r="R95" s="1054"/>
      <c r="S95" s="1054"/>
      <c r="T95" s="1054"/>
      <c r="U95" s="1054"/>
      <c r="V95" s="1054"/>
      <c r="W95" s="1054"/>
      <c r="X95" s="1054"/>
      <c r="Y95" s="1054"/>
      <c r="Z95" s="1054"/>
      <c r="AA95" s="1054"/>
      <c r="AB95" s="1054"/>
      <c r="AC95" s="1054"/>
      <c r="AD95" s="1054"/>
    </row>
    <row r="96" ht="15.75" spans="1:30">
      <c r="A96" s="984"/>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61"/>
      <c r="B98" s="1661"/>
      <c r="C98" s="1661"/>
      <c r="D98" s="1661"/>
      <c r="E98" s="1661"/>
      <c r="F98" s="1661"/>
      <c r="G98" s="1661"/>
      <c r="H98" s="1661"/>
      <c r="I98" s="1661"/>
      <c r="J98" s="1661"/>
      <c r="K98" s="1665"/>
      <c r="L98" s="1666"/>
      <c r="M98" s="1661"/>
      <c r="N98" s="1054"/>
      <c r="O98" s="1054"/>
      <c r="P98" s="1054"/>
      <c r="Q98" s="1054"/>
      <c r="R98" s="1054"/>
      <c r="S98" s="1054"/>
      <c r="T98" s="1054"/>
      <c r="U98" s="1054"/>
      <c r="V98" s="1054"/>
      <c r="W98" s="1054"/>
      <c r="X98" s="1054"/>
      <c r="Y98" s="1054"/>
      <c r="Z98" s="1054"/>
      <c r="AA98" s="1054"/>
      <c r="AB98" s="1054"/>
      <c r="AC98" s="1054"/>
      <c r="AD98" s="1054"/>
    </row>
    <row r="99" spans="1:30">
      <c r="A99" s="1661"/>
      <c r="B99" s="1661"/>
      <c r="C99" s="1661"/>
      <c r="D99" s="1661"/>
      <c r="E99" s="1661"/>
      <c r="F99" s="1661"/>
      <c r="G99" s="1661"/>
      <c r="H99" s="1661"/>
      <c r="I99" s="1661"/>
      <c r="J99" s="1661"/>
      <c r="K99" s="1665"/>
      <c r="L99" s="1666"/>
      <c r="M99" s="1661"/>
      <c r="N99" s="1054"/>
      <c r="O99" s="1054"/>
      <c r="P99" s="1054"/>
      <c r="Q99" s="1054"/>
      <c r="R99" s="1054"/>
      <c r="S99" s="1054"/>
      <c r="T99" s="1054"/>
      <c r="U99" s="1054"/>
      <c r="V99" s="1054"/>
      <c r="W99" s="1054"/>
      <c r="X99" s="1054"/>
      <c r="Y99" s="1054"/>
      <c r="Z99" s="1054"/>
      <c r="AA99" s="1054"/>
      <c r="AB99" s="1054"/>
      <c r="AC99" s="1054"/>
      <c r="AD99" s="1054"/>
    </row>
    <row r="100" spans="1:30">
      <c r="A100" s="1661"/>
      <c r="B100" s="1661"/>
      <c r="C100" s="1661"/>
      <c r="D100" s="1661"/>
      <c r="E100" s="1661"/>
      <c r="F100" s="1661"/>
      <c r="G100" s="1661"/>
      <c r="H100" s="1661"/>
      <c r="I100" s="1661"/>
      <c r="J100" s="1661"/>
      <c r="K100" s="1665"/>
      <c r="L100" s="1666"/>
      <c r="M100" s="1661"/>
      <c r="N100" s="1054"/>
      <c r="O100" s="1054"/>
      <c r="P100" s="1054"/>
      <c r="Q100" s="1054"/>
      <c r="R100" s="1054"/>
      <c r="S100" s="1054"/>
      <c r="T100" s="1054"/>
      <c r="U100" s="1054"/>
      <c r="V100" s="1054"/>
      <c r="W100" s="1054"/>
      <c r="X100" s="1054"/>
      <c r="Y100" s="1054"/>
      <c r="Z100" s="1054"/>
      <c r="AA100" s="1054"/>
      <c r="AB100" s="1054"/>
      <c r="AC100" s="1054"/>
      <c r="AD100" s="1054"/>
    </row>
    <row r="101" spans="1:30">
      <c r="A101" s="1661"/>
      <c r="B101" s="1661"/>
      <c r="C101" s="1661"/>
      <c r="D101" s="1661"/>
      <c r="E101" s="1661"/>
      <c r="F101" s="1661"/>
      <c r="G101" s="1661"/>
      <c r="H101" s="1661"/>
      <c r="I101" s="1661"/>
      <c r="J101" s="1661"/>
      <c r="K101" s="1665"/>
      <c r="L101" s="1666"/>
      <c r="M101" s="1661"/>
      <c r="N101" s="1054"/>
      <c r="O101" s="1054"/>
      <c r="P101" s="1054"/>
      <c r="Q101" s="1054"/>
      <c r="R101" s="1054"/>
      <c r="S101" s="1054"/>
      <c r="T101" s="1054"/>
      <c r="U101" s="1054"/>
      <c r="V101" s="1054"/>
      <c r="W101" s="1054"/>
      <c r="X101" s="1054"/>
      <c r="Y101" s="1054"/>
      <c r="Z101" s="1054"/>
      <c r="AA101" s="1054"/>
      <c r="AB101" s="1054"/>
      <c r="AC101" s="1054"/>
      <c r="AD101" s="1054"/>
    </row>
    <row r="102" spans="1:30">
      <c r="A102" s="1661"/>
      <c r="B102" s="1661"/>
      <c r="C102" s="1661"/>
      <c r="D102" s="1661"/>
      <c r="E102" s="1661"/>
      <c r="F102" s="1661"/>
      <c r="G102" s="1661"/>
      <c r="H102" s="1661"/>
      <c r="I102" s="1661"/>
      <c r="J102" s="1661"/>
      <c r="K102" s="1665"/>
      <c r="L102" s="1666"/>
      <c r="M102" s="1661"/>
      <c r="N102" s="1054"/>
      <c r="O102" s="1054"/>
      <c r="P102" s="1054"/>
      <c r="Q102" s="1054"/>
      <c r="R102" s="1054"/>
      <c r="S102" s="1054"/>
      <c r="T102" s="1054"/>
      <c r="U102" s="1054"/>
      <c r="V102" s="1054"/>
      <c r="W102" s="1054"/>
      <c r="X102" s="1054"/>
      <c r="Y102" s="1054"/>
      <c r="Z102" s="1054"/>
      <c r="AA102" s="1054"/>
      <c r="AB102" s="1054"/>
      <c r="AC102" s="1054"/>
      <c r="AD102" s="1054"/>
    </row>
    <row r="103" spans="1:30">
      <c r="A103" s="1661"/>
      <c r="B103" s="1661"/>
      <c r="C103" s="1661"/>
      <c r="D103" s="1661"/>
      <c r="E103" s="1661"/>
      <c r="F103" s="1661"/>
      <c r="G103" s="1661"/>
      <c r="H103" s="1661"/>
      <c r="I103" s="1661"/>
      <c r="J103" s="1661"/>
      <c r="K103" s="1665"/>
      <c r="L103" s="1666"/>
      <c r="M103" s="1661"/>
      <c r="N103" s="1661"/>
      <c r="O103" s="1661"/>
      <c r="P103" s="1054"/>
      <c r="Q103" s="1054"/>
      <c r="R103" s="1054"/>
      <c r="S103" s="1054"/>
      <c r="T103" s="1054"/>
      <c r="U103" s="1054"/>
      <c r="V103" s="1054"/>
      <c r="W103" s="1054"/>
      <c r="X103" s="1054"/>
      <c r="Y103" s="1054"/>
      <c r="Z103" s="1054"/>
      <c r="AA103" s="1054"/>
      <c r="AB103" s="1054"/>
      <c r="AC103" s="1054"/>
      <c r="AD103" s="1054"/>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4.1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1631</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F65</f>
        <v>#DIV/0!</v>
      </c>
      <c r="C2" s="1625"/>
      <c r="D2" s="1625"/>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SUMIF(69:69,YEAR(E7)&amp;"-"&amp;INT((MONTH(E7)+2)/3),70:70)</f>
        <v>0</v>
      </c>
      <c r="G7" s="1514"/>
      <c r="H7" s="970">
        <f>SUMIF(69:69,YEAR(G7)&amp;"-"&amp;INT((MONTH(G7)+2)/3),70:70)</f>
        <v>0</v>
      </c>
      <c r="I7" s="1514"/>
      <c r="J7" s="970">
        <f>SUMIF(69:69,YEAR(I7)&amp;"-"&amp;INT((MONTH(I7)+2)/3),70:70)</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SUMIF(72:72,E8,73:73)-SUMIF(72:72,C8,73:73)+100</f>
        <v>0</v>
      </c>
      <c r="G8" s="973"/>
      <c r="H8" s="970">
        <f>SUMIF(72:72,G8,73:73)-SUMIF(72:72,C8,73:73)+100</f>
        <v>0</v>
      </c>
      <c r="I8" s="973"/>
      <c r="J8" s="970">
        <f>SUMIF(72:72,I8,73:73)-SUMIF(72:72,C8,73:73)+100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5" si="3">D8/F8</f>
        <v>#DIV/0!</v>
      </c>
      <c r="AB8" s="1175" t="e">
        <f t="shared" ref="AB8:AB45" si="4">D8/H8</f>
        <v>#DIV/0!</v>
      </c>
      <c r="AC8" s="1175" t="e">
        <f t="shared" ref="AC8:AC45" si="5">D8/J8</f>
        <v>#DIV/0!</v>
      </c>
    </row>
    <row r="9" s="920" customFormat="1" spans="1:29">
      <c r="A9" s="974" t="s">
        <v>1484</v>
      </c>
      <c r="B9" s="975" t="s">
        <v>1485</v>
      </c>
      <c r="C9" s="1515"/>
      <c r="D9" s="977">
        <v>100</v>
      </c>
      <c r="E9" s="1515"/>
      <c r="F9" s="977">
        <f>SUMIF(74:74,E9,75:75)-SUMIF(74:74,C9,75:75)+100</f>
        <v>100</v>
      </c>
      <c r="G9" s="1515"/>
      <c r="H9" s="977">
        <f>SUMIF(74:74,G9,75:75)-SUMIF(74:74,C9,75:75)+100</f>
        <v>100</v>
      </c>
      <c r="I9" s="1515"/>
      <c r="J9" s="977">
        <f>SUMIF(74:74,I9,75:75)-SUMIF(74:74,C9,75:75)+100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1626"/>
      <c r="F10" s="982" t="e">
        <f>ROUND(100/'数据-取费表'!G16,0)</f>
        <v>#DIV/0!</v>
      </c>
      <c r="G10" s="1627"/>
      <c r="H10" s="982" t="e">
        <f>ROUND(100/'数据-取费表'!G16,0)</f>
        <v>#DIV/0!</v>
      </c>
      <c r="I10" s="1627"/>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LOOKUP(E11,79:79,80:80)-LOOKUP(C11,79:79,80:80)+100</f>
        <v>#N/A</v>
      </c>
      <c r="G11" s="986"/>
      <c r="H11" s="982" t="e">
        <f>LOOKUP(G11,79:79,80:80)-LOOKUP(C11,79:79,80:80)+100</f>
        <v>#N/A</v>
      </c>
      <c r="I11" s="985"/>
      <c r="J11" s="982" t="e">
        <f>LOOKUP(I11,79:79,80:80)-LOOKUP(C11,79:79,80:80)+100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t="s">
        <v>1632</v>
      </c>
      <c r="C12" s="989"/>
      <c r="D12" s="990">
        <v>100</v>
      </c>
      <c r="E12" s="1626"/>
      <c r="F12" s="982">
        <f>SUMIF(81:81,E12,82:82)-SUMIF(81:81,C12,82:82)+100</f>
        <v>100</v>
      </c>
      <c r="G12" s="1627"/>
      <c r="H12" s="982">
        <f>SUMIF(81:81,G12,82:82)-SUMIF(81:81,C12,82:82)+100</f>
        <v>100</v>
      </c>
      <c r="I12" s="1626"/>
      <c r="J12" s="982">
        <f>SUMIF(81:81,I12,82:82)-SUMIF(81:81,C12,82:82)+100</f>
        <v>100</v>
      </c>
      <c r="K12" s="1584"/>
      <c r="L12" s="1097"/>
      <c r="M12" s="1098"/>
      <c r="N12" s="1098"/>
      <c r="O12" s="1583"/>
      <c r="P12" s="644"/>
      <c r="Q12" s="815" t="str">
        <f t="shared" si="6"/>
        <v>配建</v>
      </c>
      <c r="R12" s="1158" t="s">
        <v>1481</v>
      </c>
      <c r="S12" s="1159">
        <f t="shared" si="0"/>
        <v>100</v>
      </c>
      <c r="T12" s="1158" t="s">
        <v>1481</v>
      </c>
      <c r="U12" s="1159">
        <f t="shared" si="1"/>
        <v>100</v>
      </c>
      <c r="V12" s="1158" t="s">
        <v>1481</v>
      </c>
      <c r="W12" s="1159">
        <f t="shared" si="2"/>
        <v>100</v>
      </c>
      <c r="X12" s="1160"/>
      <c r="Y12" s="815"/>
      <c r="Z12" s="1175" t="str">
        <f t="shared" si="7"/>
        <v>配建</v>
      </c>
      <c r="AA12" s="1175">
        <f t="shared" si="3"/>
        <v>1</v>
      </c>
      <c r="AB12" s="1175">
        <f t="shared" si="4"/>
        <v>1</v>
      </c>
      <c r="AC12" s="1175">
        <f t="shared" si="5"/>
        <v>1</v>
      </c>
    </row>
    <row r="13" ht="15" spans="1:29">
      <c r="A13" s="984"/>
      <c r="B13" s="988">
        <v>111</v>
      </c>
      <c r="C13" s="991"/>
      <c r="D13" s="780">
        <v>100</v>
      </c>
      <c r="E13" s="1188"/>
      <c r="F13" s="982">
        <f>SUMIF(83:83,E13,84:84)-SUMIF(83:83,C13,84:84)+100</f>
        <v>100</v>
      </c>
      <c r="G13" s="1516"/>
      <c r="H13" s="780">
        <f>SUMIF(83:83,G13,84:84)-SUMIF(83:83,C13,84:84)+100</f>
        <v>100</v>
      </c>
      <c r="I13" s="1516"/>
      <c r="J13" s="780">
        <f>SUMIF(83:83,I13,84:84)-SUMIF(83:83,C13,84:84)+100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SUMIF(85:85,E14,86:86)-SUMIF(85:85,C14,86:86)+100</f>
        <v>100</v>
      </c>
      <c r="G14" s="1516"/>
      <c r="H14" s="995">
        <f>SUMIF(85:85,G14,86:86)-SUMIF(85:85,C14,86:86)+100</f>
        <v>100</v>
      </c>
      <c r="I14" s="1516"/>
      <c r="J14" s="995">
        <f>SUMIF(85:85,I14,86:86)-SUMIF(85:85,C14,86:86)+100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94.5" spans="1:29">
      <c r="A15" s="997" t="s">
        <v>1490</v>
      </c>
      <c r="B15" s="998" t="s">
        <v>1491</v>
      </c>
      <c r="C15" s="999"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003"/>
      <c r="J15" s="1000">
        <f>SUMIF(87:87,I16,88:88)-SUMIF(87:87,C16,88:88)+100</f>
        <v>100</v>
      </c>
      <c r="K15" s="1586"/>
      <c r="L15" s="1106"/>
      <c r="M15" s="1054"/>
      <c r="N15" s="1054"/>
      <c r="O15" s="1587"/>
      <c r="P15" s="1176"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22"/>
      <c r="F16" s="1006"/>
      <c r="G16" s="1522"/>
      <c r="H16" s="1008"/>
      <c r="I16" s="1588"/>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68.25" spans="1:29">
      <c r="A17" s="984"/>
      <c r="B17" s="1009" t="s">
        <v>1560</v>
      </c>
      <c r="C17" s="642" t="str">
        <f>估价对象房地状况!C16</f>
        <v>估价对象位于XX商圈，周边商业氛围成熟，人流量大，商业繁华度好</v>
      </c>
      <c r="D17" s="1008">
        <v>100</v>
      </c>
      <c r="E17" s="1011"/>
      <c r="F17" s="1008">
        <f>SUMIF(89:89,E18,90:90)-SUMIF(89:89,C18,90:90)+100</f>
        <v>100</v>
      </c>
      <c r="G17" s="1011"/>
      <c r="H17" s="1014">
        <f>SUMIF(89:89,G18,90:90)-SUMIF(89:89,C18,90:90)+100</f>
        <v>100</v>
      </c>
      <c r="I17" s="1013"/>
      <c r="J17" s="1014">
        <f>SUMIF(89:89,I18,90:90)-SUMIF(89:89,C18,90:90)+100</f>
        <v>100</v>
      </c>
      <c r="K17" s="1586"/>
      <c r="L17" s="1106"/>
      <c r="M17" s="1054"/>
      <c r="N17" s="1054"/>
      <c r="O17" s="1587"/>
      <c r="P17" s="1177"/>
      <c r="Q17" s="644" t="str">
        <f>B17</f>
        <v>商业繁华度</v>
      </c>
      <c r="R17" s="1162" t="s">
        <v>1481</v>
      </c>
      <c r="S17" s="1163">
        <f>F17</f>
        <v>100</v>
      </c>
      <c r="T17" s="1162" t="s">
        <v>1481</v>
      </c>
      <c r="U17" s="1163">
        <f>H17</f>
        <v>100</v>
      </c>
      <c r="V17" s="1162" t="s">
        <v>1481</v>
      </c>
      <c r="W17" s="1163">
        <f>J17</f>
        <v>100</v>
      </c>
      <c r="X17" s="1150"/>
      <c r="Y17" s="1177"/>
      <c r="Z17" s="1149" t="str">
        <f>Q17</f>
        <v>商业繁华度</v>
      </c>
      <c r="AA17" s="1149">
        <f t="shared" si="3"/>
        <v>1</v>
      </c>
      <c r="AB17" s="1149">
        <f t="shared" si="4"/>
        <v>1</v>
      </c>
      <c r="AC17" s="1149">
        <f t="shared" si="5"/>
        <v>1</v>
      </c>
    </row>
    <row r="18" ht="15" spans="1:29">
      <c r="A18" s="984"/>
      <c r="B18" s="1015"/>
      <c r="C18" s="1016"/>
      <c r="D18" s="1008"/>
      <c r="E18" s="1628"/>
      <c r="F18" s="1008"/>
      <c r="G18" s="1628"/>
      <c r="H18" s="1006"/>
      <c r="I18" s="1633"/>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68.25" spans="1:29">
      <c r="A19" s="984"/>
      <c r="B19" s="1009" t="s">
        <v>1602</v>
      </c>
      <c r="C19" s="642" t="str">
        <f>估价对象房地状况!C17</f>
        <v>估价对象位于XX商圈，周边办公楼项目较多，入驻率高，办公集聚程度较好</v>
      </c>
      <c r="D19" s="1014">
        <v>100</v>
      </c>
      <c r="E19" s="1017"/>
      <c r="F19" s="1014">
        <f>SUMIF(91:91,E20,92:92)-SUMIF(91:91,C20,92:92)+100</f>
        <v>100</v>
      </c>
      <c r="G19" s="1017"/>
      <c r="H19" s="1008">
        <f>SUMIF(91:91,G20,92:92)-SUMIF(91:91,C20,92:92)+100</f>
        <v>100</v>
      </c>
      <c r="I19" s="1019"/>
      <c r="J19" s="1008">
        <f>SUMIF(91:91,I20,92:92)-SUMIF(91:91,C20,92:92)+100</f>
        <v>100</v>
      </c>
      <c r="K19" s="1586"/>
      <c r="L19" s="1106"/>
      <c r="M19" s="1054"/>
      <c r="N19" s="1054"/>
      <c r="O19" s="1587"/>
      <c r="P19" s="1177"/>
      <c r="Q19" s="644" t="str">
        <f>B19</f>
        <v>办公集聚程度</v>
      </c>
      <c r="R19" s="1162" t="s">
        <v>1481</v>
      </c>
      <c r="S19" s="1163">
        <f>F19</f>
        <v>100</v>
      </c>
      <c r="T19" s="1162" t="s">
        <v>1481</v>
      </c>
      <c r="U19" s="1163">
        <f>H19</f>
        <v>100</v>
      </c>
      <c r="V19" s="1162" t="s">
        <v>1481</v>
      </c>
      <c r="W19" s="1163">
        <f>J19</f>
        <v>100</v>
      </c>
      <c r="X19" s="1150"/>
      <c r="Y19" s="1177"/>
      <c r="Z19" s="1149" t="str">
        <f>Q19</f>
        <v>办公集聚程度</v>
      </c>
      <c r="AA19" s="1149">
        <f t="shared" si="3"/>
        <v>1</v>
      </c>
      <c r="AB19" s="1149">
        <f t="shared" si="4"/>
        <v>1</v>
      </c>
      <c r="AC19" s="1149">
        <f t="shared" si="5"/>
        <v>1</v>
      </c>
    </row>
    <row r="20" ht="15" spans="1:29">
      <c r="A20" s="984"/>
      <c r="B20" s="1015"/>
      <c r="C20" s="1005"/>
      <c r="D20" s="1006"/>
      <c r="E20" s="1522"/>
      <c r="F20" s="1006"/>
      <c r="G20" s="1522"/>
      <c r="H20" s="1006"/>
      <c r="I20" s="1588"/>
      <c r="J20" s="1006"/>
      <c r="K20" s="1584"/>
      <c r="L20" s="1106"/>
      <c r="M20" s="1054"/>
      <c r="N20" s="1054"/>
      <c r="O20" s="1587"/>
      <c r="P20" s="1177"/>
      <c r="Q20" s="644"/>
      <c r="R20" s="1162"/>
      <c r="S20" s="1163"/>
      <c r="T20" s="1162"/>
      <c r="U20" s="1163"/>
      <c r="V20" s="1162"/>
      <c r="W20" s="1163"/>
      <c r="X20" s="1150"/>
      <c r="Y20" s="1177"/>
      <c r="Z20" s="1149"/>
      <c r="AA20" s="1149">
        <v>1</v>
      </c>
      <c r="AB20" s="1149">
        <v>1</v>
      </c>
      <c r="AC20" s="1149">
        <v>1</v>
      </c>
    </row>
    <row r="21" ht="81" spans="1:29">
      <c r="A21" s="984"/>
      <c r="B21" s="1009" t="s">
        <v>1493</v>
      </c>
      <c r="C21" s="1010" t="str">
        <f>估价对象房地状况!C18</f>
        <v>估价对象周边道路状况、公共交通通达情况、停车便捷程度，综合评价交通便捷度较好</v>
      </c>
      <c r="D21" s="1008">
        <v>100</v>
      </c>
      <c r="E21" s="1011"/>
      <c r="F21" s="1014">
        <f>SUMIF(93:93,E22,94:94)-SUMIF(93:93,C22,94:94)+100</f>
        <v>100</v>
      </c>
      <c r="G21" s="1011"/>
      <c r="H21" s="1008">
        <f>SUMIF(93:93,G22,94:94)-SUMIF(93:93,C22,94:94)+100</f>
        <v>100</v>
      </c>
      <c r="I21" s="1013"/>
      <c r="J21" s="1008">
        <f>SUMIF(93:93,I22,94:94)-SUMIF(93:93,C22,94:94)+100</f>
        <v>100</v>
      </c>
      <c r="K21" s="1586"/>
      <c r="L21" s="1106"/>
      <c r="M21" s="1054"/>
      <c r="N21" s="1054"/>
      <c r="O21" s="1587"/>
      <c r="P21" s="1177"/>
      <c r="Q21" s="644" t="str">
        <f>B21</f>
        <v>交通便捷度</v>
      </c>
      <c r="R21" s="1162" t="s">
        <v>1481</v>
      </c>
      <c r="S21" s="1163">
        <f>F21</f>
        <v>100</v>
      </c>
      <c r="T21" s="1162" t="s">
        <v>1481</v>
      </c>
      <c r="U21" s="1163">
        <f>H21</f>
        <v>100</v>
      </c>
      <c r="V21" s="1162" t="s">
        <v>1481</v>
      </c>
      <c r="W21" s="1163">
        <f>J21</f>
        <v>100</v>
      </c>
      <c r="X21" s="1150"/>
      <c r="Y21" s="1177"/>
      <c r="Z21" s="1149" t="str">
        <f>Q21</f>
        <v>交通便捷度</v>
      </c>
      <c r="AA21" s="1149">
        <f t="shared" si="3"/>
        <v>1</v>
      </c>
      <c r="AB21" s="1149">
        <f t="shared" si="4"/>
        <v>1</v>
      </c>
      <c r="AC21" s="1149">
        <f t="shared" si="5"/>
        <v>1</v>
      </c>
    </row>
    <row r="22" ht="15" spans="1:29">
      <c r="A22" s="984"/>
      <c r="B22" s="1020"/>
      <c r="C22" s="1005"/>
      <c r="D22" s="1008"/>
      <c r="E22" s="1522"/>
      <c r="F22" s="1006"/>
      <c r="G22" s="1522"/>
      <c r="H22" s="1006"/>
      <c r="I22" s="1588"/>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ht="15" spans="1:29">
      <c r="A23" s="955"/>
      <c r="B23" s="1009" t="s">
        <v>1633</v>
      </c>
      <c r="C23" s="1527">
        <f>估价对象房地状况!C19</f>
        <v>0</v>
      </c>
      <c r="D23" s="1014">
        <v>100</v>
      </c>
      <c r="E23" s="1011"/>
      <c r="F23" s="1014">
        <f>SUMIF(95:95,E24,96:96)-SUMIF(95:95,C24,96:96)+100</f>
        <v>100</v>
      </c>
      <c r="G23" s="1013"/>
      <c r="H23" s="1014">
        <f>SUMIF(95:95,G24,96:96)-SUMIF(95:95,C24,96:96)+100</f>
        <v>100</v>
      </c>
      <c r="I23" s="1013"/>
      <c r="J23" s="1014">
        <f>SUMIF(95:95,I24,96:96)-SUMIF(95:95,C24,96:96)+100</f>
        <v>100</v>
      </c>
      <c r="K23" s="1586"/>
      <c r="L23" s="1106"/>
      <c r="M23" s="1054"/>
      <c r="N23" s="1054"/>
      <c r="O23" s="1587"/>
      <c r="P23" s="1177"/>
      <c r="Q23" s="644" t="str">
        <f t="shared" ref="Q23:Q38" si="8">B23</f>
        <v>区域土地利用方向</v>
      </c>
      <c r="R23" s="1162" t="s">
        <v>1481</v>
      </c>
      <c r="S23" s="1163">
        <f>F23</f>
        <v>100</v>
      </c>
      <c r="T23" s="1162" t="s">
        <v>1481</v>
      </c>
      <c r="U23" s="1163">
        <f>H23</f>
        <v>100</v>
      </c>
      <c r="V23" s="1162" t="s">
        <v>1481</v>
      </c>
      <c r="W23" s="1163">
        <f>J23</f>
        <v>100</v>
      </c>
      <c r="X23" s="1150"/>
      <c r="Y23" s="1177"/>
      <c r="Z23" s="1149" t="str">
        <f>Q23</f>
        <v>区域土地利用方向</v>
      </c>
      <c r="AA23" s="1149">
        <f t="shared" si="3"/>
        <v>1</v>
      </c>
      <c r="AB23" s="1149">
        <f t="shared" si="4"/>
        <v>1</v>
      </c>
      <c r="AC23" s="1149">
        <f t="shared" si="5"/>
        <v>1</v>
      </c>
    </row>
    <row r="24" ht="15" spans="1:29">
      <c r="A24" s="955"/>
      <c r="B24" s="1015"/>
      <c r="C24" s="1021"/>
      <c r="D24" s="1006"/>
      <c r="E24" s="1522"/>
      <c r="F24" s="1006"/>
      <c r="G24" s="1588"/>
      <c r="H24" s="1006"/>
      <c r="I24" s="1588"/>
      <c r="J24" s="1006"/>
      <c r="K24" s="1589"/>
      <c r="L24" s="1106"/>
      <c r="M24" s="1054"/>
      <c r="N24" s="1054"/>
      <c r="O24" s="1587"/>
      <c r="P24" s="1177"/>
      <c r="Q24" s="644"/>
      <c r="R24" s="1162"/>
      <c r="S24" s="1163"/>
      <c r="T24" s="1162"/>
      <c r="U24" s="1163"/>
      <c r="V24" s="1162"/>
      <c r="W24" s="1163"/>
      <c r="X24" s="1150"/>
      <c r="Y24" s="1177"/>
      <c r="Z24" s="1149"/>
      <c r="AA24" s="1149"/>
      <c r="AB24" s="1149"/>
      <c r="AC24" s="1149"/>
    </row>
    <row r="25" ht="54" spans="1:29">
      <c r="A25" s="955"/>
      <c r="B25" s="1020" t="s">
        <v>1634</v>
      </c>
      <c r="C25" s="642" t="str">
        <f>估价对象房地状况!C20</f>
        <v>区域自然环境：；人文环境；综合评价环境状况一般</v>
      </c>
      <c r="D25" s="1008">
        <v>100</v>
      </c>
      <c r="E25" s="1011"/>
      <c r="F25" s="1008">
        <f>SUMIF(97:97,E26,98:98)-SUMIF(97:97,C26,98:98)+100</f>
        <v>100</v>
      </c>
      <c r="G25" s="1011"/>
      <c r="H25" s="1008">
        <f>SUMIF(97:97,G26,98:98)-SUMIF(97:97,C26,98:98)+100</f>
        <v>100</v>
      </c>
      <c r="I25" s="1013"/>
      <c r="J25" s="1008">
        <f>SUMIF(97:97,I26,98:98)-SUMIF(97:97,C26,98:98)+100</f>
        <v>100</v>
      </c>
      <c r="K25" s="1586"/>
      <c r="L25" s="1106"/>
      <c r="M25" s="1054"/>
      <c r="N25" s="1054"/>
      <c r="O25" s="1587"/>
      <c r="P25" s="1177"/>
      <c r="Q25" s="644" t="str">
        <f t="shared" si="8"/>
        <v>自然及人文环境状况</v>
      </c>
      <c r="R25" s="1162" t="s">
        <v>1481</v>
      </c>
      <c r="S25" s="1163">
        <f>F25</f>
        <v>100</v>
      </c>
      <c r="T25" s="1162" t="s">
        <v>1481</v>
      </c>
      <c r="U25" s="1163">
        <f>H25</f>
        <v>100</v>
      </c>
      <c r="V25" s="1162" t="s">
        <v>1481</v>
      </c>
      <c r="W25" s="1163">
        <f>J25</f>
        <v>100</v>
      </c>
      <c r="X25" s="1150"/>
      <c r="Y25" s="1177"/>
      <c r="Z25" s="1149" t="str">
        <f>Q25</f>
        <v>自然及人文环境状况</v>
      </c>
      <c r="AA25" s="1149">
        <f t="shared" si="3"/>
        <v>1</v>
      </c>
      <c r="AB25" s="1149">
        <f t="shared" si="4"/>
        <v>1</v>
      </c>
      <c r="AC25" s="1149">
        <f t="shared" si="5"/>
        <v>1</v>
      </c>
    </row>
    <row r="26" ht="15" spans="1:29">
      <c r="A26" s="955"/>
      <c r="B26" s="1015"/>
      <c r="C26" s="1005"/>
      <c r="D26" s="1006"/>
      <c r="E26" s="1520"/>
      <c r="F26" s="1006"/>
      <c r="G26" s="1520"/>
      <c r="H26" s="1006"/>
      <c r="I26" s="1005"/>
      <c r="J26" s="1006"/>
      <c r="K26" s="1584"/>
      <c r="L26" s="1106"/>
      <c r="M26" s="1054"/>
      <c r="N26" s="1054"/>
      <c r="O26" s="1587"/>
      <c r="P26" s="1177"/>
      <c r="Q26" s="644"/>
      <c r="R26" s="1162"/>
      <c r="S26" s="1163"/>
      <c r="T26" s="1162"/>
      <c r="U26" s="1163"/>
      <c r="V26" s="1162"/>
      <c r="W26" s="1163"/>
      <c r="X26" s="1150"/>
      <c r="Y26" s="1177"/>
      <c r="Z26" s="1149"/>
      <c r="AA26" s="1149">
        <v>1</v>
      </c>
      <c r="AB26" s="1149">
        <v>1</v>
      </c>
      <c r="AC26" s="1149">
        <v>1</v>
      </c>
    </row>
    <row r="27" s="920" customFormat="1" ht="40.5" spans="1:29">
      <c r="A27" s="1069"/>
      <c r="B27" s="1020" t="s">
        <v>1494</v>
      </c>
      <c r="C27" s="1010" t="str">
        <f>估价对象房地状况!C21</f>
        <v>估价对象所在区域公共配套设施齐备情况</v>
      </c>
      <c r="D27" s="1008">
        <v>100</v>
      </c>
      <c r="E27" s="1011"/>
      <c r="F27" s="1008">
        <f>SUMIF(99:99,E28,100:100)-SUMIF(99:99,C28,100:100)+100</f>
        <v>100</v>
      </c>
      <c r="G27" s="1011"/>
      <c r="H27" s="1008">
        <f>SUMIF(99:99,G28,100:100)-SUMIF(99:99,C28,100:100)+100</f>
        <v>100</v>
      </c>
      <c r="I27" s="1013"/>
      <c r="J27" s="1008">
        <f>SUMIF(99:99,I28,100:100)-SUMIF(99:99,C28,100:100)+100</f>
        <v>100</v>
      </c>
      <c r="K27" s="1586"/>
      <c r="L27" s="1097"/>
      <c r="M27" s="1098"/>
      <c r="N27" s="1098"/>
      <c r="O27" s="1583"/>
      <c r="P27" s="1177"/>
      <c r="Q27" s="815" t="str">
        <f t="shared" si="8"/>
        <v>公共配套设施</v>
      </c>
      <c r="R27" s="1158" t="s">
        <v>1481</v>
      </c>
      <c r="S27" s="1159">
        <f>F27</f>
        <v>100</v>
      </c>
      <c r="T27" s="1158" t="s">
        <v>1481</v>
      </c>
      <c r="U27" s="1159">
        <f>H27</f>
        <v>100</v>
      </c>
      <c r="V27" s="1158" t="s">
        <v>1481</v>
      </c>
      <c r="W27" s="1159">
        <f>J27</f>
        <v>100</v>
      </c>
      <c r="X27" s="1160"/>
      <c r="Y27" s="1177"/>
      <c r="Z27" s="1175" t="str">
        <f>Q27</f>
        <v>公共配套设施</v>
      </c>
      <c r="AA27" s="1149">
        <f>D27/F27</f>
        <v>1</v>
      </c>
      <c r="AB27" s="1149">
        <f>D27/H27</f>
        <v>1</v>
      </c>
      <c r="AC27" s="1149">
        <f>D27/J27</f>
        <v>1</v>
      </c>
    </row>
    <row r="28" s="920" customFormat="1" ht="15" spans="1:29">
      <c r="A28" s="1069"/>
      <c r="B28" s="1015"/>
      <c r="C28" s="1524"/>
      <c r="D28" s="1006"/>
      <c r="E28" s="1520"/>
      <c r="F28" s="1006"/>
      <c r="G28" s="1520"/>
      <c r="H28" s="1006"/>
      <c r="I28" s="1005"/>
      <c r="J28" s="1006"/>
      <c r="K28" s="1584"/>
      <c r="L28" s="1097"/>
      <c r="M28" s="1098"/>
      <c r="N28" s="1098"/>
      <c r="O28" s="1583"/>
      <c r="P28" s="1177"/>
      <c r="Q28" s="815"/>
      <c r="R28" s="1158"/>
      <c r="S28" s="1159"/>
      <c r="T28" s="1158"/>
      <c r="U28" s="1159"/>
      <c r="V28" s="1158"/>
      <c r="W28" s="1159"/>
      <c r="X28" s="1160"/>
      <c r="Y28" s="1177"/>
      <c r="Z28" s="1175"/>
      <c r="AA28" s="1149">
        <v>1</v>
      </c>
      <c r="AB28" s="1149">
        <v>1</v>
      </c>
      <c r="AC28" s="1149">
        <v>1</v>
      </c>
    </row>
    <row r="29" s="920" customFormat="1" ht="27" spans="1:29">
      <c r="A29" s="1069"/>
      <c r="B29" s="1020" t="s">
        <v>1495</v>
      </c>
      <c r="C29" s="1010" t="str">
        <f>估价对象房地状况!C22</f>
        <v>估价对象所在区域基础设施水平</v>
      </c>
      <c r="D29" s="1008">
        <v>100</v>
      </c>
      <c r="E29" s="1011"/>
      <c r="F29" s="1008">
        <f>SUMIF(101:101,E30,102:102)-SUMIF(101:101,C30,102:102)+100</f>
        <v>100</v>
      </c>
      <c r="G29" s="1011"/>
      <c r="H29" s="1008">
        <f>SUMIF(101:101,G30,102:102)-SUMIF(101:101,C30,102:102)+100</f>
        <v>100</v>
      </c>
      <c r="I29" s="1013"/>
      <c r="J29" s="1008">
        <f>SUMIF(101:101,I30,102:102)-SUMIF(101:101,C30,102:102)+100</f>
        <v>100</v>
      </c>
      <c r="K29" s="1586"/>
      <c r="L29" s="1097"/>
      <c r="M29" s="1098"/>
      <c r="N29" s="1098"/>
      <c r="O29" s="1583"/>
      <c r="P29" s="1177"/>
      <c r="Q29" s="815" t="str">
        <f t="shared" ref="Q29" si="9">B29</f>
        <v>基础设施水平</v>
      </c>
      <c r="R29" s="1158" t="s">
        <v>1481</v>
      </c>
      <c r="S29" s="1159">
        <f>F29</f>
        <v>100</v>
      </c>
      <c r="T29" s="1158" t="s">
        <v>1481</v>
      </c>
      <c r="U29" s="1159">
        <f>H29</f>
        <v>100</v>
      </c>
      <c r="V29" s="1158" t="s">
        <v>1481</v>
      </c>
      <c r="W29" s="1159">
        <f>J29</f>
        <v>100</v>
      </c>
      <c r="X29" s="1160"/>
      <c r="Y29" s="1177"/>
      <c r="Z29" s="1175" t="str">
        <f>Q29</f>
        <v>基础设施水平</v>
      </c>
      <c r="AA29" s="1149">
        <f>D29/F29</f>
        <v>1</v>
      </c>
      <c r="AB29" s="1149">
        <f>D29/H29</f>
        <v>1</v>
      </c>
      <c r="AC29" s="1149">
        <f>D29/J29</f>
        <v>1</v>
      </c>
    </row>
    <row r="30" s="920" customFormat="1" ht="15" spans="1:29">
      <c r="A30" s="1069"/>
      <c r="B30" s="1015"/>
      <c r="C30" s="1524"/>
      <c r="D30" s="1006"/>
      <c r="E30" s="1525"/>
      <c r="F30" s="1006"/>
      <c r="G30" s="1525"/>
      <c r="H30" s="1006"/>
      <c r="I30" s="1525"/>
      <c r="J30" s="1006"/>
      <c r="K30" s="1584"/>
      <c r="L30" s="1097"/>
      <c r="M30" s="1098"/>
      <c r="N30" s="1098"/>
      <c r="O30" s="1583"/>
      <c r="P30" s="1177"/>
      <c r="Q30" s="815"/>
      <c r="R30" s="1158"/>
      <c r="S30" s="1159"/>
      <c r="T30" s="1158"/>
      <c r="U30" s="1159"/>
      <c r="V30" s="1158"/>
      <c r="W30" s="1159"/>
      <c r="X30" s="1160"/>
      <c r="Y30" s="1177"/>
      <c r="Z30" s="1175"/>
      <c r="AA30" s="1149">
        <v>1</v>
      </c>
      <c r="AB30" s="1149">
        <v>1</v>
      </c>
      <c r="AC30" s="1149">
        <v>1</v>
      </c>
    </row>
    <row r="31" ht="15" spans="1:29">
      <c r="A31" s="984"/>
      <c r="B31" s="1015" t="s">
        <v>1563</v>
      </c>
      <c r="C31" s="1021"/>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6"/>
      <c r="M31" s="1054"/>
      <c r="N31" s="1054"/>
      <c r="O31" s="1587"/>
      <c r="P31" s="1177"/>
      <c r="Q31" s="644" t="str">
        <f t="shared" si="8"/>
        <v>临街状况</v>
      </c>
      <c r="R31" s="1162" t="s">
        <v>1481</v>
      </c>
      <c r="S31" s="1163">
        <f t="shared" ref="S31:S45" si="10">F31</f>
        <v>100</v>
      </c>
      <c r="T31" s="1162" t="s">
        <v>1481</v>
      </c>
      <c r="U31" s="1163">
        <f t="shared" ref="U31:U45" si="11">H31</f>
        <v>100</v>
      </c>
      <c r="V31" s="1162" t="s">
        <v>1481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4"/>
      <c r="B32" s="1020" t="s">
        <v>1604</v>
      </c>
      <c r="C32" s="1013"/>
      <c r="D32" s="1008">
        <v>100</v>
      </c>
      <c r="E32" s="1011"/>
      <c r="F32" s="1008">
        <f>SUMIF(105:105,E33,106:106)-SUMIF(105:105,C33,106:106)+100</f>
        <v>100</v>
      </c>
      <c r="G32" s="1011"/>
      <c r="H32" s="1008">
        <f>SUMIF(105:105,G33,106:106)-SUMIF(105:105,C33,106:106)+100</f>
        <v>100</v>
      </c>
      <c r="I32" s="1013"/>
      <c r="J32" s="1008">
        <f>SUMIF(105:105,I33,106:106)-SUMIF(105:105,C33,106:106)+100</f>
        <v>100</v>
      </c>
      <c r="K32" s="1586"/>
      <c r="L32" s="1106"/>
      <c r="M32" s="1054"/>
      <c r="N32" s="1054"/>
      <c r="O32" s="1587"/>
      <c r="P32" s="1177"/>
      <c r="Q32" s="644" t="str">
        <f t="shared" si="8"/>
        <v>毗邻道路的类型与等级</v>
      </c>
      <c r="R32" s="1162" t="s">
        <v>1481</v>
      </c>
      <c r="S32" s="1163">
        <f t="shared" si="10"/>
        <v>100</v>
      </c>
      <c r="T32" s="1162" t="s">
        <v>1481</v>
      </c>
      <c r="U32" s="1163">
        <f t="shared" si="11"/>
        <v>100</v>
      </c>
      <c r="V32" s="1162" t="s">
        <v>1481</v>
      </c>
      <c r="W32" s="1163">
        <f t="shared" si="12"/>
        <v>100</v>
      </c>
      <c r="X32" s="1150"/>
      <c r="Y32" s="1177"/>
      <c r="Z32" s="1149" t="str">
        <f t="shared" si="13"/>
        <v>毗邻道路的类型与等级</v>
      </c>
      <c r="AA32" s="1149">
        <f t="shared" si="3"/>
        <v>1</v>
      </c>
      <c r="AB32" s="1149">
        <f t="shared" si="4"/>
        <v>1</v>
      </c>
      <c r="AC32" s="1149">
        <f t="shared" si="5"/>
        <v>1</v>
      </c>
    </row>
    <row r="33" ht="15" spans="1:29">
      <c r="A33" s="984"/>
      <c r="B33" s="1015"/>
      <c r="C33" s="1005"/>
      <c r="D33" s="1006"/>
      <c r="E33" s="1520"/>
      <c r="F33" s="1006"/>
      <c r="G33" s="1520"/>
      <c r="H33" s="1006"/>
      <c r="I33" s="1005"/>
      <c r="J33" s="1006"/>
      <c r="K33" s="1105"/>
      <c r="L33" s="1106"/>
      <c r="M33" s="1054"/>
      <c r="N33" s="1054"/>
      <c r="O33" s="1587"/>
      <c r="P33" s="1177"/>
      <c r="Q33" s="644"/>
      <c r="R33" s="1162"/>
      <c r="S33" s="1163"/>
      <c r="T33" s="1162"/>
      <c r="U33" s="1163"/>
      <c r="V33" s="1162"/>
      <c r="W33" s="1163"/>
      <c r="X33" s="1150"/>
      <c r="Y33" s="1177"/>
      <c r="Z33" s="1149"/>
      <c r="AA33" s="1149">
        <v>1</v>
      </c>
      <c r="AB33" s="1149">
        <v>1</v>
      </c>
      <c r="AC33" s="1149">
        <v>1</v>
      </c>
    </row>
    <row r="34" ht="15" spans="1:29">
      <c r="A34" s="984"/>
      <c r="B34" s="980" t="s">
        <v>1635</v>
      </c>
      <c r="C34" s="1021"/>
      <c r="D34" s="780">
        <v>100</v>
      </c>
      <c r="E34" s="1526"/>
      <c r="F34" s="780">
        <f>SUMIF(107:107,E34,108:108)-SUMIF(107:107,C34,108:108)+100</f>
        <v>100</v>
      </c>
      <c r="G34" s="1526"/>
      <c r="H34" s="780">
        <f>SUMIF(107:107,G34,108:108)-SUMIF(107:107,C34,108:108)+100</f>
        <v>100</v>
      </c>
      <c r="I34" s="1021"/>
      <c r="J34" s="780">
        <f>SUMIF(107:107,I34,108:108)-SUMIF(107:107,C34,108:108)+100</f>
        <v>100</v>
      </c>
      <c r="K34" s="1103"/>
      <c r="L34" s="1106"/>
      <c r="M34" s="1054"/>
      <c r="N34" s="1054"/>
      <c r="O34" s="1587"/>
      <c r="P34" s="1177"/>
      <c r="Q34" s="644" t="str">
        <f t="shared" si="8"/>
        <v>土地级别</v>
      </c>
      <c r="R34" s="1162" t="s">
        <v>1481</v>
      </c>
      <c r="S34" s="1163">
        <f t="shared" si="10"/>
        <v>100</v>
      </c>
      <c r="T34" s="1162" t="s">
        <v>1481</v>
      </c>
      <c r="U34" s="1163">
        <f t="shared" si="11"/>
        <v>100</v>
      </c>
      <c r="V34" s="1162" t="s">
        <v>1481</v>
      </c>
      <c r="W34" s="1163">
        <f t="shared" si="12"/>
        <v>100</v>
      </c>
      <c r="X34" s="1150"/>
      <c r="Y34" s="1177"/>
      <c r="Z34" s="1149" t="str">
        <f t="shared" si="13"/>
        <v>土地级别</v>
      </c>
      <c r="AA34" s="1149">
        <f t="shared" si="3"/>
        <v>1</v>
      </c>
      <c r="AB34" s="1149">
        <f t="shared" si="4"/>
        <v>1</v>
      </c>
      <c r="AC34" s="1149">
        <f t="shared" si="5"/>
        <v>1</v>
      </c>
    </row>
    <row r="35" ht="15" spans="1:29">
      <c r="A35" s="955"/>
      <c r="B35" s="1023">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5"/>
      <c r="L35" s="1106"/>
      <c r="M35" s="1054"/>
      <c r="N35" s="1054"/>
      <c r="O35" s="1587"/>
      <c r="P35" s="1177"/>
      <c r="Q35" s="644">
        <f t="shared" si="8"/>
        <v>111</v>
      </c>
      <c r="R35" s="1162" t="s">
        <v>1481</v>
      </c>
      <c r="S35" s="1163">
        <f t="shared" si="10"/>
        <v>100</v>
      </c>
      <c r="T35" s="1162" t="s">
        <v>1481</v>
      </c>
      <c r="U35" s="1163">
        <f t="shared" si="11"/>
        <v>100</v>
      </c>
      <c r="V35" s="1162" t="s">
        <v>1481</v>
      </c>
      <c r="W35" s="1163">
        <f t="shared" si="12"/>
        <v>100</v>
      </c>
      <c r="X35" s="1150"/>
      <c r="Y35" s="1177"/>
      <c r="Z35" s="1149">
        <f t="shared" si="13"/>
        <v>111</v>
      </c>
      <c r="AA35" s="1149">
        <f t="shared" si="3"/>
        <v>1</v>
      </c>
      <c r="AB35" s="1149">
        <f t="shared" si="4"/>
        <v>1</v>
      </c>
      <c r="AC35" s="1149">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5"/>
      <c r="L36" s="1106"/>
      <c r="M36" s="1054"/>
      <c r="N36" s="1054"/>
      <c r="O36" s="1587"/>
      <c r="P36" s="1590" t="s">
        <v>1501</v>
      </c>
      <c r="Q36" s="644">
        <f t="shared" si="8"/>
        <v>111</v>
      </c>
      <c r="R36" s="1162" t="s">
        <v>1481</v>
      </c>
      <c r="S36" s="1163">
        <f t="shared" si="10"/>
        <v>100</v>
      </c>
      <c r="T36" s="1162" t="s">
        <v>1481</v>
      </c>
      <c r="U36" s="1163">
        <f t="shared" si="11"/>
        <v>100</v>
      </c>
      <c r="V36" s="1162" t="s">
        <v>1481</v>
      </c>
      <c r="W36" s="1163">
        <f t="shared" si="12"/>
        <v>100</v>
      </c>
      <c r="X36" s="1150"/>
      <c r="Y36" s="1178" t="s">
        <v>1501</v>
      </c>
      <c r="Z36" s="1149">
        <f t="shared" si="13"/>
        <v>111</v>
      </c>
      <c r="AA36" s="1149">
        <f t="shared" si="3"/>
        <v>1</v>
      </c>
      <c r="AB36" s="1149">
        <f t="shared" si="4"/>
        <v>1</v>
      </c>
      <c r="AC36" s="1149">
        <f t="shared" si="5"/>
        <v>1</v>
      </c>
    </row>
    <row r="37" s="922" customFormat="1" ht="15.75" spans="1:29">
      <c r="A37" s="1532"/>
      <c r="B37" s="1629">
        <v>111</v>
      </c>
      <c r="C37" s="1534"/>
      <c r="D37" s="1535">
        <v>100</v>
      </c>
      <c r="E37" s="1536"/>
      <c r="F37" s="995">
        <f>SUMIF(113:113,E37,114:114)-SUMIF(113:113,C37,114:114)+100</f>
        <v>100</v>
      </c>
      <c r="G37" s="1536"/>
      <c r="H37" s="995">
        <f>SUMIF(113:113,G37,114:114)-SUMIF(113:113,C37,114:114)+100</f>
        <v>100</v>
      </c>
      <c r="I37" s="1534"/>
      <c r="J37" s="995">
        <f>SUMIF(113:113,I37,114:114)-SUMIF(113:113,C37,114:114)+100</f>
        <v>100</v>
      </c>
      <c r="K37" s="1105"/>
      <c r="L37" s="1104"/>
      <c r="M37" s="1112"/>
      <c r="N37" s="1112"/>
      <c r="O37" s="1591"/>
      <c r="P37" s="1178"/>
      <c r="Q37" s="644">
        <f t="shared" si="8"/>
        <v>111</v>
      </c>
      <c r="R37" s="1165" t="s">
        <v>1481</v>
      </c>
      <c r="S37" s="1166">
        <f t="shared" si="10"/>
        <v>100</v>
      </c>
      <c r="T37" s="1165" t="s">
        <v>1481</v>
      </c>
      <c r="U37" s="1166">
        <f t="shared" si="11"/>
        <v>100</v>
      </c>
      <c r="V37" s="1165" t="s">
        <v>1481</v>
      </c>
      <c r="W37" s="1166">
        <f t="shared" si="12"/>
        <v>100</v>
      </c>
      <c r="X37" s="1167"/>
      <c r="Y37" s="1178"/>
      <c r="Z37" s="1179">
        <f t="shared" si="13"/>
        <v>111</v>
      </c>
      <c r="AA37" s="1149">
        <f t="shared" si="3"/>
        <v>1</v>
      </c>
      <c r="AB37" s="1149">
        <f t="shared" si="4"/>
        <v>1</v>
      </c>
      <c r="AC37" s="1149">
        <f t="shared" si="5"/>
        <v>1</v>
      </c>
    </row>
    <row r="38" ht="15" spans="1:29">
      <c r="A38" s="1030" t="s">
        <v>1499</v>
      </c>
      <c r="B38" s="1015" t="s">
        <v>1636</v>
      </c>
      <c r="C38" s="1537"/>
      <c r="D38" s="952">
        <v>100</v>
      </c>
      <c r="E38" s="1537"/>
      <c r="F38" s="952" t="e">
        <f>LOOKUP(E38,116:116,117:117)-LOOKUP(C38,116:116,117:117)+100</f>
        <v>#N/A</v>
      </c>
      <c r="G38" s="1537"/>
      <c r="H38" s="952" t="e">
        <f>LOOKUP(G38,116:116,117:117)-LOOKUP(C38,116:116,117:117)+100</f>
        <v>#N/A</v>
      </c>
      <c r="I38" s="1083"/>
      <c r="J38" s="952" t="e">
        <f>LOOKUP(I38,116:116,117:117)-LOOKUP(C38,116:116,117:117)+100</f>
        <v>#N/A</v>
      </c>
      <c r="K38" s="1105"/>
      <c r="L38" s="1106"/>
      <c r="M38" s="1054"/>
      <c r="N38" s="1054"/>
      <c r="O38" s="1587"/>
      <c r="P38" s="1178"/>
      <c r="Q38" s="644" t="str">
        <f t="shared" si="8"/>
        <v>宗地面积</v>
      </c>
      <c r="R38" s="1162" t="s">
        <v>1481</v>
      </c>
      <c r="S38" s="1163" t="e">
        <f t="shared" si="10"/>
        <v>#N/A</v>
      </c>
      <c r="T38" s="1162" t="s">
        <v>1481</v>
      </c>
      <c r="U38" s="1163" t="e">
        <f t="shared" si="11"/>
        <v>#N/A</v>
      </c>
      <c r="V38" s="1162" t="s">
        <v>1481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0" t="s">
        <v>1637</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7"/>
      <c r="P39" s="1178"/>
      <c r="Q39" s="644" t="str">
        <f t="shared" ref="Q39:Q45" si="14">B39</f>
        <v>宗地形状</v>
      </c>
      <c r="R39" s="1162" t="s">
        <v>1481</v>
      </c>
      <c r="S39" s="1163">
        <f t="shared" si="10"/>
        <v>100</v>
      </c>
      <c r="T39" s="1162" t="s">
        <v>1481</v>
      </c>
      <c r="U39" s="1163">
        <f t="shared" si="11"/>
        <v>100</v>
      </c>
      <c r="V39" s="1162" t="s">
        <v>1481</v>
      </c>
      <c r="W39" s="1163">
        <f t="shared" si="12"/>
        <v>100</v>
      </c>
      <c r="X39" s="1150"/>
      <c r="Y39" s="1178"/>
      <c r="Z39" s="1149" t="str">
        <f t="shared" si="13"/>
        <v>宗地形状</v>
      </c>
      <c r="AA39" s="1149">
        <f t="shared" si="3"/>
        <v>1</v>
      </c>
      <c r="AB39" s="1149">
        <f t="shared" si="4"/>
        <v>1</v>
      </c>
      <c r="AC39" s="1149">
        <f t="shared" si="5"/>
        <v>1</v>
      </c>
    </row>
    <row r="40" ht="15" spans="1:29">
      <c r="A40" s="1030"/>
      <c r="B40" s="980" t="s">
        <v>1638</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7"/>
      <c r="P40" s="1178"/>
      <c r="Q40" s="644" t="str">
        <f t="shared" si="14"/>
        <v>临街宽度及深度</v>
      </c>
      <c r="R40" s="1162" t="s">
        <v>1481</v>
      </c>
      <c r="S40" s="1163">
        <f t="shared" si="10"/>
        <v>100</v>
      </c>
      <c r="T40" s="1162" t="s">
        <v>1481</v>
      </c>
      <c r="U40" s="1163">
        <f t="shared" si="11"/>
        <v>100</v>
      </c>
      <c r="V40" s="1162" t="s">
        <v>1481</v>
      </c>
      <c r="W40" s="1163">
        <f t="shared" si="12"/>
        <v>100</v>
      </c>
      <c r="X40" s="1150"/>
      <c r="Y40" s="1178"/>
      <c r="Z40" s="1149" t="str">
        <f t="shared" si="13"/>
        <v>临街宽度及深度</v>
      </c>
      <c r="AA40" s="1149">
        <f t="shared" si="3"/>
        <v>1</v>
      </c>
      <c r="AB40" s="1149">
        <f t="shared" si="4"/>
        <v>1</v>
      </c>
      <c r="AC40" s="1149">
        <f t="shared" si="5"/>
        <v>1</v>
      </c>
    </row>
    <row r="41" s="920" customFormat="1" ht="15" spans="1:29">
      <c r="A41" s="1034"/>
      <c r="B41" s="980" t="s">
        <v>1639</v>
      </c>
      <c r="C41" s="1538"/>
      <c r="D41" s="982">
        <v>100</v>
      </c>
      <c r="E41" s="1538"/>
      <c r="F41" s="780">
        <f>SUMIF(122:122,E41,123:123)-SUMIF(122:122,C41,123:123)+100</f>
        <v>100</v>
      </c>
      <c r="G41" s="1538"/>
      <c r="H41" s="780">
        <f>SUMIF(122:122,G41,123:123)-SUMIF(122:122,C41,123:123)+100</f>
        <v>100</v>
      </c>
      <c r="I41" s="1538"/>
      <c r="J41" s="780">
        <f>SUMIF(122:122,I41,123:123)-SUMIF(122:122,C41,123:123)+100</f>
        <v>100</v>
      </c>
      <c r="K41" s="1103"/>
      <c r="L41" s="1097"/>
      <c r="M41" s="1098"/>
      <c r="N41" s="1098"/>
      <c r="O41" s="1583"/>
      <c r="P41" s="1178"/>
      <c r="Q41" s="644" t="str">
        <f t="shared" si="14"/>
        <v>宗地开发程度</v>
      </c>
      <c r="R41" s="1158" t="s">
        <v>1481</v>
      </c>
      <c r="S41" s="1159">
        <f t="shared" si="10"/>
        <v>100</v>
      </c>
      <c r="T41" s="1158" t="s">
        <v>1481</v>
      </c>
      <c r="U41" s="1159">
        <f t="shared" si="11"/>
        <v>100</v>
      </c>
      <c r="V41" s="1158" t="s">
        <v>1481</v>
      </c>
      <c r="W41" s="1159">
        <f t="shared" si="12"/>
        <v>100</v>
      </c>
      <c r="X41" s="1160"/>
      <c r="Y41" s="1178"/>
      <c r="Z41" s="1175" t="str">
        <f t="shared" si="13"/>
        <v>宗地开发程度</v>
      </c>
      <c r="AA41" s="1175">
        <f t="shared" si="3"/>
        <v>1</v>
      </c>
      <c r="AB41" s="1175">
        <f t="shared" si="4"/>
        <v>1</v>
      </c>
      <c r="AC41" s="1175">
        <f t="shared" si="5"/>
        <v>1</v>
      </c>
    </row>
    <row r="42" ht="15" spans="1:29">
      <c r="A42" s="1030"/>
      <c r="B42" s="980" t="s">
        <v>1640</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7"/>
      <c r="P42" s="1178" t="s">
        <v>1501</v>
      </c>
      <c r="Q42" s="644" t="str">
        <f t="shared" si="14"/>
        <v>工程地质条件</v>
      </c>
      <c r="R42" s="1162" t="s">
        <v>1481</v>
      </c>
      <c r="S42" s="1163">
        <f t="shared" si="10"/>
        <v>100</v>
      </c>
      <c r="T42" s="1162" t="s">
        <v>1481</v>
      </c>
      <c r="U42" s="1163">
        <f t="shared" si="11"/>
        <v>100</v>
      </c>
      <c r="V42" s="1162" t="s">
        <v>1481</v>
      </c>
      <c r="W42" s="1163">
        <f t="shared" si="12"/>
        <v>100</v>
      </c>
      <c r="X42" s="1150"/>
      <c r="Y42" s="1178" t="s">
        <v>1501</v>
      </c>
      <c r="Z42" s="1149" t="str">
        <f t="shared" si="13"/>
        <v>工程地质条件</v>
      </c>
      <c r="AA42" s="1149">
        <f t="shared" si="3"/>
        <v>1</v>
      </c>
      <c r="AB42" s="1149">
        <f t="shared" si="4"/>
        <v>1</v>
      </c>
      <c r="AC42" s="1149">
        <f t="shared" si="5"/>
        <v>1</v>
      </c>
    </row>
    <row r="43" ht="15" spans="1:29">
      <c r="A43" s="1030"/>
      <c r="B43" s="1539">
        <v>111</v>
      </c>
      <c r="C43" s="1516"/>
      <c r="D43" s="780">
        <v>100</v>
      </c>
      <c r="E43" s="1516"/>
      <c r="F43" s="780">
        <f>SUMIF(126:126,E43,127:127)-SUMIF(126:126,C43,127:127)+100</f>
        <v>100</v>
      </c>
      <c r="G43" s="1516"/>
      <c r="H43" s="780">
        <f>SUMIF(126:126,G43,127:127)-SUMIF(126:126,C43,127:127)+100</f>
        <v>100</v>
      </c>
      <c r="I43" s="1188"/>
      <c r="J43" s="780">
        <f>SUMIF(126:126,I43,127:127)-SUMIF(126:126,C43,127:127)+100</f>
        <v>100</v>
      </c>
      <c r="K43" s="1105"/>
      <c r="L43" s="1106"/>
      <c r="M43" s="1054"/>
      <c r="N43" s="1054"/>
      <c r="O43" s="1587"/>
      <c r="P43" s="1178"/>
      <c r="Q43" s="644">
        <f t="shared" si="14"/>
        <v>111</v>
      </c>
      <c r="R43" s="1162" t="s">
        <v>1481</v>
      </c>
      <c r="S43" s="1163">
        <f t="shared" si="10"/>
        <v>100</v>
      </c>
      <c r="T43" s="1162" t="s">
        <v>1481</v>
      </c>
      <c r="U43" s="1163">
        <f t="shared" si="11"/>
        <v>100</v>
      </c>
      <c r="V43" s="1162" t="s">
        <v>1481</v>
      </c>
      <c r="W43" s="1163">
        <f t="shared" si="12"/>
        <v>100</v>
      </c>
      <c r="X43" s="1150"/>
      <c r="Y43" s="1178"/>
      <c r="Z43" s="1149">
        <f t="shared" si="13"/>
        <v>111</v>
      </c>
      <c r="AA43" s="1149">
        <f t="shared" si="3"/>
        <v>1</v>
      </c>
      <c r="AB43" s="1149">
        <f t="shared" si="4"/>
        <v>1</v>
      </c>
      <c r="AC43" s="1149">
        <f t="shared" si="5"/>
        <v>1</v>
      </c>
    </row>
    <row r="44" ht="15" spans="1:29">
      <c r="A44" s="1030"/>
      <c r="B44" s="1539">
        <v>111</v>
      </c>
      <c r="C44" s="1516"/>
      <c r="D44" s="780">
        <v>100</v>
      </c>
      <c r="E44" s="1516"/>
      <c r="F44" s="780">
        <f>SUMIF(128:128,E44,129:129)-SUMIF(128:128,C44,129:129)+100</f>
        <v>100</v>
      </c>
      <c r="G44" s="1516"/>
      <c r="H44" s="780">
        <f>SUMIF(128:128,G44,129:129)-SUMIF(128:128,C44,129:129)+100</f>
        <v>100</v>
      </c>
      <c r="I44" s="1188"/>
      <c r="J44" s="780">
        <f>SUMIF(128:128,I44,129:129)-SUMIF(128:128,C44,129:129)+100</f>
        <v>100</v>
      </c>
      <c r="K44" s="1105"/>
      <c r="L44" s="1106"/>
      <c r="M44" s="1054"/>
      <c r="N44" s="1054"/>
      <c r="O44" s="1587"/>
      <c r="P44" s="1178"/>
      <c r="Q44" s="644">
        <f t="shared" si="14"/>
        <v>111</v>
      </c>
      <c r="R44" s="1162" t="s">
        <v>1481</v>
      </c>
      <c r="S44" s="1163">
        <f t="shared" si="10"/>
        <v>100</v>
      </c>
      <c r="T44" s="1162" t="s">
        <v>1481</v>
      </c>
      <c r="U44" s="1163">
        <f t="shared" si="11"/>
        <v>100</v>
      </c>
      <c r="V44" s="1162" t="s">
        <v>1481</v>
      </c>
      <c r="W44" s="1163">
        <f t="shared" si="12"/>
        <v>100</v>
      </c>
      <c r="X44" s="1150"/>
      <c r="Y44" s="1178"/>
      <c r="Z44" s="1149">
        <f t="shared" si="13"/>
        <v>111</v>
      </c>
      <c r="AA44" s="1149">
        <f t="shared" si="3"/>
        <v>1</v>
      </c>
      <c r="AB44" s="1149">
        <f t="shared" si="4"/>
        <v>1</v>
      </c>
      <c r="AC44" s="1149">
        <f t="shared" si="5"/>
        <v>1</v>
      </c>
    </row>
    <row r="45" s="922" customFormat="1" ht="15.75" spans="1:29">
      <c r="A45" s="1028"/>
      <c r="B45" s="1539">
        <v>111</v>
      </c>
      <c r="C45" s="1540"/>
      <c r="D45" s="1630">
        <v>100</v>
      </c>
      <c r="E45" s="1516"/>
      <c r="F45" s="995">
        <f>SUMIF(130:130,E45,131:131)-SUMIF(130:130,C45,131:131)+100</f>
        <v>100</v>
      </c>
      <c r="G45" s="1516"/>
      <c r="H45" s="995">
        <f>SUMIF(130:130,G45,131:131)-SUMIF(130:130,C45,131:131)+100</f>
        <v>100</v>
      </c>
      <c r="I45" s="1516"/>
      <c r="J45" s="995">
        <f>SUMIF(130:130,I45,131:131)-SUMIF(130:130,C45,131:131)+100</f>
        <v>100</v>
      </c>
      <c r="K45" s="1592"/>
      <c r="L45" s="1104"/>
      <c r="M45" s="1112"/>
      <c r="N45" s="1112"/>
      <c r="O45" s="1591"/>
      <c r="P45" s="1178"/>
      <c r="Q45" s="644">
        <f t="shared" si="14"/>
        <v>111</v>
      </c>
      <c r="R45" s="1165" t="s">
        <v>1481</v>
      </c>
      <c r="S45" s="1166">
        <f t="shared" si="10"/>
        <v>100</v>
      </c>
      <c r="T45" s="1165" t="s">
        <v>1481</v>
      </c>
      <c r="U45" s="1166">
        <f t="shared" si="11"/>
        <v>100</v>
      </c>
      <c r="V45" s="1165" t="s">
        <v>1481</v>
      </c>
      <c r="W45" s="1166">
        <f t="shared" si="12"/>
        <v>100</v>
      </c>
      <c r="X45" s="1167"/>
      <c r="Y45" s="1178"/>
      <c r="Z45" s="1179">
        <f t="shared" si="13"/>
        <v>111</v>
      </c>
      <c r="AA45" s="1149">
        <f t="shared" si="3"/>
        <v>1</v>
      </c>
      <c r="AB45" s="1149">
        <f t="shared" si="4"/>
        <v>1</v>
      </c>
      <c r="AC45" s="1149">
        <f t="shared" si="5"/>
        <v>1</v>
      </c>
    </row>
    <row r="46" ht="15" spans="1:29">
      <c r="A46" s="1038" t="s">
        <v>1622</v>
      </c>
      <c r="B46" s="1541" t="s">
        <v>1641</v>
      </c>
      <c r="C46" s="1542" t="s">
        <v>124</v>
      </c>
      <c r="D46" s="1041"/>
      <c r="E46" s="1042"/>
      <c r="F46" s="1043"/>
      <c r="G46" s="1044"/>
      <c r="H46" s="1045"/>
      <c r="I46" s="1042"/>
      <c r="J46" s="1045"/>
      <c r="K46" s="1115"/>
      <c r="L46" s="1593"/>
      <c r="M46" s="1054"/>
      <c r="N46" s="1054"/>
      <c r="O46" s="1054"/>
      <c r="P46" s="644" t="str">
        <f>A46</f>
        <v>成交单价</v>
      </c>
      <c r="Q46" s="644"/>
      <c r="R46" s="1149">
        <f>E46</f>
        <v>0</v>
      </c>
      <c r="S46" s="1149"/>
      <c r="T46" s="1149">
        <f>G46</f>
        <v>0</v>
      </c>
      <c r="U46" s="1149"/>
      <c r="V46" s="1149">
        <f>I46</f>
        <v>0</v>
      </c>
      <c r="W46" s="1149"/>
      <c r="X46" s="1004"/>
      <c r="Y46" s="1181"/>
      <c r="Z46" s="1004"/>
      <c r="AA46" s="1004"/>
      <c r="AB46" s="1004"/>
      <c r="AC46" s="1004"/>
    </row>
    <row r="47" ht="15.75" spans="1:29">
      <c r="A47" s="1046" t="s">
        <v>1513</v>
      </c>
      <c r="B47" s="1543"/>
      <c r="C47" s="1544" t="e">
        <f>R48</f>
        <v>#DIV/0!</v>
      </c>
      <c r="D47" s="1049" t="s">
        <v>1514</v>
      </c>
      <c r="E47" s="1544" t="e">
        <f>R47</f>
        <v>#DIV/0!</v>
      </c>
      <c r="F47" s="1051"/>
      <c r="G47" s="1545" t="e">
        <f>T47</f>
        <v>#DIV/0!</v>
      </c>
      <c r="H47" s="1051"/>
      <c r="I47" s="1544" t="e">
        <f>V47</f>
        <v>#DIV/0!</v>
      </c>
      <c r="J47" s="1051"/>
      <c r="K47" s="1117">
        <f>F47+H47+J47</f>
        <v>0</v>
      </c>
      <c r="L47" s="1593"/>
      <c r="M47" s="1054"/>
      <c r="N47" s="1054"/>
      <c r="O47" s="1054"/>
      <c r="P47" s="644" t="str">
        <f>A47</f>
        <v>比较价值（元/平方米）</v>
      </c>
      <c r="Q47" s="644"/>
      <c r="R47" s="1601" t="e">
        <f>ROUND(PRODUCT(R46,AA7:AA45),0)</f>
        <v>#DIV/0!</v>
      </c>
      <c r="S47" s="1601"/>
      <c r="T47" s="1601" t="e">
        <f>ROUND(PRODUCT(T46,AB7:AB45),0)</f>
        <v>#DIV/0!</v>
      </c>
      <c r="U47" s="1601"/>
      <c r="V47" s="1601" t="e">
        <f>ROUND(PRODUCT(V46,AC7:AC45),0)</f>
        <v>#DIV/0!</v>
      </c>
      <c r="W47" s="1601"/>
      <c r="X47" s="1004"/>
      <c r="Y47" s="1004"/>
      <c r="Z47" s="1004"/>
      <c r="AA47" s="1004"/>
      <c r="AB47" s="1004"/>
      <c r="AC47" s="1004"/>
    </row>
    <row r="48" ht="15.75" spans="1:29">
      <c r="A48" s="1052" t="s">
        <v>1642</v>
      </c>
      <c r="B48" s="1053"/>
      <c r="C48" s="1546" t="e">
        <f>R48</f>
        <v>#DIV/0!</v>
      </c>
      <c r="D48" s="1546"/>
      <c r="E48" s="1546"/>
      <c r="F48" s="1546"/>
      <c r="G48" s="1546"/>
      <c r="H48" s="1546"/>
      <c r="I48" s="1546"/>
      <c r="J48" s="1546"/>
      <c r="K48" s="1118"/>
      <c r="L48" s="1593"/>
      <c r="M48" s="1054"/>
      <c r="N48" s="1054"/>
      <c r="O48" s="1054"/>
      <c r="P48" s="1022" t="str">
        <f>A48</f>
        <v>估价对象XX用房的比较价值（楼面单价，元/平方米）</v>
      </c>
      <c r="Q48" s="1168"/>
      <c r="R48" s="1602" t="e">
        <f>ROUND(IF(D47="简单平均",AVERAGE(R47:W47),R47*F47+T47*H47+V47*J47),0)</f>
        <v>#DIV/0!</v>
      </c>
      <c r="S48" s="1602"/>
      <c r="T48" s="1602"/>
      <c r="U48" s="1602"/>
      <c r="V48" s="1602"/>
      <c r="W48" s="1602"/>
      <c r="X48" s="1004"/>
      <c r="Y48" s="1004"/>
      <c r="Z48" s="1004"/>
      <c r="AA48" s="1004"/>
      <c r="AB48" s="1004"/>
      <c r="AC48" s="1004"/>
    </row>
    <row r="49" spans="1:29">
      <c r="A49" s="1054"/>
      <c r="B49" s="1054"/>
      <c r="C49" s="1054"/>
      <c r="D49" s="1054"/>
      <c r="E49" s="1054"/>
      <c r="F49" s="1054"/>
      <c r="G49" s="1547"/>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1516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1517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3" customFormat="1" ht="13.5" customHeight="1" spans="1:29">
      <c r="A53" s="1059"/>
      <c r="B53" s="1059"/>
      <c r="C53" s="1056" t="s">
        <v>1518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3" customFormat="1" ht="15" spans="1:29">
      <c r="A54" s="1059"/>
      <c r="B54" s="1060"/>
      <c r="C54" s="1548"/>
      <c r="D54" s="1549"/>
      <c r="E54" s="1549"/>
      <c r="F54" s="1549"/>
      <c r="G54" s="1549"/>
      <c r="H54" s="1549"/>
      <c r="I54" s="1549"/>
      <c r="J54" s="1549"/>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50" t="s">
        <v>1643</v>
      </c>
      <c r="B55" s="1551" t="s">
        <v>1644</v>
      </c>
      <c r="C55" s="1552" t="s">
        <v>1645</v>
      </c>
      <c r="D55" s="1553" t="s">
        <v>1646</v>
      </c>
      <c r="E55" s="1554" t="s">
        <v>1647</v>
      </c>
      <c r="F55" s="1631" t="s">
        <v>1648</v>
      </c>
      <c r="G55" s="951" t="s">
        <v>1649</v>
      </c>
      <c r="H55" s="640"/>
      <c r="I55" s="1634" t="s">
        <v>1650</v>
      </c>
      <c r="J55" s="1635">
        <f>项目基本情况!F35</f>
        <v>0</v>
      </c>
      <c r="K55" s="1594" t="s">
        <v>1651</v>
      </c>
      <c r="L55" s="1121"/>
      <c r="M55" s="1054"/>
      <c r="N55" s="1054"/>
      <c r="O55" s="1054"/>
      <c r="P55" s="1054"/>
      <c r="Q55" s="1054"/>
      <c r="R55" s="1054"/>
      <c r="S55" s="1054"/>
      <c r="T55" s="1054"/>
      <c r="U55" s="1054"/>
      <c r="V55" s="1054"/>
      <c r="W55" s="1054"/>
      <c r="X55" s="1054"/>
      <c r="Y55" s="1054"/>
      <c r="Z55" s="1054"/>
      <c r="AA55" s="1054"/>
      <c r="AB55" s="1054"/>
      <c r="AC55" s="1054"/>
    </row>
    <row r="56" s="1501" customFormat="1" spans="1:29">
      <c r="A56" s="1556" t="s">
        <v>1652</v>
      </c>
      <c r="B56" s="1557" t="e">
        <f>C48</f>
        <v>#DIV/0!</v>
      </c>
      <c r="C56" s="1558">
        <v>1</v>
      </c>
      <c r="D56" s="1559">
        <v>1</v>
      </c>
      <c r="E56" s="1558">
        <f>'数据-汇总表'!E8+'数据-汇总表'!E9</f>
        <v>349.48</v>
      </c>
      <c r="F56" s="1632" t="e">
        <f t="shared" ref="F56:F64" si="15">ROUND(B56*E56/10000,0)</f>
        <v>#DIV/0!</v>
      </c>
      <c r="G56" s="1100"/>
      <c r="H56" s="644"/>
      <c r="I56" s="1636">
        <v>1</v>
      </c>
      <c r="J56" s="1637">
        <v>1</v>
      </c>
      <c r="K56" s="1059"/>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1653</v>
      </c>
      <c r="B57" s="366" t="e">
        <f>ROUND($C$48*C57*D57,0)</f>
        <v>#DIV/0!</v>
      </c>
      <c r="C57" s="527">
        <f t="shared" ref="C57:C64" si="16">IF($C$55="北京市系数",I57,J57)</f>
        <v>0</v>
      </c>
      <c r="D57" s="1562">
        <v>0.25</v>
      </c>
      <c r="E57" s="1563"/>
      <c r="F57" s="1632" t="e">
        <f t="shared" si="15"/>
        <v>#DIV/0!</v>
      </c>
      <c r="G57" s="1564" t="s">
        <v>1654</v>
      </c>
      <c r="H57" s="1565">
        <f>项目基本情况!B37</f>
        <v>0</v>
      </c>
      <c r="I57" s="1636">
        <f>SUMIF(修正!A57:A68,H57,修正!B57:B68)</f>
        <v>0</v>
      </c>
      <c r="J57" s="1638"/>
      <c r="K57" s="1054"/>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1655</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59"/>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1656</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4"/>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1657</v>
      </c>
      <c r="B60" s="366" t="e">
        <f t="shared" si="17"/>
        <v>#DIV/0!</v>
      </c>
      <c r="C60" s="527">
        <f t="shared" si="16"/>
        <v>0</v>
      </c>
      <c r="D60" s="1562">
        <v>0.25</v>
      </c>
      <c r="E60" s="365">
        <f>'数据-汇总表'!E11</f>
        <v>0</v>
      </c>
      <c r="F60" s="1632" t="e">
        <f t="shared" si="15"/>
        <v>#DIV/0!</v>
      </c>
      <c r="G60" s="1568" t="s">
        <v>1658</v>
      </c>
      <c r="H60" s="1565">
        <f>项目基本情况!C37</f>
        <v>0</v>
      </c>
      <c r="I60" s="1636">
        <f>SUMIF(修正!A57:A68,H60,修正!E57:E68)</f>
        <v>0</v>
      </c>
      <c r="J60" s="1638"/>
      <c r="K60" s="1054"/>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1659</v>
      </c>
      <c r="B61" s="366" t="e">
        <f t="shared" si="17"/>
        <v>#DIV/0!</v>
      </c>
      <c r="C61" s="527">
        <f t="shared" si="16"/>
        <v>0</v>
      </c>
      <c r="D61" s="1562">
        <v>0.25</v>
      </c>
      <c r="E61" s="365">
        <f>'数据-汇总表'!E12</f>
        <v>0</v>
      </c>
      <c r="F61" s="1632" t="e">
        <f t="shared" si="15"/>
        <v>#DIV/0!</v>
      </c>
      <c r="G61" s="1569" t="s">
        <v>1660</v>
      </c>
      <c r="H61" s="1565">
        <f>IF(G61="商业",项目基本情况!B37,IF(G61="办公",项目基本情况!C37,IF(G61="住宅",项目基本情况!D37,项目基本情况!E37)))</f>
        <v>0</v>
      </c>
      <c r="I61" s="1636">
        <f>SUMIF(修正!A57:A68,H61,修正!F57:F68)</f>
        <v>0</v>
      </c>
      <c r="J61" s="1638"/>
      <c r="K61" s="1059"/>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1661</v>
      </c>
      <c r="B62" s="366" t="e">
        <f t="shared" si="17"/>
        <v>#DIV/0!</v>
      </c>
      <c r="C62" s="527">
        <f t="shared" si="16"/>
        <v>0</v>
      </c>
      <c r="D62" s="1562">
        <v>0.25</v>
      </c>
      <c r="E62" s="365">
        <f>'数据-汇总表'!E13</f>
        <v>0</v>
      </c>
      <c r="F62" s="1632" t="e">
        <f t="shared" si="15"/>
        <v>#DIV/0!</v>
      </c>
      <c r="G62" s="1569" t="s">
        <v>1662</v>
      </c>
      <c r="H62" s="1565">
        <f>IF(G62="商业",项目基本情况!B37,IF(G62="办公",项目基本情况!C37,IF(G62="住宅",项目基本情况!D37,项目基本情况!E37)))</f>
        <v>0</v>
      </c>
      <c r="I62" s="1636">
        <f>SUMIF(修正!A57:A68,H62,修正!G57:G68)</f>
        <v>0</v>
      </c>
      <c r="J62" s="1638"/>
      <c r="K62" s="1054"/>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1663</v>
      </c>
      <c r="B63" s="366" t="e">
        <f t="shared" si="17"/>
        <v>#DIV/0!</v>
      </c>
      <c r="C63" s="527">
        <f t="shared" si="16"/>
        <v>0</v>
      </c>
      <c r="D63" s="1562">
        <v>0.25</v>
      </c>
      <c r="E63" s="365">
        <f>'数据-汇总表'!E14</f>
        <v>0</v>
      </c>
      <c r="F63" s="1632" t="e">
        <f t="shared" si="15"/>
        <v>#DIV/0!</v>
      </c>
      <c r="G63" s="1568" t="s">
        <v>1654</v>
      </c>
      <c r="H63" s="1565">
        <f>项目基本情况!B37</f>
        <v>0</v>
      </c>
      <c r="I63" s="1636">
        <f>SUMIF(修正!A57:A68,H63,修正!G57:G68)</f>
        <v>0</v>
      </c>
      <c r="J63" s="1638"/>
      <c r="K63" s="1059"/>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1664</v>
      </c>
      <c r="B64" s="366" t="e">
        <f t="shared" si="17"/>
        <v>#DIV/0!</v>
      </c>
      <c r="C64" s="527">
        <f t="shared" si="16"/>
        <v>0</v>
      </c>
      <c r="D64" s="1562">
        <v>0.25</v>
      </c>
      <c r="E64" s="365">
        <f>'数据-汇总表'!E15</f>
        <v>0</v>
      </c>
      <c r="F64" s="1632" t="e">
        <f t="shared" si="15"/>
        <v>#DIV/0!</v>
      </c>
      <c r="G64" s="1570" t="s">
        <v>1658</v>
      </c>
      <c r="H64" s="1571">
        <f>项目基本情况!C37</f>
        <v>0</v>
      </c>
      <c r="I64" s="1639">
        <f>SUMIF(修正!A57:A68,H64,修正!G57:G68)</f>
        <v>0</v>
      </c>
      <c r="J64" s="1640"/>
      <c r="K64" s="1054"/>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1665</v>
      </c>
      <c r="B65" s="1573" t="s">
        <v>1666</v>
      </c>
      <c r="C65" s="1573" t="s">
        <v>1666</v>
      </c>
      <c r="D65" s="1573" t="s">
        <v>1666</v>
      </c>
      <c r="E65" s="1573">
        <f>IF(B46="楼面地价",SUM(E56:E64),'数据-汇总表'!D3)</f>
        <v>349.48</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4"/>
      <c r="B66" s="1579"/>
      <c r="C66" s="1548"/>
      <c r="D66" s="1004"/>
      <c r="E66" s="1004"/>
      <c r="F66" s="1004"/>
      <c r="G66" s="1004"/>
      <c r="H66" s="1004"/>
      <c r="I66" s="1004"/>
      <c r="J66" s="1576"/>
      <c r="K66" s="1597"/>
      <c r="L66" s="1598"/>
      <c r="M66" s="1576"/>
      <c r="N66" s="1576"/>
      <c r="O66" s="1576"/>
      <c r="P66" s="1054"/>
      <c r="Q66" s="1054"/>
      <c r="R66" s="1054"/>
      <c r="S66" s="1054"/>
      <c r="T66" s="1054"/>
      <c r="U66" s="1054"/>
      <c r="V66" s="1054"/>
      <c r="W66" s="1054"/>
      <c r="X66" s="1054"/>
      <c r="Y66" s="1054"/>
      <c r="Z66" s="1054"/>
      <c r="AA66" s="1054"/>
      <c r="AB66" s="1054"/>
      <c r="AC66" s="1054"/>
    </row>
    <row r="67" spans="1:29">
      <c r="A67" s="1004"/>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4"/>
      <c r="Q67" s="1054"/>
      <c r="R67" s="1054"/>
      <c r="S67" s="1054"/>
      <c r="T67" s="1054"/>
      <c r="U67" s="1054"/>
      <c r="V67" s="1054"/>
      <c r="W67" s="1054"/>
      <c r="X67" s="1054"/>
      <c r="Y67" s="1054"/>
      <c r="Z67" s="1054"/>
      <c r="AA67" s="1054"/>
      <c r="AB67" s="1054"/>
      <c r="AC67" s="1054"/>
    </row>
    <row r="68" ht="21" spans="1:29">
      <c r="A68" s="1062" t="s">
        <v>1519</v>
      </c>
      <c r="B68" s="1004"/>
      <c r="C68" s="1063"/>
      <c r="D68" s="1063"/>
      <c r="E68" s="1063"/>
      <c r="F68" s="1064"/>
      <c r="G68" s="1064"/>
      <c r="H68" s="1063"/>
      <c r="I68" s="1063"/>
      <c r="J68" s="1127"/>
      <c r="K68" s="1644"/>
      <c r="L68" s="1126"/>
      <c r="M68" s="1127"/>
      <c r="N68" s="1600"/>
      <c r="O68" s="1600"/>
      <c r="P68" s="1600"/>
      <c r="Q68" s="1170"/>
      <c r="R68" s="1054"/>
      <c r="S68" s="1054"/>
      <c r="T68" s="1054"/>
      <c r="U68" s="1054"/>
      <c r="V68" s="1054"/>
      <c r="W68" s="1054"/>
      <c r="X68" s="1054"/>
      <c r="Y68" s="1054"/>
      <c r="Z68" s="1054"/>
      <c r="AA68" s="1054"/>
      <c r="AB68" s="1054"/>
      <c r="AC68" s="1054"/>
    </row>
    <row r="69" s="924" customFormat="1" ht="15" spans="1:29">
      <c r="A69" s="1605" t="s">
        <v>1667</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1"/>
      <c r="Q69" s="1171"/>
      <c r="R69" s="1171"/>
      <c r="S69" s="1171"/>
      <c r="T69" s="1171"/>
      <c r="U69" s="1171"/>
      <c r="V69" s="1171"/>
      <c r="W69" s="1171"/>
      <c r="X69" s="1171"/>
      <c r="Y69" s="1171"/>
      <c r="Z69" s="1171"/>
      <c r="AA69" s="1171"/>
      <c r="AB69" s="1171"/>
      <c r="AC69" s="1171"/>
    </row>
    <row r="70" s="920" customFormat="1" ht="30" customHeight="1" spans="1:29">
      <c r="A70" s="1642" t="s">
        <v>1668</v>
      </c>
      <c r="B70" s="1609" t="str">
        <f>"北京市平均增长率"&amp;TEXT(SUMIF(基准地价修正!N25:N29,A70,基准地价修正!P25:P29),"0.00%")</f>
        <v>北京市平均增长率0.00%</v>
      </c>
      <c r="C70" s="815">
        <v>100</v>
      </c>
      <c r="D70" s="1211"/>
      <c r="E70" s="1211"/>
      <c r="F70" s="1211"/>
      <c r="G70" s="1211"/>
      <c r="H70" s="1211"/>
      <c r="I70" s="1211"/>
      <c r="J70" s="1211"/>
      <c r="K70" s="1211"/>
      <c r="L70" s="1211"/>
      <c r="M70" s="1023"/>
      <c r="N70" s="1211"/>
      <c r="O70" s="1645"/>
      <c r="P70" s="1170"/>
      <c r="Q70" s="1098"/>
      <c r="R70" s="1098"/>
      <c r="S70" s="1098"/>
      <c r="T70" s="1098"/>
      <c r="U70" s="1098"/>
      <c r="V70" s="1098"/>
      <c r="W70" s="1098"/>
      <c r="X70" s="1098"/>
      <c r="Y70" s="1098"/>
      <c r="Z70" s="1098"/>
      <c r="AA70" s="1098"/>
      <c r="AB70" s="1098"/>
      <c r="AC70" s="1098"/>
    </row>
    <row r="71" s="920" customFormat="1" ht="15.75" spans="1:29">
      <c r="A71" s="1073" t="s">
        <v>1520</v>
      </c>
      <c r="B71" s="1074"/>
      <c r="C71" s="1075"/>
      <c r="D71" s="1076"/>
      <c r="E71" s="1076"/>
      <c r="F71" s="1076"/>
      <c r="G71" s="1076"/>
      <c r="H71" s="1076"/>
      <c r="I71" s="1076"/>
      <c r="J71" s="1076"/>
      <c r="K71" s="1076"/>
      <c r="L71" s="1076"/>
      <c r="M71" s="1131"/>
      <c r="N71" s="1076"/>
      <c r="O71" s="1646"/>
      <c r="P71" s="1170"/>
      <c r="Q71" s="1170"/>
      <c r="R71" s="1098"/>
      <c r="S71" s="1098"/>
      <c r="T71" s="1098"/>
      <c r="U71" s="1098"/>
      <c r="V71" s="1098"/>
      <c r="W71" s="1098"/>
      <c r="X71" s="1098"/>
      <c r="Y71" s="1098"/>
      <c r="Z71" s="1098"/>
      <c r="AA71" s="1098"/>
      <c r="AB71" s="1098"/>
      <c r="AC71" s="1098"/>
    </row>
    <row r="72" s="920" customFormat="1" ht="15" spans="1:29">
      <c r="A72" s="1077" t="s">
        <v>1482</v>
      </c>
      <c r="B72" s="1070"/>
      <c r="C72" s="1078" t="s">
        <v>1521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0" customFormat="1" ht="15.75" spans="1:29">
      <c r="A73" s="1077"/>
      <c r="B73" s="1070"/>
      <c r="C73" s="1610">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7" t="s">
        <v>1522</v>
      </c>
      <c r="B74" s="1082" t="s">
        <v>1485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4"/>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4"/>
      <c r="B76" s="1182" t="s">
        <v>1488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4"/>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4"/>
      <c r="B78" s="1185" t="s">
        <v>1489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6"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4"/>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4"/>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2"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2"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2"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2"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2" customFormat="1" ht="15.75" spans="1:29">
      <c r="A85" s="1190"/>
      <c r="B85" s="1185">
        <f>B14</f>
        <v>111</v>
      </c>
      <c r="C85" s="1080"/>
      <c r="D85" s="1080"/>
      <c r="E85" s="1080"/>
      <c r="F85" s="1080"/>
      <c r="G85" s="1080"/>
      <c r="H85" s="1195"/>
      <c r="I85" s="1195"/>
      <c r="J85" s="1195"/>
      <c r="K85" s="1195"/>
      <c r="L85" s="1226"/>
      <c r="M85" s="1227"/>
      <c r="N85" s="1222"/>
      <c r="O85" s="1222"/>
      <c r="P85" s="1616"/>
      <c r="Q85" s="1252"/>
      <c r="R85" s="1112"/>
      <c r="S85" s="1112"/>
      <c r="T85" s="1112"/>
      <c r="U85" s="1112"/>
      <c r="V85" s="1112"/>
      <c r="W85" s="1112"/>
      <c r="X85" s="1112"/>
      <c r="Y85" s="1112"/>
      <c r="Z85" s="1112"/>
      <c r="AA85" s="1112"/>
      <c r="AB85" s="1112"/>
      <c r="AC85" s="1112"/>
    </row>
    <row r="86" s="922"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7" t="s">
        <v>1490</v>
      </c>
      <c r="B87" s="1082" t="s">
        <v>1491</v>
      </c>
      <c r="C87" s="1200" t="s">
        <v>1523</v>
      </c>
      <c r="D87" s="1200" t="s">
        <v>1524</v>
      </c>
      <c r="E87" s="1200" t="s">
        <v>1525</v>
      </c>
      <c r="F87" s="1200" t="s">
        <v>1526</v>
      </c>
      <c r="G87" s="1200" t="s">
        <v>1527</v>
      </c>
      <c r="H87" s="640"/>
      <c r="I87" s="640"/>
      <c r="J87" s="640"/>
      <c r="K87" s="1230"/>
      <c r="L87" s="1231"/>
      <c r="M87" s="1232"/>
      <c r="N87" s="1140"/>
      <c r="O87" s="1140"/>
      <c r="P87" s="1617"/>
      <c r="Q87" s="1170"/>
      <c r="R87" s="1054"/>
      <c r="S87" s="1054"/>
      <c r="T87" s="1054"/>
      <c r="U87" s="1054"/>
      <c r="V87" s="1054"/>
      <c r="W87" s="1054"/>
      <c r="X87" s="1054"/>
      <c r="Y87" s="1054"/>
      <c r="Z87" s="1054"/>
      <c r="AA87" s="1054"/>
      <c r="AB87" s="1054"/>
      <c r="AC87" s="1054"/>
    </row>
    <row r="88" ht="15.75" spans="1:29">
      <c r="A88" s="984"/>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4"/>
      <c r="B89" s="1182" t="s">
        <v>1560</v>
      </c>
      <c r="C89" s="1201" t="s">
        <v>1523</v>
      </c>
      <c r="D89" s="1201" t="s">
        <v>1524</v>
      </c>
      <c r="E89" s="1201" t="s">
        <v>1525</v>
      </c>
      <c r="F89" s="1201" t="s">
        <v>1526</v>
      </c>
      <c r="G89" s="1201" t="s">
        <v>1527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4"/>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4"/>
      <c r="B91" s="1182" t="s">
        <v>1602</v>
      </c>
      <c r="C91" s="1201" t="s">
        <v>1523</v>
      </c>
      <c r="D91" s="1201" t="s">
        <v>1524</v>
      </c>
      <c r="E91" s="1201" t="s">
        <v>1525</v>
      </c>
      <c r="F91" s="1201" t="s">
        <v>1526</v>
      </c>
      <c r="G91" s="1201" t="s">
        <v>1527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4"/>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4"/>
      <c r="B93" s="1182" t="s">
        <v>1493</v>
      </c>
      <c r="C93" s="1201" t="s">
        <v>1523</v>
      </c>
      <c r="D93" s="1201" t="s">
        <v>1524</v>
      </c>
      <c r="E93" s="1201" t="s">
        <v>1525</v>
      </c>
      <c r="F93" s="1201" t="s">
        <v>1526</v>
      </c>
      <c r="G93" s="1201" t="s">
        <v>1527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4"/>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0" customFormat="1" ht="15.75" spans="1:29">
      <c r="A95" s="987"/>
      <c r="B95" s="1182" t="s">
        <v>1633</v>
      </c>
      <c r="C95" s="1201" t="s">
        <v>1523</v>
      </c>
      <c r="D95" s="1201" t="s">
        <v>1524</v>
      </c>
      <c r="E95" s="1201" t="s">
        <v>1525</v>
      </c>
      <c r="F95" s="1201" t="s">
        <v>1526</v>
      </c>
      <c r="G95" s="1201" t="s">
        <v>1527</v>
      </c>
      <c r="H95" s="1201"/>
      <c r="I95" s="1201"/>
      <c r="J95" s="1201"/>
      <c r="K95" s="1201"/>
      <c r="L95" s="1618"/>
      <c r="M95" s="1244"/>
      <c r="N95" s="1134"/>
      <c r="O95" s="1134"/>
      <c r="P95" s="1134"/>
      <c r="Q95" s="1170"/>
      <c r="R95" s="1098"/>
      <c r="S95" s="1098"/>
      <c r="T95" s="1098"/>
      <c r="U95" s="1098"/>
      <c r="V95" s="1098"/>
      <c r="W95" s="1098"/>
      <c r="X95" s="1098"/>
      <c r="Y95" s="1098"/>
      <c r="Z95" s="1098"/>
      <c r="AA95" s="1098"/>
      <c r="AB95" s="1098"/>
      <c r="AC95" s="1098"/>
    </row>
    <row r="96" s="920" customFormat="1" ht="15.75" spans="1:29">
      <c r="A96" s="987"/>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0" customFormat="1" ht="27.75" spans="1:29">
      <c r="A97" s="987"/>
      <c r="B97" s="1182" t="s">
        <v>1634</v>
      </c>
      <c r="C97" s="1200" t="s">
        <v>1523</v>
      </c>
      <c r="D97" s="1200" t="s">
        <v>1524</v>
      </c>
      <c r="E97" s="1200" t="s">
        <v>1525</v>
      </c>
      <c r="F97" s="1200" t="s">
        <v>1526</v>
      </c>
      <c r="G97" s="1200" t="s">
        <v>1527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0" customFormat="1" ht="15.75" spans="1:29">
      <c r="A98" s="987"/>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2" customFormat="1" ht="15.75" spans="1:29">
      <c r="A99" s="1190"/>
      <c r="B99" s="1182" t="s">
        <v>1494</v>
      </c>
      <c r="C99" s="1200" t="s">
        <v>1523</v>
      </c>
      <c r="D99" s="1200" t="s">
        <v>1524</v>
      </c>
      <c r="E99" s="1200" t="s">
        <v>1525</v>
      </c>
      <c r="F99" s="1200" t="s">
        <v>1526</v>
      </c>
      <c r="G99" s="1200" t="s">
        <v>1527</v>
      </c>
      <c r="H99" s="1611"/>
      <c r="I99" s="1611"/>
      <c r="J99" s="1611"/>
      <c r="K99" s="1611"/>
      <c r="L99" s="1619"/>
      <c r="M99" s="1620"/>
      <c r="N99" s="1222"/>
      <c r="O99" s="1222"/>
      <c r="P99" s="1222"/>
      <c r="Q99" s="1252"/>
      <c r="R99" s="1112"/>
      <c r="S99" s="1112"/>
      <c r="T99" s="1112"/>
      <c r="U99" s="1112"/>
      <c r="V99" s="1112"/>
      <c r="W99" s="1112"/>
      <c r="X99" s="1112"/>
      <c r="Y99" s="1112"/>
      <c r="Z99" s="1112"/>
      <c r="AA99" s="1112"/>
      <c r="AB99" s="1112"/>
      <c r="AC99" s="1112"/>
    </row>
    <row r="100" s="922" customFormat="1" ht="15.75" spans="1:29">
      <c r="A100" s="1190"/>
      <c r="B100" s="1184"/>
      <c r="C100" s="1189">
        <v>100</v>
      </c>
      <c r="D100" s="1189">
        <f>C100-$K27</f>
        <v>100</v>
      </c>
      <c r="E100" s="1189">
        <f>D100-$K27</f>
        <v>100</v>
      </c>
      <c r="F100" s="1189">
        <f>E100-$K27</f>
        <v>100</v>
      </c>
      <c r="G100" s="1189">
        <f>F100-$K27</f>
        <v>100</v>
      </c>
      <c r="H100" s="1612"/>
      <c r="I100" s="1612"/>
      <c r="J100" s="1612"/>
      <c r="K100" s="1612"/>
      <c r="L100" s="1612"/>
      <c r="M100" s="1621"/>
      <c r="N100" s="1222"/>
      <c r="O100" s="1222"/>
      <c r="P100" s="1222"/>
      <c r="Q100" s="1252"/>
      <c r="R100" s="1112"/>
      <c r="S100" s="1112"/>
      <c r="T100" s="1112"/>
      <c r="U100" s="1112"/>
      <c r="V100" s="1112"/>
      <c r="W100" s="1112"/>
      <c r="X100" s="1112"/>
      <c r="Y100" s="1112"/>
      <c r="Z100" s="1112"/>
      <c r="AA100" s="1112"/>
      <c r="AB100" s="1112"/>
      <c r="AC100" s="1112"/>
    </row>
    <row r="101" s="922" customFormat="1" ht="15.75" spans="1:29">
      <c r="A101" s="1190"/>
      <c r="B101" s="1185" t="s">
        <v>1495</v>
      </c>
      <c r="C101" s="1177" t="s">
        <v>1528</v>
      </c>
      <c r="D101" s="1177" t="s">
        <v>1529</v>
      </c>
      <c r="E101" s="1177" t="s">
        <v>1530</v>
      </c>
      <c r="F101" s="1177" t="s">
        <v>1531</v>
      </c>
      <c r="G101" s="1177" t="s">
        <v>1532</v>
      </c>
      <c r="H101" s="1611"/>
      <c r="I101" s="1611"/>
      <c r="J101" s="1611"/>
      <c r="K101" s="1611"/>
      <c r="L101" s="1611"/>
      <c r="M101" s="1622"/>
      <c r="N101" s="1222"/>
      <c r="O101" s="1222"/>
      <c r="P101" s="1222"/>
      <c r="Q101" s="1252"/>
      <c r="R101" s="1112"/>
      <c r="S101" s="1112"/>
      <c r="T101" s="1112"/>
      <c r="U101" s="1112"/>
      <c r="V101" s="1112"/>
      <c r="W101" s="1112"/>
      <c r="X101" s="1112"/>
      <c r="Y101" s="1112"/>
      <c r="Z101" s="1112"/>
      <c r="AA101" s="1112"/>
      <c r="AB101" s="1112"/>
      <c r="AC101" s="1112"/>
    </row>
    <row r="102" s="922"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2"/>
      <c r="N102" s="1222"/>
      <c r="O102" s="1222"/>
      <c r="P102" s="1222"/>
      <c r="Q102" s="1252"/>
      <c r="R102" s="1112"/>
      <c r="S102" s="1112"/>
      <c r="T102" s="1112"/>
      <c r="U102" s="1112"/>
      <c r="V102" s="1112"/>
      <c r="W102" s="1112"/>
      <c r="X102" s="1112"/>
      <c r="Y102" s="1112"/>
      <c r="Z102" s="1112"/>
      <c r="AA102" s="1112"/>
      <c r="AB102" s="1112"/>
      <c r="AC102" s="1112"/>
    </row>
    <row r="103" ht="15.75" spans="1:29">
      <c r="A103" s="984"/>
      <c r="B103" s="1182" t="str">
        <f>B31</f>
        <v>临街状况</v>
      </c>
      <c r="C103" s="1202" t="s">
        <v>1669</v>
      </c>
      <c r="D103" s="1202" t="s">
        <v>1670</v>
      </c>
      <c r="E103" s="1202" t="s">
        <v>1671</v>
      </c>
      <c r="F103" s="1202" t="s">
        <v>1672</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4"/>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4"/>
      <c r="B105" s="1182" t="s">
        <v>1604</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4"/>
      <c r="B107" s="1182" t="s">
        <v>1635</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4"/>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4"/>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30"/>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4"/>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2"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2" customFormat="1" ht="15.75" spans="1:29">
      <c r="A114" s="1190"/>
      <c r="B114" s="1185"/>
      <c r="C114" s="1072"/>
      <c r="D114" s="1613"/>
      <c r="E114" s="1613"/>
      <c r="F114" s="1613"/>
      <c r="G114" s="1613"/>
      <c r="H114" s="1613"/>
      <c r="I114" s="1613"/>
      <c r="J114" s="1613"/>
      <c r="K114" s="1613"/>
      <c r="L114" s="1613"/>
      <c r="M114" s="1511"/>
      <c r="N114" s="1143"/>
      <c r="O114" s="1143"/>
      <c r="P114" s="1222"/>
      <c r="Q114" s="1252"/>
      <c r="R114" s="1112"/>
      <c r="S114" s="1112"/>
      <c r="T114" s="1112"/>
      <c r="U114" s="1112"/>
      <c r="V114" s="1112"/>
      <c r="W114" s="1112"/>
      <c r="X114" s="1112"/>
      <c r="Y114" s="1112"/>
      <c r="Z114" s="1112"/>
      <c r="AA114" s="1112"/>
      <c r="AB114" s="1112"/>
      <c r="AC114" s="1112"/>
    </row>
    <row r="115" spans="1:29">
      <c r="A115" s="997" t="s">
        <v>1499</v>
      </c>
      <c r="B115" s="1082" t="s">
        <v>1636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4"/>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4"/>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1637</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4"/>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1638</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4"/>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2" customFormat="1" ht="15.75" spans="1:29">
      <c r="A122" s="1028"/>
      <c r="B122" s="1182" t="s">
        <v>1639</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2"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1640</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4"/>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4"/>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2"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2" customFormat="1" ht="15.75" spans="1:29">
      <c r="A131" s="1196"/>
      <c r="B131" s="1614"/>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1608</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F61</f>
        <v>#DIV/0!</v>
      </c>
      <c r="C2" s="943"/>
      <c r="D2" s="943"/>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1510" t="s">
        <v>1673</v>
      </c>
      <c r="D6" s="1511"/>
      <c r="E6" s="1512" t="s">
        <v>1673</v>
      </c>
      <c r="F6" s="1513"/>
      <c r="G6" s="1510" t="s">
        <v>1673</v>
      </c>
      <c r="H6" s="1511"/>
      <c r="I6" s="1510" t="s">
        <v>1673</v>
      </c>
      <c r="J6" s="1511"/>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SUMIF(65:65,YEAR(E7)&amp;"-"&amp;INT((MONTH(E7)+2)/3),66:66)</f>
        <v>0</v>
      </c>
      <c r="G7" s="1514"/>
      <c r="H7" s="970">
        <f>SUMIF(65:65,YEAR(G7)&amp;"-"&amp;INT((MONTH(G7)+2)/3),66:66)</f>
        <v>0</v>
      </c>
      <c r="I7" s="1514"/>
      <c r="J7" s="970">
        <f>SUMIF(65:65,YEAR(I7)&amp;"-"&amp;INT((MONTH(I7)+2)/3),66:66)</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SUMIF(68:68,E8,69:69)-SUMIF(68:68,C8,69:69)+100</f>
        <v>0</v>
      </c>
      <c r="G8" s="973"/>
      <c r="H8" s="970">
        <f>SUMIF(68:68,G8,69:69)-SUMIF(68:68,C8,69:69)+100</f>
        <v>0</v>
      </c>
      <c r="I8" s="973"/>
      <c r="J8" s="970">
        <f>SUMIF(68:68,I8,69:69)-SUMIF(68:68,C8,69:69)+100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0" si="3">D8/F8</f>
        <v>#DIV/0!</v>
      </c>
      <c r="AB8" s="1175" t="e">
        <f t="shared" ref="AB8:AB40" si="4">D8/H8</f>
        <v>#DIV/0!</v>
      </c>
      <c r="AC8" s="1175" t="e">
        <f t="shared" ref="AC8:AC40" si="5">D8/J8</f>
        <v>#DIV/0!</v>
      </c>
    </row>
    <row r="9" s="920" customFormat="1" spans="1:29">
      <c r="A9" s="974" t="s">
        <v>1484</v>
      </c>
      <c r="B9" s="975" t="s">
        <v>1485</v>
      </c>
      <c r="C9" s="1515"/>
      <c r="D9" s="977">
        <v>100</v>
      </c>
      <c r="E9" s="1515"/>
      <c r="F9" s="977">
        <f>SUMIF(70:70,E9,71:71)-SUMIF(70:70,C9,71:71)+100</f>
        <v>100</v>
      </c>
      <c r="G9" s="1515"/>
      <c r="H9" s="977">
        <f>SUMIF(70:70,G9,71:71)-SUMIF(70:70,C9,71:71)+100</f>
        <v>100</v>
      </c>
      <c r="I9" s="1515"/>
      <c r="J9" s="977">
        <f>SUMIF(70:70,I9,71:71)-SUMIF(70:70,C9,71:71)+100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989"/>
      <c r="F10" s="982" t="e">
        <f>ROUND(100/'数据-取费表'!G16,0)</f>
        <v>#DIV/0!</v>
      </c>
      <c r="G10" s="989"/>
      <c r="H10" s="982" t="e">
        <f>ROUND(100/'数据-取费表'!G16,0)</f>
        <v>#DIV/0!</v>
      </c>
      <c r="I10" s="989"/>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LOOKUP(E11,75:75,76:76)-LOOKUP(C11,75:75,76:76)+100</f>
        <v>#N/A</v>
      </c>
      <c r="G11" s="986"/>
      <c r="H11" s="982" t="e">
        <f>LOOKUP(G11,75:75,76:76)-LOOKUP(C11,75:75,76:76)+100</f>
        <v>#N/A</v>
      </c>
      <c r="I11" s="985"/>
      <c r="J11" s="982" t="e">
        <f>LOOKUP(I11,75:75,76:76)-LOOKUP(C11,75:75,76:76)+100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1188"/>
      <c r="F12" s="982">
        <f>SUMIF(77:77,E12,78:78)-SUMIF(77:77,C12,78:78)+100</f>
        <v>100</v>
      </c>
      <c r="G12" s="1516"/>
      <c r="H12" s="982">
        <f>SUMIF(77:77,G12,78:78)-SUMIF(77:77,C12,78:78)+100</f>
        <v>100</v>
      </c>
      <c r="I12" s="1188"/>
      <c r="J12" s="982">
        <f>SUMIF(77:77,I12,78:78)-SUMIF(77:77,C12,78:78)+100</f>
        <v>100</v>
      </c>
      <c r="K12" s="1584"/>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1188"/>
      <c r="F13" s="982">
        <f>SUMIF(79:79,E13,80:80)-SUMIF(79:79,C13,80:80)+100</f>
        <v>100</v>
      </c>
      <c r="G13" s="1516"/>
      <c r="H13" s="780">
        <f>SUMIF(79:79,G13,80:80)-SUMIF(79:79,C13,80:80)+100</f>
        <v>100</v>
      </c>
      <c r="I13" s="1188"/>
      <c r="J13" s="780">
        <f>SUMIF(79:79,I13,80:80)-SUMIF(79:79,C13,80:80)+100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SUMIF(81:81,E14,82:82)-SUMIF(81:81,C14,82:82)+100</f>
        <v>100</v>
      </c>
      <c r="G14" s="1516"/>
      <c r="H14" s="995">
        <f>SUMIF(81:81,G14,82:82)-SUMIF(81:81,C14,82:82)+100</f>
        <v>100</v>
      </c>
      <c r="I14" s="1188"/>
      <c r="J14" s="995">
        <f>SUMIF(81:81,I14,82:82)-SUMIF(81:81,C14,82:82)+100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1517" t="s">
        <v>1609</v>
      </c>
      <c r="C15" s="1518"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003"/>
      <c r="J15" s="1000">
        <f>SUMIF(83:83,I16,84:84)-SUMIF(83:83,C16,84:84)+100</f>
        <v>100</v>
      </c>
      <c r="K15" s="1586"/>
      <c r="L15" s="1106"/>
      <c r="M15" s="1054"/>
      <c r="N15" s="1054"/>
      <c r="O15" s="1587"/>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519"/>
      <c r="C16" s="1005"/>
      <c r="D16" s="1006"/>
      <c r="E16" s="1520"/>
      <c r="F16" s="1006"/>
      <c r="G16" s="1520"/>
      <c r="H16" s="1008"/>
      <c r="I16" s="1520"/>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81" spans="1:29">
      <c r="A17" s="984"/>
      <c r="B17" s="1521" t="s">
        <v>1493</v>
      </c>
      <c r="C17" s="1010" t="str">
        <f>估价对象房地状况!G16</f>
        <v>估价对象周边道路状况、公共交通通达情况、停车便捷程度，综合评价交通便捷度较好</v>
      </c>
      <c r="D17" s="1008">
        <v>100</v>
      </c>
      <c r="E17" s="1011"/>
      <c r="F17" s="1014">
        <f>SUMIF(85:85,E18,86:86)-SUMIF(85:85,C18,86:86)+100</f>
        <v>100</v>
      </c>
      <c r="G17" s="1011"/>
      <c r="H17" s="1014">
        <f>SUMIF(85:85,G18,86:86)-SUMIF(85:85,C18,86:86)+100</f>
        <v>100</v>
      </c>
      <c r="I17" s="1013"/>
      <c r="J17" s="1008">
        <f>SUMIF(85:85,I18,86:86)-SUMIF(85:85,C18,86:86)+100</f>
        <v>100</v>
      </c>
      <c r="K17" s="1586"/>
      <c r="L17" s="1106"/>
      <c r="M17" s="1054"/>
      <c r="N17" s="1054"/>
      <c r="O17" s="1587"/>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26"/>
      <c r="C18" s="1005"/>
      <c r="D18" s="1006"/>
      <c r="E18" s="1522"/>
      <c r="F18" s="1006"/>
      <c r="G18" s="1522"/>
      <c r="H18" s="1006"/>
      <c r="I18" s="1588"/>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15" spans="1:29">
      <c r="A19" s="984"/>
      <c r="B19" s="1521" t="s">
        <v>1633</v>
      </c>
      <c r="C19" s="1010">
        <f>估价对象房地状况!G17</f>
        <v>0</v>
      </c>
      <c r="D19" s="1008">
        <v>100</v>
      </c>
      <c r="E19" s="1011"/>
      <c r="F19" s="1014">
        <f>SUMIF(87:87,E20,88:88)-SUMIF(87:87,C20,88:88)+100</f>
        <v>100</v>
      </c>
      <c r="G19" s="1011"/>
      <c r="H19" s="1014">
        <f>SUMIF(87:87,G20,88:88)-SUMIF(87:87,C20,88:88)+100</f>
        <v>100</v>
      </c>
      <c r="I19" s="1011"/>
      <c r="J19" s="1014">
        <f>SUMIF(87:87,I20,88:88)-SUMIF(87:87,C20,88:88)+100</f>
        <v>100</v>
      </c>
      <c r="K19" s="1586"/>
      <c r="L19" s="1106"/>
      <c r="M19" s="1054"/>
      <c r="N19" s="1054"/>
      <c r="O19" s="1587"/>
      <c r="P19" s="1177"/>
      <c r="Q19" s="644" t="str">
        <f t="shared" ref="Q19:Q34" si="8">B19</f>
        <v>区域土地利用方向</v>
      </c>
      <c r="R19" s="1162" t="s">
        <v>1481</v>
      </c>
      <c r="S19" s="1163">
        <f>F19</f>
        <v>100</v>
      </c>
      <c r="T19" s="1162" t="s">
        <v>1481</v>
      </c>
      <c r="U19" s="1163">
        <f>H19</f>
        <v>100</v>
      </c>
      <c r="V19" s="1162" t="s">
        <v>1481</v>
      </c>
      <c r="W19" s="1163">
        <f>J19</f>
        <v>100</v>
      </c>
      <c r="X19" s="1150"/>
      <c r="Y19" s="1177"/>
      <c r="Z19" s="1149" t="str">
        <f>Q19</f>
        <v>区域土地利用方向</v>
      </c>
      <c r="AA19" s="1149">
        <f t="shared" si="3"/>
        <v>1</v>
      </c>
      <c r="AB19" s="1149">
        <f t="shared" si="4"/>
        <v>1</v>
      </c>
      <c r="AC19" s="1149">
        <f t="shared" si="5"/>
        <v>1</v>
      </c>
    </row>
    <row r="20" ht="15" spans="1:29">
      <c r="A20" s="955"/>
      <c r="B20" s="1026"/>
      <c r="C20" s="1005"/>
      <c r="D20" s="1006"/>
      <c r="E20" s="1522"/>
      <c r="F20" s="1006"/>
      <c r="G20" s="1522"/>
      <c r="H20" s="1006"/>
      <c r="I20" s="1522"/>
      <c r="J20" s="1006"/>
      <c r="K20" s="1589"/>
      <c r="L20" s="1106"/>
      <c r="M20" s="1054"/>
      <c r="N20" s="1054"/>
      <c r="O20" s="1587"/>
      <c r="P20" s="1177"/>
      <c r="Q20" s="644"/>
      <c r="R20" s="1162"/>
      <c r="S20" s="1163"/>
      <c r="T20" s="1162"/>
      <c r="U20" s="1163"/>
      <c r="V20" s="1162"/>
      <c r="W20" s="1163"/>
      <c r="X20" s="1150"/>
      <c r="Y20" s="1177"/>
      <c r="Z20" s="1149"/>
      <c r="AA20" s="1149"/>
      <c r="AB20" s="1149"/>
      <c r="AC20" s="1149"/>
    </row>
    <row r="21" ht="67.5" spans="1:29">
      <c r="A21" s="955"/>
      <c r="B21" s="1521" t="s">
        <v>1674</v>
      </c>
      <c r="C21" s="1010" t="str">
        <f>估价对象房地状况!G18</f>
        <v>该园区内是否有污染型企业，绿化情况，卫生条件，整体环境状况判断</v>
      </c>
      <c r="D21" s="1008">
        <v>100</v>
      </c>
      <c r="E21" s="1011"/>
      <c r="F21" s="1008">
        <f>SUMIF(89:89,E22,90:90)-SUMIF(89:89,C22,90:90)+100</f>
        <v>100</v>
      </c>
      <c r="G21" s="1011"/>
      <c r="H21" s="1008">
        <f>SUMIF(89:89,G22,90:90)-SUMIF(89:89,C22,90:90)+100</f>
        <v>100</v>
      </c>
      <c r="I21" s="1013"/>
      <c r="J21" s="1008">
        <f>SUMIF(89:89,I22,90:90)-SUMIF(89:89,C22,90:90)+100</f>
        <v>100</v>
      </c>
      <c r="K21" s="1586"/>
      <c r="L21" s="1106"/>
      <c r="M21" s="1054"/>
      <c r="N21" s="1054"/>
      <c r="O21" s="1587"/>
      <c r="P21" s="1177"/>
      <c r="Q21" s="644" t="str">
        <f t="shared" si="8"/>
        <v>环境状况</v>
      </c>
      <c r="R21" s="1162" t="s">
        <v>1481</v>
      </c>
      <c r="S21" s="1163">
        <f>F21</f>
        <v>100</v>
      </c>
      <c r="T21" s="1162" t="s">
        <v>1481</v>
      </c>
      <c r="U21" s="1163">
        <f>H21</f>
        <v>100</v>
      </c>
      <c r="V21" s="1162" t="s">
        <v>1481</v>
      </c>
      <c r="W21" s="1163">
        <f>J21</f>
        <v>100</v>
      </c>
      <c r="X21" s="1150"/>
      <c r="Y21" s="1177"/>
      <c r="Z21" s="1149" t="str">
        <f>Q21</f>
        <v>环境状况</v>
      </c>
      <c r="AA21" s="1149">
        <f t="shared" si="3"/>
        <v>1</v>
      </c>
      <c r="AB21" s="1149">
        <f t="shared" si="4"/>
        <v>1</v>
      </c>
      <c r="AC21" s="1149">
        <f t="shared" si="5"/>
        <v>1</v>
      </c>
    </row>
    <row r="22" ht="15" spans="1:29">
      <c r="A22" s="955"/>
      <c r="B22" s="1026"/>
      <c r="C22" s="1005"/>
      <c r="D22" s="1006"/>
      <c r="E22" s="1520"/>
      <c r="F22" s="1006"/>
      <c r="G22" s="1520"/>
      <c r="H22" s="1006"/>
      <c r="I22" s="1005"/>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s="920" customFormat="1" ht="40.5" spans="1:29">
      <c r="A23" s="1069"/>
      <c r="B23" s="1523" t="s">
        <v>1494</v>
      </c>
      <c r="C23" s="1010" t="str">
        <f>估价对象房地状况!G19</f>
        <v>估价对象所在区域公共配套设施齐备情况</v>
      </c>
      <c r="D23" s="1008">
        <v>100</v>
      </c>
      <c r="E23" s="1011"/>
      <c r="F23" s="1008">
        <f>SUMIF(91:91,E24,92:92)-SUMIF(91:91,C24,92:92)+100</f>
        <v>100</v>
      </c>
      <c r="G23" s="1011"/>
      <c r="H23" s="1008">
        <f>SUMIF(91:91,G24,92:92)-SUMIF(91:91,C24,92:92)+100</f>
        <v>100</v>
      </c>
      <c r="I23" s="1013"/>
      <c r="J23" s="1008">
        <f>SUMIF(91:91,I24,92:92)-SUMIF(91:91,C24,92:92)+100</f>
        <v>100</v>
      </c>
      <c r="K23" s="1586"/>
      <c r="L23" s="1097"/>
      <c r="M23" s="1098"/>
      <c r="N23" s="1098"/>
      <c r="O23" s="1583"/>
      <c r="P23" s="1177"/>
      <c r="Q23" s="815" t="str">
        <f t="shared" si="8"/>
        <v>公共配套设施</v>
      </c>
      <c r="R23" s="1158" t="s">
        <v>1481</v>
      </c>
      <c r="S23" s="1159">
        <f>F23</f>
        <v>100</v>
      </c>
      <c r="T23" s="1158" t="s">
        <v>1481</v>
      </c>
      <c r="U23" s="1159">
        <f>H23</f>
        <v>100</v>
      </c>
      <c r="V23" s="1158" t="s">
        <v>1481</v>
      </c>
      <c r="W23" s="1159">
        <f>J23</f>
        <v>100</v>
      </c>
      <c r="X23" s="1160"/>
      <c r="Y23" s="1177"/>
      <c r="Z23" s="1175" t="str">
        <f>Q23</f>
        <v>公共配套设施</v>
      </c>
      <c r="AA23" s="1149">
        <f>D23/F23</f>
        <v>1</v>
      </c>
      <c r="AB23" s="1149">
        <f>D23/H23</f>
        <v>1</v>
      </c>
      <c r="AC23" s="1149">
        <f>D23/J23</f>
        <v>1</v>
      </c>
    </row>
    <row r="24" s="920" customFormat="1" ht="15" spans="1:29">
      <c r="A24" s="1069"/>
      <c r="B24" s="1026"/>
      <c r="C24" s="1524"/>
      <c r="D24" s="1006"/>
      <c r="E24" s="1520"/>
      <c r="F24" s="1006"/>
      <c r="G24" s="1520"/>
      <c r="H24" s="1006"/>
      <c r="I24" s="1005"/>
      <c r="J24" s="1006"/>
      <c r="K24" s="1584"/>
      <c r="L24" s="1097"/>
      <c r="M24" s="1098"/>
      <c r="N24" s="1098"/>
      <c r="O24" s="1583"/>
      <c r="P24" s="1177"/>
      <c r="Q24" s="815"/>
      <c r="R24" s="1158"/>
      <c r="S24" s="1159"/>
      <c r="T24" s="1158"/>
      <c r="U24" s="1159"/>
      <c r="V24" s="1158"/>
      <c r="W24" s="1159"/>
      <c r="X24" s="1160"/>
      <c r="Y24" s="1177"/>
      <c r="Z24" s="1175"/>
      <c r="AA24" s="1175">
        <v>1</v>
      </c>
      <c r="AB24" s="1175">
        <v>1</v>
      </c>
      <c r="AC24" s="1175">
        <v>1</v>
      </c>
    </row>
    <row r="25" s="920" customFormat="1" ht="27" spans="1:29">
      <c r="A25" s="1069"/>
      <c r="B25" s="1523" t="s">
        <v>1495</v>
      </c>
      <c r="C25" s="1010" t="str">
        <f>估价对象房地状况!G20</f>
        <v>估价对象所在区域基础设施水平</v>
      </c>
      <c r="D25" s="1008">
        <v>100</v>
      </c>
      <c r="E25" s="1011"/>
      <c r="F25" s="1008">
        <f>SUMIF(93:93,E26,94:94)-SUMIF(93:93,C26,94:94)+100</f>
        <v>100</v>
      </c>
      <c r="G25" s="1011"/>
      <c r="H25" s="1008">
        <f>SUMIF(93:93,G26,94:94)-SUMIF(93:93,C26,94:94)+100</f>
        <v>100</v>
      </c>
      <c r="I25" s="1013"/>
      <c r="J25" s="1008">
        <f>SUMIF(93:93,I26,94:94)-SUMIF(93:93,C26,94:94)+100</f>
        <v>100</v>
      </c>
      <c r="K25" s="1586"/>
      <c r="L25" s="1097"/>
      <c r="M25" s="1098"/>
      <c r="N25" s="1098"/>
      <c r="O25" s="1583"/>
      <c r="P25" s="1177"/>
      <c r="Q25" s="815" t="str">
        <f t="shared" ref="Q25" si="9">B25</f>
        <v>基础设施水平</v>
      </c>
      <c r="R25" s="1158" t="s">
        <v>1481</v>
      </c>
      <c r="S25" s="1159">
        <f>F25</f>
        <v>100</v>
      </c>
      <c r="T25" s="1158" t="s">
        <v>1481</v>
      </c>
      <c r="U25" s="1159">
        <f>H25</f>
        <v>100</v>
      </c>
      <c r="V25" s="1158" t="s">
        <v>1481</v>
      </c>
      <c r="W25" s="1159">
        <f>J25</f>
        <v>100</v>
      </c>
      <c r="X25" s="1160"/>
      <c r="Y25" s="1177"/>
      <c r="Z25" s="1175" t="str">
        <f>Q25</f>
        <v>基础设施水平</v>
      </c>
      <c r="AA25" s="1149">
        <f>D25/F25</f>
        <v>1</v>
      </c>
      <c r="AB25" s="1149">
        <f>D25/H25</f>
        <v>1</v>
      </c>
      <c r="AC25" s="1149">
        <f>D25/J25</f>
        <v>1</v>
      </c>
    </row>
    <row r="26" s="920" customFormat="1" ht="15" spans="1:29">
      <c r="A26" s="1069"/>
      <c r="B26" s="1026"/>
      <c r="C26" s="1524"/>
      <c r="D26" s="1006"/>
      <c r="E26" s="1525"/>
      <c r="F26" s="1006"/>
      <c r="G26" s="1525"/>
      <c r="H26" s="1006"/>
      <c r="I26" s="1525"/>
      <c r="J26" s="1006"/>
      <c r="K26" s="1584"/>
      <c r="L26" s="1097"/>
      <c r="M26" s="1098"/>
      <c r="N26" s="1098"/>
      <c r="O26" s="1583"/>
      <c r="P26" s="1177"/>
      <c r="Q26" s="815"/>
      <c r="R26" s="1158"/>
      <c r="S26" s="1159"/>
      <c r="T26" s="1158"/>
      <c r="U26" s="1159"/>
      <c r="V26" s="1158"/>
      <c r="W26" s="1159"/>
      <c r="X26" s="1160"/>
      <c r="Y26" s="1177"/>
      <c r="Z26" s="1175"/>
      <c r="AA26" s="1175">
        <v>1</v>
      </c>
      <c r="AB26" s="1175">
        <v>1</v>
      </c>
      <c r="AC26" s="1175">
        <v>1</v>
      </c>
    </row>
    <row r="27" ht="15" spans="1:29">
      <c r="A27" s="984"/>
      <c r="B27" s="1026" t="s">
        <v>1563</v>
      </c>
      <c r="C27" s="1021"/>
      <c r="D27" s="780">
        <v>100</v>
      </c>
      <c r="E27" s="1526"/>
      <c r="F27" s="780">
        <f>SUMIF(95:95,E27,96:96)-SUMIF(95:95,C27,96:96)+100</f>
        <v>100</v>
      </c>
      <c r="G27" s="1526"/>
      <c r="H27" s="780">
        <f>SUMIF(95:95,G27,96:96)-SUMIF(95:95,C27,96:96)+100</f>
        <v>100</v>
      </c>
      <c r="I27" s="1526"/>
      <c r="J27" s="780">
        <f>SUMIF(95:95,I27,96:96)-SUMIF(95:95,C27,96:96)+100</f>
        <v>100</v>
      </c>
      <c r="K27" s="1586"/>
      <c r="L27" s="1106"/>
      <c r="M27" s="1054"/>
      <c r="N27" s="1054"/>
      <c r="O27" s="1587"/>
      <c r="P27" s="1177"/>
      <c r="Q27" s="644" t="str">
        <f t="shared" si="8"/>
        <v>临街状况</v>
      </c>
      <c r="R27" s="1162" t="s">
        <v>1481</v>
      </c>
      <c r="S27" s="1163">
        <f t="shared" ref="S27:S40" si="10">F27</f>
        <v>100</v>
      </c>
      <c r="T27" s="1162" t="s">
        <v>1481</v>
      </c>
      <c r="U27" s="1163">
        <f t="shared" ref="U27:U40" si="11">H27</f>
        <v>100</v>
      </c>
      <c r="V27" s="1162" t="s">
        <v>1481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4"/>
      <c r="B28" s="1523" t="s">
        <v>1604</v>
      </c>
      <c r="C28" s="1109">
        <f>估价对象房地状况!G22</f>
        <v>0</v>
      </c>
      <c r="D28" s="1008">
        <v>100</v>
      </c>
      <c r="E28" s="1011"/>
      <c r="F28" s="1008">
        <f>SUMIF(97:97,E29,98:98)-SUMIF(97:97,C29,98:98)+100</f>
        <v>100</v>
      </c>
      <c r="G28" s="1011"/>
      <c r="H28" s="1008">
        <f>SUMIF(97:97,G29,98:98)-SUMIF(97:97,C29,98:98)+100</f>
        <v>100</v>
      </c>
      <c r="I28" s="1013"/>
      <c r="J28" s="1008">
        <f>SUMIF(97:97,I29,98:98)-SUMIF(97:97,C29,98:98)+100</f>
        <v>100</v>
      </c>
      <c r="K28" s="1586"/>
      <c r="L28" s="1106"/>
      <c r="M28" s="1054"/>
      <c r="N28" s="1054"/>
      <c r="O28" s="1587"/>
      <c r="P28" s="1177"/>
      <c r="Q28" s="644" t="str">
        <f t="shared" si="8"/>
        <v>毗邻道路的类型与等级</v>
      </c>
      <c r="R28" s="1162" t="s">
        <v>1481</v>
      </c>
      <c r="S28" s="1163">
        <f t="shared" si="10"/>
        <v>100</v>
      </c>
      <c r="T28" s="1162" t="s">
        <v>1481</v>
      </c>
      <c r="U28" s="1163">
        <f t="shared" si="11"/>
        <v>100</v>
      </c>
      <c r="V28" s="1162" t="s">
        <v>1481</v>
      </c>
      <c r="W28" s="1163">
        <f t="shared" si="12"/>
        <v>100</v>
      </c>
      <c r="X28" s="1150"/>
      <c r="Y28" s="1177"/>
      <c r="Z28" s="1149" t="str">
        <f t="shared" si="13"/>
        <v>毗邻道路的类型与等级</v>
      </c>
      <c r="AA28" s="1149">
        <f t="shared" si="3"/>
        <v>1</v>
      </c>
      <c r="AB28" s="1149">
        <f t="shared" si="4"/>
        <v>1</v>
      </c>
      <c r="AC28" s="1149">
        <f t="shared" si="5"/>
        <v>1</v>
      </c>
    </row>
    <row r="29" ht="15" spans="1:29">
      <c r="A29" s="984"/>
      <c r="B29" s="1026"/>
      <c r="C29" s="1005"/>
      <c r="D29" s="1006"/>
      <c r="E29" s="1520"/>
      <c r="F29" s="1006"/>
      <c r="G29" s="1520"/>
      <c r="H29" s="1006"/>
      <c r="I29" s="1520"/>
      <c r="J29" s="1006"/>
      <c r="K29" s="1105"/>
      <c r="L29" s="1106"/>
      <c r="M29" s="1054"/>
      <c r="N29" s="1054"/>
      <c r="O29" s="1587"/>
      <c r="P29" s="1177"/>
      <c r="Q29" s="644"/>
      <c r="R29" s="1162"/>
      <c r="S29" s="1163"/>
      <c r="T29" s="1162"/>
      <c r="U29" s="1163"/>
      <c r="V29" s="1162"/>
      <c r="W29" s="1163"/>
      <c r="X29" s="1150"/>
      <c r="Y29" s="1177"/>
      <c r="Z29" s="1149"/>
      <c r="AA29" s="1149">
        <v>1</v>
      </c>
      <c r="AB29" s="1149">
        <v>1</v>
      </c>
      <c r="AC29" s="1149">
        <v>1</v>
      </c>
    </row>
    <row r="30" ht="15" spans="1:29">
      <c r="A30" s="984"/>
      <c r="B30" s="982" t="s">
        <v>1635</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3"/>
      <c r="L30" s="1106"/>
      <c r="M30" s="1054"/>
      <c r="N30" s="1054"/>
      <c r="O30" s="1587"/>
      <c r="P30" s="1177"/>
      <c r="Q30" s="644" t="str">
        <f t="shared" si="8"/>
        <v>土地级别</v>
      </c>
      <c r="R30" s="1162" t="s">
        <v>1481</v>
      </c>
      <c r="S30" s="1163">
        <f t="shared" si="10"/>
        <v>100</v>
      </c>
      <c r="T30" s="1162" t="s">
        <v>1481</v>
      </c>
      <c r="U30" s="1163">
        <f t="shared" si="11"/>
        <v>100</v>
      </c>
      <c r="V30" s="1162" t="s">
        <v>1481</v>
      </c>
      <c r="W30" s="1163">
        <f t="shared" si="12"/>
        <v>100</v>
      </c>
      <c r="X30" s="1150"/>
      <c r="Y30" s="1177"/>
      <c r="Z30" s="1149" t="str">
        <f t="shared" si="13"/>
        <v>土地级别</v>
      </c>
      <c r="AA30" s="1149">
        <f t="shared" si="3"/>
        <v>1</v>
      </c>
      <c r="AB30" s="1149">
        <f t="shared" si="4"/>
        <v>1</v>
      </c>
      <c r="AC30" s="1149">
        <f t="shared" si="5"/>
        <v>1</v>
      </c>
    </row>
    <row r="31" ht="15" spans="1:29">
      <c r="A31" s="955"/>
      <c r="B31" s="1528">
        <v>111</v>
      </c>
      <c r="C31" s="1516"/>
      <c r="D31" s="780">
        <v>100</v>
      </c>
      <c r="E31" s="1529"/>
      <c r="F31" s="780">
        <f>SUMIF(101:101,E31,102:102)-SUMIF(101:101,C31,102:102)+100</f>
        <v>100</v>
      </c>
      <c r="G31" s="1529"/>
      <c r="H31" s="780">
        <f>SUMIF(101:101,G31,102:102)-SUMIF(101:101,C31,102:102)+100</f>
        <v>100</v>
      </c>
      <c r="I31" s="1188"/>
      <c r="J31" s="780">
        <f>SUMIF(101:101,I31,102:102)-SUMIF(101:101,C31,102:102)+100</f>
        <v>100</v>
      </c>
      <c r="K31" s="1105"/>
      <c r="L31" s="1106"/>
      <c r="M31" s="1054"/>
      <c r="N31" s="1054"/>
      <c r="O31" s="1587"/>
      <c r="P31" s="1177"/>
      <c r="Q31" s="644">
        <f t="shared" si="8"/>
        <v>111</v>
      </c>
      <c r="R31" s="1162" t="s">
        <v>1481</v>
      </c>
      <c r="S31" s="1163">
        <f t="shared" si="10"/>
        <v>100</v>
      </c>
      <c r="T31" s="1162" t="s">
        <v>1481</v>
      </c>
      <c r="U31" s="1163">
        <f t="shared" si="11"/>
        <v>100</v>
      </c>
      <c r="V31" s="1162" t="s">
        <v>1481</v>
      </c>
      <c r="W31" s="1163">
        <f t="shared" si="12"/>
        <v>100</v>
      </c>
      <c r="X31" s="1150"/>
      <c r="Y31" s="1177"/>
      <c r="Z31" s="1149">
        <f t="shared" si="13"/>
        <v>111</v>
      </c>
      <c r="AA31" s="1149">
        <f t="shared" si="3"/>
        <v>1</v>
      </c>
      <c r="AB31" s="1149">
        <f t="shared" si="4"/>
        <v>1</v>
      </c>
      <c r="AC31" s="1149">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5"/>
      <c r="L32" s="1106"/>
      <c r="M32" s="1054"/>
      <c r="N32" s="1054"/>
      <c r="O32" s="1587"/>
      <c r="P32" s="1590" t="s">
        <v>1501</v>
      </c>
      <c r="Q32" s="644">
        <f t="shared" si="8"/>
        <v>111</v>
      </c>
      <c r="R32" s="1162" t="s">
        <v>1481</v>
      </c>
      <c r="S32" s="1163">
        <f t="shared" si="10"/>
        <v>100</v>
      </c>
      <c r="T32" s="1162" t="s">
        <v>1481</v>
      </c>
      <c r="U32" s="1163">
        <f t="shared" si="11"/>
        <v>100</v>
      </c>
      <c r="V32" s="1162" t="s">
        <v>1481</v>
      </c>
      <c r="W32" s="1163">
        <f t="shared" si="12"/>
        <v>100</v>
      </c>
      <c r="X32" s="1150"/>
      <c r="Y32" s="1178" t="s">
        <v>1501</v>
      </c>
      <c r="Z32" s="1149">
        <f t="shared" si="13"/>
        <v>111</v>
      </c>
      <c r="AA32" s="1149">
        <f t="shared" si="3"/>
        <v>1</v>
      </c>
      <c r="AB32" s="1149">
        <f t="shared" si="4"/>
        <v>1</v>
      </c>
      <c r="AC32" s="1149">
        <f t="shared" si="5"/>
        <v>1</v>
      </c>
    </row>
    <row r="33" s="922" customFormat="1" ht="15.75" spans="1:29">
      <c r="A33" s="1532"/>
      <c r="B33" s="1533">
        <v>111</v>
      </c>
      <c r="C33" s="1534"/>
      <c r="D33" s="1535">
        <v>100</v>
      </c>
      <c r="E33" s="1536"/>
      <c r="F33" s="995">
        <f>SUMIF(105:105,E33,106:106)-SUMIF(105:105,C33,106:106)+100</f>
        <v>100</v>
      </c>
      <c r="G33" s="1536"/>
      <c r="H33" s="995">
        <f>SUMIF(105:105,G33,106:106)-SUMIF(105:105,C33,106:106)+100</f>
        <v>100</v>
      </c>
      <c r="I33" s="1534"/>
      <c r="J33" s="995">
        <f>SUMIF(105:105,I33,106:106)-SUMIF(105:105,C33,106:106)+100</f>
        <v>100</v>
      </c>
      <c r="K33" s="1105"/>
      <c r="L33" s="1104"/>
      <c r="M33" s="1112"/>
      <c r="N33" s="1112"/>
      <c r="O33" s="1591"/>
      <c r="P33" s="1178"/>
      <c r="Q33" s="644">
        <f t="shared" si="8"/>
        <v>111</v>
      </c>
      <c r="R33" s="1165" t="s">
        <v>1481</v>
      </c>
      <c r="S33" s="1166">
        <f t="shared" si="10"/>
        <v>100</v>
      </c>
      <c r="T33" s="1165" t="s">
        <v>1481</v>
      </c>
      <c r="U33" s="1166">
        <f t="shared" si="11"/>
        <v>100</v>
      </c>
      <c r="V33" s="1165" t="s">
        <v>1481</v>
      </c>
      <c r="W33" s="1166">
        <f t="shared" si="12"/>
        <v>100</v>
      </c>
      <c r="X33" s="1167"/>
      <c r="Y33" s="1178"/>
      <c r="Z33" s="1179">
        <f t="shared" si="13"/>
        <v>111</v>
      </c>
      <c r="AA33" s="1149">
        <f t="shared" si="3"/>
        <v>1</v>
      </c>
      <c r="AB33" s="1149">
        <f t="shared" si="4"/>
        <v>1</v>
      </c>
      <c r="AC33" s="1149">
        <f t="shared" si="5"/>
        <v>1</v>
      </c>
    </row>
    <row r="34" ht="15" spans="1:29">
      <c r="A34" s="997" t="s">
        <v>1499</v>
      </c>
      <c r="B34" s="1015" t="s">
        <v>1636</v>
      </c>
      <c r="C34" s="1537"/>
      <c r="D34" s="952">
        <v>100</v>
      </c>
      <c r="E34" s="1537"/>
      <c r="F34" s="952" t="e">
        <f>LOOKUP(E34,108:108,109:109)-LOOKUP(C34,108:108,109:109)+100</f>
        <v>#N/A</v>
      </c>
      <c r="G34" s="1537"/>
      <c r="H34" s="952" t="e">
        <f>LOOKUP(G34,108:108,109:109)-LOOKUP(C34,108:108,109:109)+100</f>
        <v>#N/A</v>
      </c>
      <c r="I34" s="1083"/>
      <c r="J34" s="952" t="e">
        <f>LOOKUP(I34,108:108,109:109)-LOOKUP(C34,108:108,109:109)+100</f>
        <v>#N/A</v>
      </c>
      <c r="K34" s="1105"/>
      <c r="L34" s="1106"/>
      <c r="M34" s="1054"/>
      <c r="N34" s="1054"/>
      <c r="O34" s="1587"/>
      <c r="P34" s="1178"/>
      <c r="Q34" s="644" t="str">
        <f t="shared" si="8"/>
        <v>宗地面积</v>
      </c>
      <c r="R34" s="1162" t="s">
        <v>1481</v>
      </c>
      <c r="S34" s="1163" t="e">
        <f t="shared" si="10"/>
        <v>#N/A</v>
      </c>
      <c r="T34" s="1162" t="s">
        <v>1481</v>
      </c>
      <c r="U34" s="1163" t="e">
        <f t="shared" si="11"/>
        <v>#N/A</v>
      </c>
      <c r="V34" s="1162" t="s">
        <v>1481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0" t="s">
        <v>1637</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7"/>
      <c r="P35" s="1178"/>
      <c r="Q35" s="644" t="str">
        <f t="shared" ref="Q35:Q40" si="14">B35</f>
        <v>宗地形状</v>
      </c>
      <c r="R35" s="1162" t="s">
        <v>1481</v>
      </c>
      <c r="S35" s="1163">
        <f t="shared" si="10"/>
        <v>100</v>
      </c>
      <c r="T35" s="1162" t="s">
        <v>1481</v>
      </c>
      <c r="U35" s="1163">
        <f t="shared" si="11"/>
        <v>100</v>
      </c>
      <c r="V35" s="1162" t="s">
        <v>1481</v>
      </c>
      <c r="W35" s="1163">
        <f t="shared" si="12"/>
        <v>100</v>
      </c>
      <c r="X35" s="1150"/>
      <c r="Y35" s="1178"/>
      <c r="Z35" s="1149" t="str">
        <f t="shared" si="13"/>
        <v>宗地形状</v>
      </c>
      <c r="AA35" s="1149">
        <f t="shared" si="3"/>
        <v>1</v>
      </c>
      <c r="AB35" s="1149">
        <f t="shared" si="4"/>
        <v>1</v>
      </c>
      <c r="AC35" s="1149">
        <f t="shared" si="5"/>
        <v>1</v>
      </c>
    </row>
    <row r="36" s="920" customFormat="1" ht="15" spans="1:29">
      <c r="A36" s="1034"/>
      <c r="B36" s="980" t="s">
        <v>1639</v>
      </c>
      <c r="C36" s="1538"/>
      <c r="D36" s="982">
        <v>100</v>
      </c>
      <c r="E36" s="1538"/>
      <c r="F36" s="780">
        <f>SUMIF(112:112,E36,113:113)-SUMIF(112:112,C36,113:113)+100</f>
        <v>100</v>
      </c>
      <c r="G36" s="1538"/>
      <c r="H36" s="780">
        <f>SUMIF(112:112,G36,113:113)-SUMIF(112:112,C36,113:113)+100</f>
        <v>100</v>
      </c>
      <c r="I36" s="1538"/>
      <c r="J36" s="780">
        <f>SUMIF(112:112,I36,113:113)-SUMIF(112:112,C36,113:113)+100</f>
        <v>100</v>
      </c>
      <c r="K36" s="1103"/>
      <c r="L36" s="1097"/>
      <c r="M36" s="1098"/>
      <c r="N36" s="1098"/>
      <c r="O36" s="1583"/>
      <c r="P36" s="1178"/>
      <c r="Q36" s="644" t="str">
        <f t="shared" si="14"/>
        <v>宗地开发程度</v>
      </c>
      <c r="R36" s="1158" t="s">
        <v>1481</v>
      </c>
      <c r="S36" s="1159">
        <f t="shared" si="10"/>
        <v>100</v>
      </c>
      <c r="T36" s="1158" t="s">
        <v>1481</v>
      </c>
      <c r="U36" s="1159">
        <f t="shared" si="11"/>
        <v>100</v>
      </c>
      <c r="V36" s="1158" t="s">
        <v>1481</v>
      </c>
      <c r="W36" s="1159">
        <f t="shared" si="12"/>
        <v>100</v>
      </c>
      <c r="X36" s="1160"/>
      <c r="Y36" s="1178"/>
      <c r="Z36" s="1175" t="str">
        <f t="shared" si="13"/>
        <v>宗地开发程度</v>
      </c>
      <c r="AA36" s="1175">
        <f t="shared" si="3"/>
        <v>1</v>
      </c>
      <c r="AB36" s="1175">
        <f t="shared" si="4"/>
        <v>1</v>
      </c>
      <c r="AC36" s="1175">
        <f t="shared" si="5"/>
        <v>1</v>
      </c>
    </row>
    <row r="37" ht="15" spans="1:29">
      <c r="A37" s="1030"/>
      <c r="B37" s="980" t="s">
        <v>1640</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7"/>
      <c r="P37" s="1178" t="s">
        <v>1501</v>
      </c>
      <c r="Q37" s="644" t="str">
        <f t="shared" si="14"/>
        <v>工程地质条件</v>
      </c>
      <c r="R37" s="1162" t="s">
        <v>1481</v>
      </c>
      <c r="S37" s="1163">
        <f t="shared" si="10"/>
        <v>100</v>
      </c>
      <c r="T37" s="1162" t="s">
        <v>1481</v>
      </c>
      <c r="U37" s="1163">
        <f t="shared" si="11"/>
        <v>100</v>
      </c>
      <c r="V37" s="1162" t="s">
        <v>1481</v>
      </c>
      <c r="W37" s="1163">
        <f t="shared" si="12"/>
        <v>100</v>
      </c>
      <c r="X37" s="1150"/>
      <c r="Y37" s="1178" t="s">
        <v>1501</v>
      </c>
      <c r="Z37" s="1149" t="str">
        <f t="shared" si="13"/>
        <v>工程地质条件</v>
      </c>
      <c r="AA37" s="1149">
        <f t="shared" si="3"/>
        <v>1</v>
      </c>
      <c r="AB37" s="1149">
        <f t="shared" si="4"/>
        <v>1</v>
      </c>
      <c r="AC37" s="1149">
        <f t="shared" si="5"/>
        <v>1</v>
      </c>
    </row>
    <row r="38" ht="15" spans="1:29">
      <c r="A38" s="1030"/>
      <c r="B38" s="1539">
        <v>111</v>
      </c>
      <c r="C38" s="1516"/>
      <c r="D38" s="780">
        <v>100</v>
      </c>
      <c r="E38" s="1516"/>
      <c r="F38" s="780">
        <f>SUMIF(116:116,E38,117:117)-SUMIF(116:116,C38,117:117)+100</f>
        <v>100</v>
      </c>
      <c r="G38" s="1516"/>
      <c r="H38" s="780">
        <f>SUMIF(116:116,G38,117:117)-SUMIF(116:116,C38,117:117)+100</f>
        <v>100</v>
      </c>
      <c r="I38" s="1188"/>
      <c r="J38" s="780">
        <f>SUMIF(116:116,I38,117:117)-SUMIF(116:116,C38,117:117)+100</f>
        <v>100</v>
      </c>
      <c r="K38" s="1105"/>
      <c r="L38" s="1106"/>
      <c r="M38" s="1054"/>
      <c r="N38" s="1054"/>
      <c r="O38" s="1587"/>
      <c r="P38" s="1178"/>
      <c r="Q38" s="644">
        <f t="shared" si="14"/>
        <v>111</v>
      </c>
      <c r="R38" s="1162" t="s">
        <v>1481</v>
      </c>
      <c r="S38" s="1163">
        <f t="shared" si="10"/>
        <v>100</v>
      </c>
      <c r="T38" s="1162" t="s">
        <v>1481</v>
      </c>
      <c r="U38" s="1163">
        <f t="shared" si="11"/>
        <v>100</v>
      </c>
      <c r="V38" s="1162" t="s">
        <v>1481</v>
      </c>
      <c r="W38" s="1163">
        <f t="shared" si="12"/>
        <v>100</v>
      </c>
      <c r="X38" s="1150"/>
      <c r="Y38" s="1178"/>
      <c r="Z38" s="1149">
        <f t="shared" si="13"/>
        <v>111</v>
      </c>
      <c r="AA38" s="1149">
        <f t="shared" si="3"/>
        <v>1</v>
      </c>
      <c r="AB38" s="1149">
        <f t="shared" si="4"/>
        <v>1</v>
      </c>
      <c r="AC38" s="1149">
        <f t="shared" si="5"/>
        <v>1</v>
      </c>
    </row>
    <row r="39" ht="15" spans="1:29">
      <c r="A39" s="1030"/>
      <c r="B39" s="1539">
        <v>111</v>
      </c>
      <c r="C39" s="1516"/>
      <c r="D39" s="780">
        <v>100</v>
      </c>
      <c r="E39" s="1516"/>
      <c r="F39" s="780">
        <f>SUMIF(118:118,E39,119:119)-SUMIF(118:118,C39,119:119)+100</f>
        <v>100</v>
      </c>
      <c r="G39" s="1516"/>
      <c r="H39" s="780">
        <f>SUMIF(118:118,G39,119:119)-SUMIF(118:118,C39,119:119)+100</f>
        <v>100</v>
      </c>
      <c r="I39" s="1188"/>
      <c r="J39" s="780">
        <f>SUMIF(118:118,I39,119:119)-SUMIF(118:118,C39,119:119)+100</f>
        <v>100</v>
      </c>
      <c r="K39" s="1105"/>
      <c r="L39" s="1106"/>
      <c r="M39" s="1054"/>
      <c r="N39" s="1054"/>
      <c r="O39" s="1587"/>
      <c r="P39" s="1178"/>
      <c r="Q39" s="644">
        <f t="shared" si="14"/>
        <v>111</v>
      </c>
      <c r="R39" s="1162" t="s">
        <v>1481</v>
      </c>
      <c r="S39" s="1163">
        <f t="shared" si="10"/>
        <v>100</v>
      </c>
      <c r="T39" s="1162" t="s">
        <v>1481</v>
      </c>
      <c r="U39" s="1163">
        <f t="shared" si="11"/>
        <v>100</v>
      </c>
      <c r="V39" s="1162" t="s">
        <v>1481</v>
      </c>
      <c r="W39" s="1163">
        <f t="shared" si="12"/>
        <v>100</v>
      </c>
      <c r="X39" s="1150"/>
      <c r="Y39" s="1178"/>
      <c r="Z39" s="1149">
        <f t="shared" si="13"/>
        <v>111</v>
      </c>
      <c r="AA39" s="1149">
        <f t="shared" si="3"/>
        <v>1</v>
      </c>
      <c r="AB39" s="1149">
        <f t="shared" si="4"/>
        <v>1</v>
      </c>
      <c r="AC39" s="1149">
        <f t="shared" si="5"/>
        <v>1</v>
      </c>
    </row>
    <row r="40" s="922" customFormat="1" ht="15.75" spans="1:29">
      <c r="A40" s="1028"/>
      <c r="B40" s="1539">
        <v>111</v>
      </c>
      <c r="C40" s="1540"/>
      <c r="D40" s="1535">
        <v>100</v>
      </c>
      <c r="E40" s="1516"/>
      <c r="F40" s="995">
        <f>SUMIF(120:120,E40,121:121)-SUMIF(120:120,C40,121:121)+100</f>
        <v>100</v>
      </c>
      <c r="G40" s="1516"/>
      <c r="H40" s="995">
        <f>SUMIF(120:120,G40,121:121)-SUMIF(120:120,C40,121:121)+100</f>
        <v>100</v>
      </c>
      <c r="I40" s="1188"/>
      <c r="J40" s="995">
        <f>SUMIF(120:120,I40,121:121)-SUMIF(120:120,C40,121:121)+100</f>
        <v>100</v>
      </c>
      <c r="K40" s="1592"/>
      <c r="L40" s="1104"/>
      <c r="M40" s="1112"/>
      <c r="N40" s="1112"/>
      <c r="O40" s="1591"/>
      <c r="P40" s="1178"/>
      <c r="Q40" s="644">
        <f t="shared" si="14"/>
        <v>111</v>
      </c>
      <c r="R40" s="1165" t="s">
        <v>1481</v>
      </c>
      <c r="S40" s="1166">
        <f t="shared" si="10"/>
        <v>100</v>
      </c>
      <c r="T40" s="1165" t="s">
        <v>1481</v>
      </c>
      <c r="U40" s="1166">
        <f t="shared" si="11"/>
        <v>100</v>
      </c>
      <c r="V40" s="1165" t="s">
        <v>1481</v>
      </c>
      <c r="W40" s="1166">
        <f t="shared" si="12"/>
        <v>100</v>
      </c>
      <c r="X40" s="1167"/>
      <c r="Y40" s="1178"/>
      <c r="Z40" s="1179">
        <f t="shared" si="13"/>
        <v>111</v>
      </c>
      <c r="AA40" s="1149">
        <f t="shared" si="3"/>
        <v>1</v>
      </c>
      <c r="AB40" s="1149">
        <f t="shared" si="4"/>
        <v>1</v>
      </c>
      <c r="AC40" s="1149">
        <f t="shared" si="5"/>
        <v>1</v>
      </c>
    </row>
    <row r="41" ht="15" spans="1:29">
      <c r="A41" s="1038" t="s">
        <v>1622</v>
      </c>
      <c r="B41" s="1541" t="s">
        <v>1675</v>
      </c>
      <c r="C41" s="1542" t="s">
        <v>124</v>
      </c>
      <c r="D41" s="1041"/>
      <c r="E41" s="1042"/>
      <c r="F41" s="1043"/>
      <c r="G41" s="1044"/>
      <c r="H41" s="1045"/>
      <c r="I41" s="1042"/>
      <c r="J41" s="1045"/>
      <c r="K41" s="1115"/>
      <c r="L41" s="1593"/>
      <c r="M41" s="1054"/>
      <c r="N41" s="1054"/>
      <c r="O41" s="1054"/>
      <c r="P41" s="644" t="str">
        <f>A41</f>
        <v>成交单价</v>
      </c>
      <c r="Q41" s="644"/>
      <c r="R41" s="1149">
        <f>E41</f>
        <v>0</v>
      </c>
      <c r="S41" s="1149"/>
      <c r="T41" s="1149">
        <f>G41</f>
        <v>0</v>
      </c>
      <c r="U41" s="1149"/>
      <c r="V41" s="1149">
        <f>I41</f>
        <v>0</v>
      </c>
      <c r="W41" s="1149"/>
      <c r="X41" s="1004"/>
      <c r="Y41" s="1181"/>
      <c r="Z41" s="1004"/>
      <c r="AA41" s="1004"/>
      <c r="AB41" s="1004"/>
      <c r="AC41" s="1004"/>
    </row>
    <row r="42" ht="15.75" spans="1:29">
      <c r="A42" s="1046" t="s">
        <v>1513</v>
      </c>
      <c r="B42" s="1543"/>
      <c r="C42" s="1544" t="e">
        <f>R43</f>
        <v>#DIV/0!</v>
      </c>
      <c r="D42" s="1049" t="s">
        <v>1514</v>
      </c>
      <c r="E42" s="1544" t="e">
        <f>R42</f>
        <v>#DIV/0!</v>
      </c>
      <c r="F42" s="1051"/>
      <c r="G42" s="1545" t="e">
        <f>T42</f>
        <v>#DIV/0!</v>
      </c>
      <c r="H42" s="1051"/>
      <c r="I42" s="1544" t="e">
        <f>V42</f>
        <v>#DIV/0!</v>
      </c>
      <c r="J42" s="1051"/>
      <c r="K42" s="1117">
        <f>F42+H42+J42</f>
        <v>0</v>
      </c>
      <c r="L42" s="1593"/>
      <c r="M42" s="1054"/>
      <c r="N42" s="1054"/>
      <c r="O42" s="1054"/>
      <c r="P42" s="644" t="str">
        <f>A42</f>
        <v>比较价值（元/平方米）</v>
      </c>
      <c r="Q42" s="644"/>
      <c r="R42" s="1601" t="e">
        <f>ROUND(PRODUCT(R41,AA7:AA40),0)</f>
        <v>#DIV/0!</v>
      </c>
      <c r="S42" s="1601"/>
      <c r="T42" s="1601" t="e">
        <f>ROUND(PRODUCT(T41,AB7:AB40),0)</f>
        <v>#DIV/0!</v>
      </c>
      <c r="U42" s="1601"/>
      <c r="V42" s="1601" t="e">
        <f>ROUND(PRODUCT(V41,AC7:AC40),0)</f>
        <v>#DIV/0!</v>
      </c>
      <c r="W42" s="1601"/>
      <c r="X42" s="1004"/>
      <c r="Y42" s="1004"/>
      <c r="Z42" s="1004"/>
      <c r="AA42" s="1004"/>
      <c r="AB42" s="1004"/>
      <c r="AC42" s="1004"/>
    </row>
    <row r="43" ht="15.75" spans="1:29">
      <c r="A43" s="1052" t="s">
        <v>1515</v>
      </c>
      <c r="B43" s="1053"/>
      <c r="C43" s="1546" t="e">
        <f>R43</f>
        <v>#DIV/0!</v>
      </c>
      <c r="D43" s="1546"/>
      <c r="E43" s="1546"/>
      <c r="F43" s="1546"/>
      <c r="G43" s="1546"/>
      <c r="H43" s="1546"/>
      <c r="I43" s="1546"/>
      <c r="J43" s="1546"/>
      <c r="K43" s="1118"/>
      <c r="L43" s="1593"/>
      <c r="M43" s="1054"/>
      <c r="N43" s="1054"/>
      <c r="O43" s="1054"/>
      <c r="P43" s="1022" t="str">
        <f>A43</f>
        <v>估价对象XX用房的比较价值（楼面单价，元/平方米）</v>
      </c>
      <c r="Q43" s="1168"/>
      <c r="R43" s="1602" t="e">
        <f>ROUND(IF(D42="简单平均",AVERAGE(R42:W42),R42*F42+T42*H42+V42*J42),0)</f>
        <v>#DIV/0!</v>
      </c>
      <c r="S43" s="1602"/>
      <c r="T43" s="1602"/>
      <c r="U43" s="1602"/>
      <c r="V43" s="1602"/>
      <c r="W43" s="1602"/>
      <c r="X43" s="1004"/>
      <c r="Y43" s="1004"/>
      <c r="Z43" s="1004"/>
      <c r="AA43" s="1004"/>
      <c r="AB43" s="1004"/>
      <c r="AC43" s="1004"/>
    </row>
    <row r="44" spans="1:31">
      <c r="A44" s="1054"/>
      <c r="B44" s="1054"/>
      <c r="C44" s="1054"/>
      <c r="D44" s="1054"/>
      <c r="E44" s="1054"/>
      <c r="F44" s="1054"/>
      <c r="G44" s="1547"/>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3" customFormat="1" ht="13.5" customHeight="1" spans="1:31">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3" customFormat="1" ht="15" spans="1:31">
      <c r="A49" s="1059"/>
      <c r="B49" s="1060"/>
      <c r="C49" s="1548"/>
      <c r="D49" s="1549"/>
      <c r="E49" s="1549"/>
      <c r="F49" s="1549"/>
      <c r="G49" s="1549"/>
      <c r="H49" s="1549"/>
      <c r="I49" s="1549"/>
      <c r="J49" s="1549"/>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50" t="s">
        <v>1643</v>
      </c>
      <c r="B50" s="1551" t="s">
        <v>1644</v>
      </c>
      <c r="C50" s="1552" t="s">
        <v>1645</v>
      </c>
      <c r="D50" s="1553" t="s">
        <v>1646</v>
      </c>
      <c r="E50" s="1554" t="s">
        <v>1647</v>
      </c>
      <c r="F50" s="1555" t="s">
        <v>1648</v>
      </c>
      <c r="G50" s="951" t="s">
        <v>1649</v>
      </c>
      <c r="H50" s="640"/>
      <c r="I50" s="1149" t="s">
        <v>1676</v>
      </c>
      <c r="J50" s="1149">
        <f>项目基本情况!F35</f>
        <v>0</v>
      </c>
      <c r="K50" s="1594" t="s">
        <v>1651</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501" customFormat="1" spans="1:31">
      <c r="A51" s="1556" t="s">
        <v>1652</v>
      </c>
      <c r="B51" s="1557" t="e">
        <f>C43</f>
        <v>#DIV/0!</v>
      </c>
      <c r="C51" s="1558">
        <v>1</v>
      </c>
      <c r="D51" s="1559">
        <v>1</v>
      </c>
      <c r="E51" s="1558">
        <f>'数据-汇总表'!E8+'数据-汇总表'!E9</f>
        <v>349.48</v>
      </c>
      <c r="F51" s="1560" t="e">
        <f t="shared" ref="F51:F60" si="15">ROUND(B51*E51/10000,0)</f>
        <v>#DIV/0!</v>
      </c>
      <c r="G51" s="1100"/>
      <c r="H51" s="644"/>
      <c r="I51" s="672">
        <v>1</v>
      </c>
      <c r="J51" s="672">
        <v>1</v>
      </c>
      <c r="K51" s="105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1653</v>
      </c>
      <c r="B52" s="366" t="e">
        <f>ROUND($C$43*C52*D52,0)</f>
        <v>#DIV/0!</v>
      </c>
      <c r="C52" s="527">
        <f t="shared" ref="C52:C60" si="16">IF($C$50="北京市系数",I52,J52)</f>
        <v>0</v>
      </c>
      <c r="D52" s="1562">
        <v>0.25</v>
      </c>
      <c r="E52" s="1563"/>
      <c r="F52" s="1560" t="e">
        <f t="shared" si="15"/>
        <v>#DIV/0!</v>
      </c>
      <c r="G52" s="1564" t="s">
        <v>1654</v>
      </c>
      <c r="H52" s="1565">
        <f>项目基本情况!B37</f>
        <v>0</v>
      </c>
      <c r="I52" s="672">
        <f>SUMIF(修正!A57:A68,H52,修正!B57:B68)</f>
        <v>0</v>
      </c>
      <c r="J52" s="1596"/>
      <c r="K52" s="105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1655</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5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1656</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5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1657</v>
      </c>
      <c r="B56" s="366" t="e">
        <f t="shared" si="17"/>
        <v>#DIV/0!</v>
      </c>
      <c r="C56" s="527">
        <f t="shared" si="16"/>
        <v>0</v>
      </c>
      <c r="D56" s="1562">
        <v>0.25</v>
      </c>
      <c r="E56" s="365">
        <f>'数据-汇总表'!E11</f>
        <v>0</v>
      </c>
      <c r="F56" s="1560" t="e">
        <f t="shared" si="15"/>
        <v>#DIV/0!</v>
      </c>
      <c r="G56" s="1568" t="s">
        <v>1658</v>
      </c>
      <c r="H56" s="1565">
        <f>项目基本情况!C37</f>
        <v>0</v>
      </c>
      <c r="I56" s="672">
        <f>SUMIF(修正!A57:A68,H56,修正!E57:E68)</f>
        <v>0</v>
      </c>
      <c r="J56" s="1596"/>
      <c r="K56" s="105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1659</v>
      </c>
      <c r="B57" s="366" t="e">
        <f t="shared" si="17"/>
        <v>#DIV/0!</v>
      </c>
      <c r="C57" s="527">
        <f t="shared" si="16"/>
        <v>0</v>
      </c>
      <c r="D57" s="1562">
        <v>0.25</v>
      </c>
      <c r="E57" s="365">
        <f>'数据-汇总表'!E12</f>
        <v>0</v>
      </c>
      <c r="F57" s="1560" t="e">
        <f t="shared" si="15"/>
        <v>#DIV/0!</v>
      </c>
      <c r="G57" s="1569" t="s">
        <v>1660</v>
      </c>
      <c r="H57" s="1565">
        <f>IF(G57="商业",项目基本情况!B37,IF(G57="办公",项目基本情况!C37,IF(G57="住宅",项目基本情况!D37,项目基本情况!E37)))</f>
        <v>0</v>
      </c>
      <c r="I57" s="672">
        <f>SUMIF(修正!A57:A68,H57,修正!F57:F68)</f>
        <v>0</v>
      </c>
      <c r="J57" s="1596"/>
      <c r="K57" s="105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1661</v>
      </c>
      <c r="B58" s="366" t="e">
        <f t="shared" si="17"/>
        <v>#DIV/0!</v>
      </c>
      <c r="C58" s="527">
        <f t="shared" si="16"/>
        <v>0</v>
      </c>
      <c r="D58" s="1562">
        <v>0.25</v>
      </c>
      <c r="E58" s="365">
        <f>'数据-汇总表'!E13</f>
        <v>0</v>
      </c>
      <c r="F58" s="1560" t="e">
        <f t="shared" si="15"/>
        <v>#DIV/0!</v>
      </c>
      <c r="G58" s="1569" t="s">
        <v>1662</v>
      </c>
      <c r="H58" s="1565">
        <f>IF(G58="商业",项目基本情况!B37,IF(G58="办公",项目基本情况!C37,IF(G58="住宅",项目基本情况!D37,项目基本情况!E37)))</f>
        <v>0</v>
      </c>
      <c r="I58" s="672">
        <f>SUMIF(修正!A57:A68,H58,修正!G57:G68)</f>
        <v>0</v>
      </c>
      <c r="J58" s="1596"/>
      <c r="K58" s="105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1663</v>
      </c>
      <c r="B59" s="366" t="e">
        <f t="shared" si="17"/>
        <v>#DIV/0!</v>
      </c>
      <c r="C59" s="527">
        <f t="shared" si="16"/>
        <v>0</v>
      </c>
      <c r="D59" s="1562">
        <v>0.25</v>
      </c>
      <c r="E59" s="365">
        <f>'数据-汇总表'!E14</f>
        <v>0</v>
      </c>
      <c r="F59" s="1560" t="e">
        <f t="shared" si="15"/>
        <v>#DIV/0!</v>
      </c>
      <c r="G59" s="1568" t="s">
        <v>1654</v>
      </c>
      <c r="H59" s="1565">
        <f>项目基本情况!B37</f>
        <v>0</v>
      </c>
      <c r="I59" s="672">
        <f>SUMIF(修正!A57:A68,H59,修正!G57:G68)</f>
        <v>0</v>
      </c>
      <c r="J59" s="1596"/>
      <c r="K59" s="105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1664</v>
      </c>
      <c r="B60" s="366" t="e">
        <f t="shared" si="17"/>
        <v>#DIV/0!</v>
      </c>
      <c r="C60" s="527">
        <f t="shared" si="16"/>
        <v>0</v>
      </c>
      <c r="D60" s="1562">
        <v>0.25</v>
      </c>
      <c r="E60" s="365">
        <f>'数据-汇总表'!E15</f>
        <v>0</v>
      </c>
      <c r="F60" s="1560" t="e">
        <f t="shared" si="15"/>
        <v>#DIV/0!</v>
      </c>
      <c r="G60" s="1570" t="s">
        <v>1658</v>
      </c>
      <c r="H60" s="1571">
        <f>项目基本情况!C37</f>
        <v>0</v>
      </c>
      <c r="I60" s="672">
        <f>SUMIF(修正!A57:A68,H60,修正!G57:G68)</f>
        <v>0</v>
      </c>
      <c r="J60" s="1596"/>
      <c r="K60" s="105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1665</v>
      </c>
      <c r="B61" s="1573" t="s">
        <v>1666</v>
      </c>
      <c r="C61" s="1573" t="s">
        <v>1666</v>
      </c>
      <c r="D61" s="1573" t="s">
        <v>1666</v>
      </c>
      <c r="E61" s="1573">
        <f>IF(B41="楼面地价",SUM(E51:E60),'数据-汇总表'!D3)</f>
        <v>0</v>
      </c>
      <c r="F61" s="1574" t="e">
        <f>IF(B41="楼面地价",SUM(F51:F60),ROUND(C43*E61/10000,0))</f>
        <v>#DIV/0!</v>
      </c>
      <c r="G61" s="1575"/>
      <c r="H61" s="1575"/>
      <c r="I61" s="1575"/>
      <c r="J61" s="1575"/>
      <c r="K61" s="111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4"/>
      <c r="Q62" s="1054"/>
      <c r="R62" s="1054"/>
      <c r="S62" s="1054"/>
      <c r="T62" s="1054"/>
      <c r="U62" s="1054"/>
      <c r="V62" s="1054"/>
      <c r="W62" s="1054"/>
      <c r="X62" s="1054"/>
      <c r="Y62" s="1054"/>
      <c r="Z62" s="1054"/>
      <c r="AA62" s="1054"/>
      <c r="AB62" s="1054"/>
      <c r="AC62" s="1054"/>
      <c r="AD62" s="1054"/>
      <c r="AE62" s="1054"/>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4"/>
      <c r="Q63" s="1054"/>
      <c r="R63" s="1054"/>
      <c r="S63" s="1054"/>
      <c r="T63" s="1054"/>
      <c r="U63" s="1054"/>
      <c r="V63" s="1054"/>
      <c r="W63" s="1054"/>
      <c r="X63" s="1054"/>
      <c r="Y63" s="1054"/>
      <c r="Z63" s="1054"/>
      <c r="AA63" s="1054"/>
      <c r="AB63" s="1054"/>
      <c r="AC63" s="1054"/>
      <c r="AD63" s="1054"/>
      <c r="AE63" s="1054"/>
    </row>
    <row r="64" ht="21" spans="1:31">
      <c r="A64" s="1062" t="s">
        <v>1519</v>
      </c>
      <c r="B64" s="1004"/>
      <c r="C64" s="1063"/>
      <c r="D64" s="1063"/>
      <c r="E64" s="1063"/>
      <c r="F64" s="1064"/>
      <c r="G64" s="1064"/>
      <c r="H64" s="1063"/>
      <c r="I64" s="1063"/>
      <c r="J64" s="1063"/>
      <c r="K64" s="1125"/>
      <c r="L64" s="1599"/>
      <c r="M64" s="1063"/>
      <c r="N64" s="1063"/>
      <c r="O64" s="1127"/>
      <c r="P64" s="1600"/>
      <c r="Q64" s="1170"/>
      <c r="R64" s="1054"/>
      <c r="S64" s="1054"/>
      <c r="T64" s="1054"/>
      <c r="U64" s="1054"/>
      <c r="V64" s="1054"/>
      <c r="W64" s="1054"/>
      <c r="X64" s="1054"/>
      <c r="Y64" s="1054"/>
      <c r="Z64" s="1054"/>
      <c r="AA64" s="1054"/>
      <c r="AB64" s="1054"/>
      <c r="AC64" s="1054"/>
      <c r="AD64" s="1054"/>
      <c r="AE64" s="1054"/>
    </row>
    <row r="65" s="924" customFormat="1" ht="15" spans="1:31">
      <c r="A65" s="1605" t="s">
        <v>1667</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1"/>
      <c r="Q65" s="1171"/>
      <c r="R65" s="1171"/>
      <c r="S65" s="1171"/>
      <c r="T65" s="1171"/>
      <c r="U65" s="1171"/>
      <c r="V65" s="1171"/>
      <c r="W65" s="1171"/>
      <c r="X65" s="1171"/>
      <c r="Y65" s="1171"/>
      <c r="Z65" s="1171"/>
      <c r="AA65" s="1171"/>
      <c r="AB65" s="1171"/>
      <c r="AC65" s="1171"/>
      <c r="AD65" s="1171"/>
      <c r="AE65" s="1171"/>
    </row>
    <row r="66" s="920" customFormat="1" ht="30.75" customHeight="1" spans="1:31">
      <c r="A66" s="1608" t="s">
        <v>1677</v>
      </c>
      <c r="B66" s="1609" t="str">
        <f>"北京市平均增长率"&amp;TEXT(基准地价修正!P28,"0.00%")</f>
        <v>北京市平均增长率0.00%</v>
      </c>
      <c r="C66" s="815">
        <v>100</v>
      </c>
      <c r="D66" s="1211"/>
      <c r="E66" s="1211"/>
      <c r="F66" s="1211"/>
      <c r="G66" s="1211"/>
      <c r="H66" s="1211"/>
      <c r="I66" s="1211"/>
      <c r="J66" s="1211"/>
      <c r="K66" s="1211"/>
      <c r="L66" s="1211"/>
      <c r="M66" s="1023"/>
      <c r="N66" s="1023"/>
      <c r="O66" s="1528"/>
      <c r="P66" s="1170"/>
      <c r="Q66" s="1098"/>
      <c r="R66" s="1098"/>
      <c r="S66" s="1098"/>
      <c r="T66" s="1098"/>
      <c r="U66" s="1098"/>
      <c r="V66" s="1098"/>
      <c r="W66" s="1098"/>
      <c r="X66" s="1098"/>
      <c r="Y66" s="1098"/>
      <c r="Z66" s="1098"/>
      <c r="AA66" s="1098"/>
      <c r="AB66" s="1098"/>
      <c r="AC66" s="1098"/>
      <c r="AD66" s="1098"/>
      <c r="AE66" s="1098"/>
    </row>
    <row r="67" s="920" customFormat="1" ht="15.75" spans="1:31">
      <c r="A67" s="1073" t="s">
        <v>1520</v>
      </c>
      <c r="B67" s="1074"/>
      <c r="C67" s="1075"/>
      <c r="D67" s="1076"/>
      <c r="E67" s="1076"/>
      <c r="F67" s="1076"/>
      <c r="G67" s="1076"/>
      <c r="H67" s="1076"/>
      <c r="I67" s="1076"/>
      <c r="J67" s="1076"/>
      <c r="K67" s="1076"/>
      <c r="L67" s="1076"/>
      <c r="M67" s="1131"/>
      <c r="N67" s="1131"/>
      <c r="O67" s="1615"/>
      <c r="P67" s="1170"/>
      <c r="Q67" s="1170"/>
      <c r="R67" s="1098"/>
      <c r="S67" s="1098"/>
      <c r="T67" s="1098"/>
      <c r="U67" s="1098"/>
      <c r="V67" s="1098"/>
      <c r="W67" s="1098"/>
      <c r="X67" s="1098"/>
      <c r="Y67" s="1098"/>
      <c r="Z67" s="1098"/>
      <c r="AA67" s="1098"/>
      <c r="AB67" s="1098"/>
      <c r="AC67" s="1098"/>
      <c r="AD67" s="1098"/>
      <c r="AE67" s="1098"/>
    </row>
    <row r="68" s="920" customFormat="1" ht="15" spans="1:31">
      <c r="A68" s="1077" t="s">
        <v>1482</v>
      </c>
      <c r="B68" s="1070"/>
      <c r="C68" s="1078" t="s">
        <v>1521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0" customFormat="1" ht="15.75" spans="1:31">
      <c r="A69" s="1077"/>
      <c r="B69" s="1070"/>
      <c r="C69" s="1610">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7" t="s">
        <v>1522</v>
      </c>
      <c r="B70" s="1082" t="s">
        <v>1485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4"/>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4"/>
      <c r="B72" s="1182" t="s">
        <v>1488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4"/>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4"/>
      <c r="B74" s="1185" t="s">
        <v>1489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6"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4"/>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4"/>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2"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2"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2"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2"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2" customFormat="1" ht="15.75" spans="1:31">
      <c r="A81" s="1190"/>
      <c r="B81" s="1185">
        <f>B14</f>
        <v>111</v>
      </c>
      <c r="C81" s="1080"/>
      <c r="D81" s="1080"/>
      <c r="E81" s="1080"/>
      <c r="F81" s="1080"/>
      <c r="G81" s="1080"/>
      <c r="H81" s="1195"/>
      <c r="I81" s="1195"/>
      <c r="J81" s="1195"/>
      <c r="K81" s="1195"/>
      <c r="L81" s="1226"/>
      <c r="M81" s="1227"/>
      <c r="N81" s="1222"/>
      <c r="O81" s="1222"/>
      <c r="P81" s="1616"/>
      <c r="Q81" s="1252"/>
      <c r="R81" s="1112"/>
      <c r="S81" s="1112"/>
      <c r="T81" s="1112"/>
      <c r="U81" s="1112"/>
      <c r="V81" s="1112"/>
      <c r="W81" s="1112"/>
      <c r="X81" s="1112"/>
      <c r="Y81" s="1112"/>
      <c r="Z81" s="1112"/>
      <c r="AA81" s="1112"/>
      <c r="AB81" s="1112"/>
      <c r="AC81" s="1112"/>
      <c r="AD81" s="1112"/>
      <c r="AE81" s="1112"/>
    </row>
    <row r="82" s="922"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7" t="s">
        <v>1490</v>
      </c>
      <c r="B83" s="1082" t="s">
        <v>1609</v>
      </c>
      <c r="C83" s="1200" t="s">
        <v>1523</v>
      </c>
      <c r="D83" s="1200" t="s">
        <v>1524</v>
      </c>
      <c r="E83" s="1200" t="s">
        <v>1525</v>
      </c>
      <c r="F83" s="1200" t="s">
        <v>1526</v>
      </c>
      <c r="G83" s="1200" t="s">
        <v>1527</v>
      </c>
      <c r="H83" s="640"/>
      <c r="I83" s="640"/>
      <c r="J83" s="640"/>
      <c r="K83" s="1230"/>
      <c r="L83" s="1231"/>
      <c r="M83" s="1232"/>
      <c r="N83" s="1140"/>
      <c r="O83" s="1140"/>
      <c r="P83" s="1617"/>
      <c r="Q83" s="1170"/>
      <c r="R83" s="1054"/>
      <c r="S83" s="1054"/>
      <c r="T83" s="1054"/>
      <c r="U83" s="1054"/>
      <c r="V83" s="1054"/>
      <c r="W83" s="1054"/>
      <c r="X83" s="1054"/>
      <c r="Y83" s="1054"/>
      <c r="Z83" s="1054"/>
      <c r="AA83" s="1054"/>
      <c r="AB83" s="1054"/>
      <c r="AC83" s="1054"/>
      <c r="AD83" s="1054"/>
      <c r="AE83" s="1054"/>
    </row>
    <row r="84" ht="15.75" spans="1:31">
      <c r="A84" s="984"/>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4"/>
      <c r="B85" s="1182" t="s">
        <v>1493</v>
      </c>
      <c r="C85" s="1201" t="s">
        <v>1523</v>
      </c>
      <c r="D85" s="1201" t="s">
        <v>1524</v>
      </c>
      <c r="E85" s="1201" t="s">
        <v>1525</v>
      </c>
      <c r="F85" s="1201" t="s">
        <v>1526</v>
      </c>
      <c r="G85" s="1201" t="s">
        <v>1527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4"/>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0" customFormat="1" ht="15.75" spans="1:31">
      <c r="A87" s="987"/>
      <c r="B87" s="1182" t="s">
        <v>1633</v>
      </c>
      <c r="C87" s="1200" t="s">
        <v>1523</v>
      </c>
      <c r="D87" s="1200" t="s">
        <v>1524</v>
      </c>
      <c r="E87" s="1200" t="s">
        <v>1525</v>
      </c>
      <c r="F87" s="1200" t="s">
        <v>1526</v>
      </c>
      <c r="G87" s="1200" t="s">
        <v>1527</v>
      </c>
      <c r="H87" s="1201"/>
      <c r="I87" s="1201"/>
      <c r="J87" s="1201"/>
      <c r="K87" s="1201"/>
      <c r="L87" s="1618"/>
      <c r="M87" s="1244"/>
      <c r="N87" s="1134"/>
      <c r="O87" s="1134"/>
      <c r="P87" s="1134"/>
      <c r="Q87" s="1170"/>
      <c r="R87" s="1098"/>
      <c r="S87" s="1098"/>
      <c r="T87" s="1098"/>
      <c r="U87" s="1098"/>
      <c r="V87" s="1098"/>
      <c r="W87" s="1098"/>
      <c r="X87" s="1098"/>
      <c r="Y87" s="1098"/>
      <c r="Z87" s="1098"/>
      <c r="AA87" s="1098"/>
      <c r="AB87" s="1098"/>
      <c r="AC87" s="1098"/>
      <c r="AD87" s="1098"/>
      <c r="AE87" s="1098"/>
    </row>
    <row r="88" s="920" customFormat="1" ht="15.75" spans="1:31">
      <c r="A88" s="987"/>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0" customFormat="1" ht="27.75" spans="1:31">
      <c r="A89" s="987"/>
      <c r="B89" s="1182" t="s">
        <v>1634</v>
      </c>
      <c r="C89" s="1200" t="s">
        <v>1523</v>
      </c>
      <c r="D89" s="1200" t="s">
        <v>1524</v>
      </c>
      <c r="E89" s="1200" t="s">
        <v>1525</v>
      </c>
      <c r="F89" s="1200" t="s">
        <v>1526</v>
      </c>
      <c r="G89" s="1200" t="s">
        <v>1527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0" customFormat="1" ht="15.75" spans="1:31">
      <c r="A90" s="987"/>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2" customFormat="1" ht="15.75" spans="1:31">
      <c r="A91" s="1190"/>
      <c r="B91" s="1182" t="s">
        <v>1494</v>
      </c>
      <c r="C91" s="1200" t="s">
        <v>1523</v>
      </c>
      <c r="D91" s="1200" t="s">
        <v>1524</v>
      </c>
      <c r="E91" s="1200" t="s">
        <v>1525</v>
      </c>
      <c r="F91" s="1200" t="s">
        <v>1526</v>
      </c>
      <c r="G91" s="1200" t="s">
        <v>1527</v>
      </c>
      <c r="H91" s="1611"/>
      <c r="I91" s="1611"/>
      <c r="J91" s="1611"/>
      <c r="K91" s="1611"/>
      <c r="L91" s="1619"/>
      <c r="M91" s="1620"/>
      <c r="N91" s="1222"/>
      <c r="O91" s="1222"/>
      <c r="P91" s="1222"/>
      <c r="Q91" s="1252"/>
      <c r="R91" s="1112"/>
      <c r="S91" s="1112"/>
      <c r="T91" s="1112"/>
      <c r="U91" s="1112"/>
      <c r="V91" s="1112"/>
      <c r="W91" s="1112"/>
      <c r="X91" s="1112"/>
      <c r="Y91" s="1112"/>
      <c r="Z91" s="1112"/>
      <c r="AA91" s="1112"/>
      <c r="AB91" s="1112"/>
      <c r="AC91" s="1112"/>
      <c r="AD91" s="1112"/>
      <c r="AE91" s="1112"/>
    </row>
    <row r="92" s="922" customFormat="1" ht="15.75" spans="1:31">
      <c r="A92" s="1190"/>
      <c r="B92" s="1184"/>
      <c r="C92" s="1189">
        <v>100</v>
      </c>
      <c r="D92" s="1189">
        <f>C92-$K23</f>
        <v>100</v>
      </c>
      <c r="E92" s="1189">
        <f>D92-$K23</f>
        <v>100</v>
      </c>
      <c r="F92" s="1189">
        <f>E92-$K23</f>
        <v>100</v>
      </c>
      <c r="G92" s="1189">
        <f>F92-$K23</f>
        <v>100</v>
      </c>
      <c r="H92" s="1612"/>
      <c r="I92" s="1612"/>
      <c r="J92" s="1612"/>
      <c r="K92" s="1612"/>
      <c r="L92" s="1612"/>
      <c r="M92" s="1621"/>
      <c r="N92" s="1222"/>
      <c r="O92" s="1222"/>
      <c r="P92" s="1222"/>
      <c r="Q92" s="1252"/>
      <c r="R92" s="1112"/>
      <c r="S92" s="1112"/>
      <c r="T92" s="1112"/>
      <c r="U92" s="1112"/>
      <c r="V92" s="1112"/>
      <c r="W92" s="1112"/>
      <c r="X92" s="1112"/>
      <c r="Y92" s="1112"/>
      <c r="Z92" s="1112"/>
      <c r="AA92" s="1112"/>
      <c r="AB92" s="1112"/>
      <c r="AC92" s="1112"/>
      <c r="AD92" s="1112"/>
      <c r="AE92" s="1112"/>
    </row>
    <row r="93" s="922" customFormat="1" ht="15.75" spans="1:31">
      <c r="A93" s="1190"/>
      <c r="B93" s="1185" t="s">
        <v>1495</v>
      </c>
      <c r="C93" s="1177" t="s">
        <v>1528</v>
      </c>
      <c r="D93" s="1177" t="s">
        <v>1529</v>
      </c>
      <c r="E93" s="1177" t="s">
        <v>1530</v>
      </c>
      <c r="F93" s="1177" t="s">
        <v>1531</v>
      </c>
      <c r="G93" s="1177" t="s">
        <v>1532</v>
      </c>
      <c r="H93" s="1611"/>
      <c r="I93" s="1611"/>
      <c r="J93" s="1611"/>
      <c r="K93" s="1611"/>
      <c r="L93" s="1611"/>
      <c r="M93" s="1620"/>
      <c r="N93" s="1222"/>
      <c r="O93" s="1222"/>
      <c r="P93" s="1222"/>
      <c r="Q93" s="1252"/>
      <c r="R93" s="1112"/>
      <c r="S93" s="1112"/>
      <c r="T93" s="1112"/>
      <c r="U93" s="1112"/>
      <c r="V93" s="1112"/>
      <c r="W93" s="1112"/>
      <c r="X93" s="1112"/>
      <c r="Y93" s="1112"/>
      <c r="Z93" s="1112"/>
      <c r="AA93" s="1112"/>
      <c r="AB93" s="1112"/>
      <c r="AC93" s="1112"/>
      <c r="AD93" s="1112"/>
      <c r="AE93" s="1112"/>
    </row>
    <row r="94" s="922" customFormat="1" ht="15.75" spans="1:31">
      <c r="A94" s="1190"/>
      <c r="B94" s="1185"/>
      <c r="C94" s="1189">
        <v>100</v>
      </c>
      <c r="D94" s="1189">
        <f>C94-$K25</f>
        <v>100</v>
      </c>
      <c r="E94" s="1189">
        <f>D94-$K25</f>
        <v>100</v>
      </c>
      <c r="F94" s="1189">
        <f>E94-$K25</f>
        <v>100</v>
      </c>
      <c r="G94" s="1189">
        <f>F94-$K25</f>
        <v>100</v>
      </c>
      <c r="H94" s="1187"/>
      <c r="I94" s="1187"/>
      <c r="J94" s="1187"/>
      <c r="K94" s="1187"/>
      <c r="L94" s="1187"/>
      <c r="M94" s="1622"/>
      <c r="N94" s="1222"/>
      <c r="O94" s="1222"/>
      <c r="P94" s="1222"/>
      <c r="Q94" s="1252"/>
      <c r="R94" s="1112"/>
      <c r="S94" s="1112"/>
      <c r="T94" s="1112"/>
      <c r="U94" s="1112"/>
      <c r="V94" s="1112"/>
      <c r="W94" s="1112"/>
      <c r="X94" s="1112"/>
      <c r="Y94" s="1112"/>
      <c r="Z94" s="1112"/>
      <c r="AA94" s="1112"/>
      <c r="AB94" s="1112"/>
      <c r="AC94" s="1112"/>
      <c r="AD94" s="1112"/>
      <c r="AE94" s="1112"/>
    </row>
    <row r="95" ht="15.75" spans="1:31">
      <c r="A95" s="984"/>
      <c r="B95" s="1182" t="str">
        <f>B27</f>
        <v>临街状况</v>
      </c>
      <c r="C95" s="1202" t="s">
        <v>1669</v>
      </c>
      <c r="D95" s="1202" t="s">
        <v>1670</v>
      </c>
      <c r="E95" s="1202" t="s">
        <v>1671</v>
      </c>
      <c r="F95" s="1202" t="s">
        <v>1672</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4"/>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4"/>
      <c r="B97" s="1182" t="s">
        <v>1604</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4"/>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4"/>
      <c r="B99" s="1182" t="s">
        <v>1635</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4"/>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4"/>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4"/>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30"/>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4"/>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2"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2" customFormat="1" ht="15.75" spans="1:31">
      <c r="A106" s="1190"/>
      <c r="B106" s="1185"/>
      <c r="C106" s="1198"/>
      <c r="D106" s="1198"/>
      <c r="E106" s="1198"/>
      <c r="F106" s="1198"/>
      <c r="G106" s="1613"/>
      <c r="H106" s="1613"/>
      <c r="I106" s="1613"/>
      <c r="J106" s="1613"/>
      <c r="K106" s="1613"/>
      <c r="L106" s="1613"/>
      <c r="M106" s="1511"/>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7" t="s">
        <v>1499</v>
      </c>
      <c r="B107" s="1082" t="s">
        <v>1636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4"/>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4"/>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1637</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4"/>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2" customFormat="1" ht="15.75" spans="1:31">
      <c r="A112" s="1028"/>
      <c r="B112" s="1182" t="s">
        <v>1639</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2"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1640</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4"/>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4"/>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4"/>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2"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2" customFormat="1" ht="15.75" spans="1:31">
      <c r="A121" s="1196"/>
      <c r="B121" s="1614"/>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1678</v>
      </c>
      <c r="O24" s="1500" t="s">
        <v>1679</v>
      </c>
      <c r="P24" s="1500" t="s">
        <v>1680</v>
      </c>
      <c r="Q24" s="1500" t="s">
        <v>1351</v>
      </c>
      <c r="R24" s="1500" t="s">
        <v>1681</v>
      </c>
      <c r="S24" s="1490" t="s">
        <v>1682</v>
      </c>
    </row>
    <row r="25" spans="14:19">
      <c r="N25" s="1500">
        <v>1</v>
      </c>
      <c r="O25" s="1500" t="s">
        <v>1556</v>
      </c>
      <c r="P25" s="1500">
        <v>1</v>
      </c>
      <c r="Q25" s="1500">
        <v>922</v>
      </c>
      <c r="R25" s="1500">
        <v>15.12</v>
      </c>
      <c r="S25" s="1490" t="s">
        <v>1683</v>
      </c>
    </row>
    <row r="26" spans="14:19">
      <c r="N26" s="1500">
        <v>2</v>
      </c>
      <c r="O26" s="1500" t="s">
        <v>1557</v>
      </c>
      <c r="P26" s="1500">
        <v>1</v>
      </c>
      <c r="Q26" s="1500">
        <v>466.8</v>
      </c>
      <c r="R26" s="1500">
        <v>15.7</v>
      </c>
      <c r="S26" s="1490" t="s">
        <v>1683</v>
      </c>
    </row>
    <row r="27" spans="14:19">
      <c r="N27" s="1500">
        <v>3</v>
      </c>
      <c r="O27" s="1500" t="s">
        <v>1558</v>
      </c>
      <c r="P27" s="1500">
        <v>1</v>
      </c>
      <c r="Q27" s="1500">
        <v>304.02</v>
      </c>
      <c r="R27" s="1500">
        <v>15.65</v>
      </c>
      <c r="S27" s="1490" t="s">
        <v>1683</v>
      </c>
    </row>
    <row r="33" ht="15" spans="2:7">
      <c r="B33" s="1491" t="s">
        <v>1684</v>
      </c>
      <c r="C33" s="1491" t="s">
        <v>1685</v>
      </c>
      <c r="D33" s="1492" t="s">
        <v>1351</v>
      </c>
      <c r="E33" s="1492" t="s">
        <v>1686</v>
      </c>
      <c r="F33" s="1491" t="s">
        <v>1687</v>
      </c>
      <c r="G33" s="1491"/>
    </row>
    <row r="34" ht="30.75" spans="2:7">
      <c r="B34" s="1493"/>
      <c r="C34" s="1493"/>
      <c r="D34" s="1494" t="s">
        <v>1688</v>
      </c>
      <c r="E34" s="1494" t="s">
        <v>1689</v>
      </c>
      <c r="F34" s="1493"/>
      <c r="G34" s="1493"/>
    </row>
    <row r="35" ht="15" spans="2:7">
      <c r="B35" s="1495" t="s">
        <v>1690</v>
      </c>
      <c r="C35" s="1496" t="s">
        <v>1691</v>
      </c>
      <c r="D35" s="1496">
        <v>304.02</v>
      </c>
      <c r="E35" s="1496">
        <v>15.65</v>
      </c>
      <c r="F35" s="1496" t="s">
        <v>1683</v>
      </c>
      <c r="G35" s="1496" t="s">
        <v>1692</v>
      </c>
    </row>
    <row r="36" ht="30.75" spans="2:7">
      <c r="B36" s="1497" t="s">
        <v>1693</v>
      </c>
      <c r="C36" s="1497"/>
      <c r="D36" s="1497"/>
      <c r="E36" s="1497"/>
      <c r="F36" s="1497"/>
      <c r="G36" s="1497" t="s">
        <v>1692</v>
      </c>
    </row>
    <row r="37" ht="15" spans="2:7">
      <c r="B37" s="1495" t="s">
        <v>1690</v>
      </c>
      <c r="C37" s="1496" t="s">
        <v>1694</v>
      </c>
      <c r="D37" s="1496">
        <v>288.52</v>
      </c>
      <c r="E37" s="1496">
        <v>18.05</v>
      </c>
      <c r="F37" s="1496" t="s">
        <v>1683</v>
      </c>
      <c r="G37" s="1496" t="s">
        <v>1695</v>
      </c>
    </row>
    <row r="38" ht="30.75" spans="2:7">
      <c r="B38" s="1497" t="s">
        <v>1693</v>
      </c>
      <c r="C38" s="1497"/>
      <c r="D38" s="1497"/>
      <c r="E38" s="1497"/>
      <c r="F38" s="1497"/>
      <c r="G38" s="1497" t="s">
        <v>1695</v>
      </c>
    </row>
    <row r="39" ht="15" spans="2:7">
      <c r="B39" s="1495" t="s">
        <v>1690</v>
      </c>
      <c r="C39" s="1496" t="s">
        <v>1696</v>
      </c>
      <c r="D39" s="1498">
        <v>1338</v>
      </c>
      <c r="E39" s="1496">
        <v>16.3</v>
      </c>
      <c r="F39" s="1496" t="s">
        <v>1683</v>
      </c>
      <c r="G39" s="1496" t="s">
        <v>1697</v>
      </c>
    </row>
    <row r="40" ht="30.75" spans="2:7">
      <c r="B40" s="1497" t="s">
        <v>1693</v>
      </c>
      <c r="C40" s="1497"/>
      <c r="D40" s="1499"/>
      <c r="E40" s="1497"/>
      <c r="F40" s="1497"/>
      <c r="G40" s="1497" t="s">
        <v>1697</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1698</v>
      </c>
      <c r="C1" s="1380" t="s">
        <v>1699</v>
      </c>
      <c r="D1" s="1381"/>
      <c r="E1" s="1381"/>
      <c r="F1" s="1381"/>
      <c r="G1" s="1381"/>
      <c r="H1" s="1381"/>
      <c r="I1" s="1381"/>
      <c r="J1" s="1381"/>
      <c r="K1" s="1381"/>
      <c r="L1" s="1381"/>
      <c r="M1" s="1381"/>
      <c r="N1" s="1381"/>
      <c r="O1" s="1381"/>
      <c r="P1" s="1381"/>
      <c r="Q1" s="1381"/>
      <c r="R1" s="1381"/>
      <c r="S1" s="1458"/>
      <c r="T1" s="1379" t="s">
        <v>1700</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1701</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1702</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1703</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1704</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1705</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1706</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1707</v>
      </c>
      <c r="B17" s="1410" t="s">
        <v>1708</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1709</v>
      </c>
      <c r="E19" s="1420"/>
      <c r="F19" s="1420"/>
      <c r="G19" s="1420"/>
      <c r="H19" s="1421"/>
      <c r="I19" s="1418"/>
      <c r="J19" s="1418"/>
      <c r="K19" s="1418"/>
      <c r="L19" s="1418"/>
      <c r="M19" s="1418"/>
      <c r="N19" s="1418"/>
      <c r="O19" s="1418"/>
      <c r="P19" s="1418"/>
      <c r="Q19" s="1418"/>
      <c r="R19" s="1418"/>
      <c r="S19" s="1417"/>
    </row>
    <row r="20" ht="16.5" spans="1:19">
      <c r="A20" s="1422" t="s">
        <v>1710</v>
      </c>
      <c r="B20" s="1423">
        <f ca="1">IF(D20="——",S22,S22-F20)</f>
        <v>5</v>
      </c>
      <c r="C20" s="1418"/>
      <c r="D20" s="1424" t="s">
        <v>124</v>
      </c>
      <c r="E20" s="1425"/>
      <c r="F20" s="1379" t="e">
        <f ca="1">SUMIF(INDIRECT("'"&amp;H20&amp;"'"&amp;"!A:A"),"承租人权益价值",INDIRECT("'"&amp;H20&amp;"'"&amp;"!c:c"))</f>
        <v>#REF!</v>
      </c>
      <c r="G20" s="1379" t="s">
        <v>803</v>
      </c>
      <c r="H20" s="1426"/>
      <c r="I20" s="1418"/>
      <c r="J20" s="1418"/>
      <c r="K20" s="1418"/>
      <c r="L20" s="1418"/>
      <c r="M20" s="1418"/>
      <c r="N20" s="1418"/>
      <c r="O20" s="1418"/>
      <c r="P20" s="1418"/>
      <c r="Q20" s="1418"/>
      <c r="R20" s="1418"/>
      <c r="S20" s="1417"/>
    </row>
    <row r="21" ht="15.75" spans="1:21">
      <c r="A21" s="1422" t="s">
        <v>1711</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10.9</v>
      </c>
    </row>
    <row r="22" spans="1:21">
      <c r="A22" s="1427" t="s">
        <v>1712</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7.74</v>
      </c>
      <c r="S22" s="1428">
        <f>SUM(S24:S10000)</f>
        <v>5</v>
      </c>
      <c r="T22" s="1377">
        <v>0.9</v>
      </c>
      <c r="U22" s="1377">
        <f>ROUND(T24*T22,2)</f>
        <v>8.92</v>
      </c>
    </row>
    <row r="23" s="1374" customFormat="1" ht="24" spans="1:45">
      <c r="A23" s="1431" t="s">
        <v>1713</v>
      </c>
      <c r="B23" s="1431" t="s">
        <v>456</v>
      </c>
      <c r="C23" s="1431" t="s">
        <v>1700</v>
      </c>
      <c r="D23" s="1431" t="str">
        <f>B5</f>
        <v>修正项2</v>
      </c>
      <c r="E23" s="1431" t="s">
        <v>1700</v>
      </c>
      <c r="F23" s="1431" t="str">
        <f>B7</f>
        <v>修正项3</v>
      </c>
      <c r="G23" s="1431" t="s">
        <v>1700</v>
      </c>
      <c r="H23" s="1431" t="str">
        <f>B9</f>
        <v>修正项4</v>
      </c>
      <c r="I23" s="1431" t="s">
        <v>1700</v>
      </c>
      <c r="J23" s="1431" t="str">
        <f>B11</f>
        <v>修正项5</v>
      </c>
      <c r="K23" s="1431" t="s">
        <v>1700</v>
      </c>
      <c r="L23" s="1431" t="str">
        <f>B13</f>
        <v>修正项6</v>
      </c>
      <c r="M23" s="1431" t="s">
        <v>1700</v>
      </c>
      <c r="N23" s="1431" t="str">
        <f>B15</f>
        <v>修正项7</v>
      </c>
      <c r="O23" s="1431" t="s">
        <v>1700</v>
      </c>
      <c r="P23" s="1431" t="str">
        <f>B17</f>
        <v>楼层</v>
      </c>
      <c r="Q23" s="1431" t="s">
        <v>1700</v>
      </c>
      <c r="R23" s="1431" t="s">
        <v>1714</v>
      </c>
      <c r="S23" s="1431" t="s">
        <v>1715</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599</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12.89</v>
      </c>
      <c r="S24" s="1488">
        <f t="shared" ref="S24:S54" si="11">ROUND(R24*B24/10000,0)</f>
        <v>2</v>
      </c>
      <c r="T24" s="1489">
        <f>ROUND((B24*R24+B25*R25+B26*R26)/B22,2)</f>
        <v>9.91</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1716</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8.93</v>
      </c>
      <c r="S25" s="1427">
        <f t="shared" si="11"/>
        <v>2</v>
      </c>
    </row>
    <row r="26" spans="1:19">
      <c r="A26" s="1439" t="s">
        <v>1717</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8</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tabSelected="1" view="pageBreakPreview" zoomScaleNormal="100" topLeftCell="A7" workbookViewId="0">
      <selection activeCell="K39" sqref="K39"/>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12" style="1255" customWidth="1"/>
    <col min="19" max="20" width="9" style="1255"/>
    <col min="21" max="21" width="10.25" style="1255" customWidth="1"/>
    <col min="22" max="16384" width="9" style="1255"/>
  </cols>
  <sheetData>
    <row r="1" spans="1:15">
      <c r="A1" s="1259" t="s">
        <v>1718</v>
      </c>
      <c r="B1" s="1259"/>
      <c r="C1" s="1259"/>
      <c r="D1" s="1259"/>
      <c r="E1" s="1259"/>
      <c r="F1" s="1259"/>
      <c r="G1" s="1259"/>
      <c r="H1" s="1259"/>
      <c r="I1" s="1259"/>
      <c r="K1" s="1326" t="s">
        <v>1719</v>
      </c>
      <c r="L1" s="1327" t="s">
        <v>1720</v>
      </c>
      <c r="M1" s="1328">
        <v>0</v>
      </c>
      <c r="N1" s="1329"/>
      <c r="O1" s="1329"/>
    </row>
    <row r="2" ht="15.75" customHeight="1" spans="1:15">
      <c r="A2" s="1260" t="s">
        <v>1678</v>
      </c>
      <c r="B2" s="1261" t="s">
        <v>1721</v>
      </c>
      <c r="C2" s="1262" t="s">
        <v>1722</v>
      </c>
      <c r="D2" s="1263"/>
      <c r="E2" s="1263"/>
      <c r="F2" s="1264"/>
      <c r="G2" s="1265" t="s">
        <v>1723</v>
      </c>
      <c r="H2" s="1265" t="s">
        <v>1724</v>
      </c>
      <c r="I2" s="1265"/>
      <c r="K2" s="1326"/>
      <c r="L2" s="1327" t="s">
        <v>1725</v>
      </c>
      <c r="M2" s="1330" t="s">
        <v>1726</v>
      </c>
      <c r="N2" s="1331"/>
      <c r="O2" s="1331"/>
    </row>
    <row r="3" spans="1:15">
      <c r="A3" s="1265" t="s">
        <v>1727</v>
      </c>
      <c r="B3" s="1266" t="s">
        <v>329</v>
      </c>
      <c r="C3" s="1267">
        <f>ROUND('比较法-商业'!C48*'比较法-商业'!C33,0)</f>
        <v>18937622</v>
      </c>
      <c r="D3" s="1268"/>
      <c r="E3" s="1268"/>
      <c r="F3" s="1269"/>
      <c r="G3" s="1265" t="s">
        <v>1728</v>
      </c>
      <c r="H3" s="1266" t="s">
        <v>1729</v>
      </c>
      <c r="I3" s="1332">
        <f>'数据-基础表'!I13</f>
        <v>349.48</v>
      </c>
      <c r="J3" s="1258">
        <f>C3/I3</f>
        <v>54187.9993132654</v>
      </c>
      <c r="K3" s="1326"/>
      <c r="L3" s="1327" t="s">
        <v>1730</v>
      </c>
      <c r="M3" s="1330" t="s">
        <v>1731</v>
      </c>
      <c r="N3" s="1331"/>
      <c r="O3" s="1331"/>
    </row>
    <row r="4" spans="1:15">
      <c r="A4" s="1265" t="s">
        <v>1732</v>
      </c>
      <c r="B4" s="1266" t="s">
        <v>1733</v>
      </c>
      <c r="C4" s="1270">
        <f>ROUND(C3*(I4-I6)/(1-((1+I6)/(1+I4))^I5),0)</f>
        <v>1424280</v>
      </c>
      <c r="D4" s="1271"/>
      <c r="E4" s="1271"/>
      <c r="F4" s="1272"/>
      <c r="G4" s="1265" t="s">
        <v>1734</v>
      </c>
      <c r="H4" s="1273" t="s">
        <v>1735</v>
      </c>
      <c r="I4" s="1333">
        <v>0.055</v>
      </c>
      <c r="J4" s="1258">
        <f>'[1]比较法-商业'!C49*365/J3</f>
        <v>0.130001108903747</v>
      </c>
      <c r="K4" s="1326"/>
      <c r="L4" s="1327" t="s">
        <v>1736</v>
      </c>
      <c r="M4" s="1334">
        <f>ROUND(1-(1-M1)*M2/M3,2)</f>
        <v>0.58</v>
      </c>
      <c r="N4" s="1331"/>
      <c r="O4" s="1331"/>
    </row>
    <row r="5" s="1254" customFormat="1" ht="18" customHeight="1" spans="1:15">
      <c r="A5" s="1265"/>
      <c r="B5" s="1266"/>
      <c r="C5" s="1274"/>
      <c r="D5" s="1275"/>
      <c r="E5" s="1275"/>
      <c r="F5" s="1276"/>
      <c r="G5" s="1265"/>
      <c r="H5" s="1266" t="s">
        <v>1737</v>
      </c>
      <c r="I5" s="1335">
        <f>项目基本情况!E15</f>
        <v>18.56</v>
      </c>
      <c r="J5" s="1336"/>
      <c r="K5" s="1326"/>
      <c r="L5" s="1327" t="s">
        <v>1738</v>
      </c>
      <c r="M5" s="1337">
        <v>0.5</v>
      </c>
      <c r="N5" s="1331"/>
      <c r="O5" s="1331"/>
    </row>
    <row r="6" s="1254" customFormat="1" ht="18" customHeight="1" spans="1:16">
      <c r="A6" s="1265"/>
      <c r="B6" s="1266"/>
      <c r="C6" s="1277"/>
      <c r="D6" s="1278"/>
      <c r="E6" s="1278"/>
      <c r="F6" s="1279"/>
      <c r="G6" s="1265"/>
      <c r="H6" s="1266" t="s">
        <v>1739</v>
      </c>
      <c r="I6" s="1333">
        <v>0.02</v>
      </c>
      <c r="J6" s="1338"/>
      <c r="K6" s="1339" t="s">
        <v>1740</v>
      </c>
      <c r="L6" s="1340" t="s">
        <v>757</v>
      </c>
      <c r="M6" s="1341" t="s">
        <v>1741</v>
      </c>
      <c r="N6" s="1341" t="s">
        <v>1742</v>
      </c>
      <c r="O6" s="1341" t="s">
        <v>1743</v>
      </c>
      <c r="P6" s="1341" t="s">
        <v>1738</v>
      </c>
    </row>
    <row r="7" s="1254" customFormat="1" ht="17.25" customHeight="1" spans="1:16">
      <c r="A7" s="1265" t="s">
        <v>1744</v>
      </c>
      <c r="B7" s="1266" t="s">
        <v>1745</v>
      </c>
      <c r="C7" s="1262">
        <f>ROUND(C23*I7,0)</f>
        <v>1340075</v>
      </c>
      <c r="D7" s="1263"/>
      <c r="E7" s="1263"/>
      <c r="F7" s="1264"/>
      <c r="G7" s="1265" t="s">
        <v>1746</v>
      </c>
      <c r="H7" s="1266" t="s">
        <v>1747</v>
      </c>
      <c r="I7" s="1342">
        <f>'数据-取费表'!N19</f>
        <v>0.52</v>
      </c>
      <c r="K7" s="1339"/>
      <c r="L7" s="1340" t="s">
        <v>1748</v>
      </c>
      <c r="M7" s="1341">
        <v>100</v>
      </c>
      <c r="N7" s="1341" t="s">
        <v>1749</v>
      </c>
      <c r="O7" s="1341">
        <v>60</v>
      </c>
      <c r="P7" s="1343">
        <v>0.3</v>
      </c>
    </row>
    <row r="8" s="1254" customFormat="1" ht="23.25" customHeight="1" spans="1:16">
      <c r="A8" s="1260" t="s">
        <v>1750</v>
      </c>
      <c r="B8" s="1266" t="s">
        <v>1751</v>
      </c>
      <c r="C8" s="1262">
        <f>ROUND(I8*I3,0)</f>
        <v>1747400</v>
      </c>
      <c r="D8" s="1263"/>
      <c r="E8" s="1263"/>
      <c r="F8" s="1264"/>
      <c r="G8" s="1265" t="s">
        <v>1752</v>
      </c>
      <c r="H8" s="1266" t="s">
        <v>1753</v>
      </c>
      <c r="I8" s="1344">
        <v>5000</v>
      </c>
      <c r="J8" s="1345">
        <f t="shared" ref="J8:J10" si="0">D36</f>
        <v>12.89</v>
      </c>
      <c r="K8" s="1339"/>
      <c r="L8" s="1340" t="s">
        <v>1754</v>
      </c>
      <c r="M8" s="1341">
        <v>100</v>
      </c>
      <c r="N8" s="1341" t="s">
        <v>1749</v>
      </c>
      <c r="O8" s="1341">
        <v>60</v>
      </c>
      <c r="P8" s="1343">
        <v>0.5</v>
      </c>
    </row>
    <row r="9" s="1254" customFormat="1" ht="18" customHeight="1" spans="1:16">
      <c r="A9" s="1260" t="s">
        <v>1755</v>
      </c>
      <c r="B9" s="1266" t="s">
        <v>1756</v>
      </c>
      <c r="C9" s="1262">
        <f>ROUND(C8*H9,0)</f>
        <v>52422</v>
      </c>
      <c r="D9" s="1263"/>
      <c r="E9" s="1263"/>
      <c r="F9" s="1264"/>
      <c r="G9" s="1265" t="s">
        <v>1757</v>
      </c>
      <c r="H9" s="1280">
        <f>'[1]数据-取费表'!B33</f>
        <v>0.03</v>
      </c>
      <c r="I9" s="1280"/>
      <c r="J9" s="1345">
        <f t="shared" si="0"/>
        <v>8.91</v>
      </c>
      <c r="K9" s="1339"/>
      <c r="L9" s="1340" t="s">
        <v>1758</v>
      </c>
      <c r="M9" s="1341">
        <v>100</v>
      </c>
      <c r="N9" s="1341" t="s">
        <v>1749</v>
      </c>
      <c r="O9" s="1341">
        <v>60</v>
      </c>
      <c r="P9" s="1343">
        <f>1-P7-P8</f>
        <v>0.2</v>
      </c>
    </row>
    <row r="10" s="1254" customFormat="1" ht="18" customHeight="1" spans="1:16">
      <c r="A10" s="1260" t="s">
        <v>1759</v>
      </c>
      <c r="B10" s="1266" t="s">
        <v>1760</v>
      </c>
      <c r="C10" s="1262">
        <f>ROUND(C8*H10,0)</f>
        <v>0</v>
      </c>
      <c r="D10" s="1263"/>
      <c r="E10" s="1263"/>
      <c r="F10" s="1264"/>
      <c r="G10" s="1265" t="s">
        <v>1757</v>
      </c>
      <c r="H10" s="1280">
        <v>0</v>
      </c>
      <c r="I10" s="1280"/>
      <c r="J10" s="1345">
        <f t="shared" si="0"/>
        <v>11.7</v>
      </c>
      <c r="K10" s="1339"/>
      <c r="L10" s="1346" t="s">
        <v>1738</v>
      </c>
      <c r="M10" s="1347">
        <f>1-M5</f>
        <v>0.5</v>
      </c>
      <c r="N10" s="1341" t="s">
        <v>1736</v>
      </c>
      <c r="O10" s="1348">
        <f>ROUND((O7*P7+O8*P8+O9*P9)/100,2)</f>
        <v>0.6</v>
      </c>
      <c r="P10" s="1349"/>
    </row>
    <row r="11" s="1254" customFormat="1" ht="29.25" customHeight="1" spans="1:14">
      <c r="A11" s="1260" t="s">
        <v>1761</v>
      </c>
      <c r="B11" s="1266" t="s">
        <v>1762</v>
      </c>
      <c r="C11" s="1262">
        <f>ROUND(I11*I3,0)</f>
        <v>69896</v>
      </c>
      <c r="D11" s="1263"/>
      <c r="E11" s="1263"/>
      <c r="F11" s="1264"/>
      <c r="G11" s="1265" t="s">
        <v>1763</v>
      </c>
      <c r="H11" s="1266" t="s">
        <v>1764</v>
      </c>
      <c r="I11" s="1265">
        <f>'[1]数据-取费表'!B35</f>
        <v>200</v>
      </c>
      <c r="J11" s="1336"/>
      <c r="K11" s="1258"/>
      <c r="L11" s="1258"/>
      <c r="N11" s="1254">
        <f>(M4+O10)/2</f>
        <v>0.59</v>
      </c>
    </row>
    <row r="12" s="1254" customFormat="1" ht="18" customHeight="1" spans="1:12">
      <c r="A12" s="1260" t="s">
        <v>1765</v>
      </c>
      <c r="B12" s="1266" t="s">
        <v>1766</v>
      </c>
      <c r="C12" s="1262">
        <f>ROUND(C8*H12,0)</f>
        <v>26211</v>
      </c>
      <c r="D12" s="1263"/>
      <c r="E12" s="1263"/>
      <c r="F12" s="1264"/>
      <c r="G12" s="1265" t="s">
        <v>1757</v>
      </c>
      <c r="H12" s="1280">
        <f>'[1]数据-取费表'!B36</f>
        <v>0.015</v>
      </c>
      <c r="I12" s="1280"/>
      <c r="J12" s="1350" t="s">
        <v>1767</v>
      </c>
      <c r="L12" s="1351"/>
    </row>
    <row r="13" s="1254" customFormat="1" ht="18" customHeight="1" spans="1:12">
      <c r="A13" s="1260" t="s">
        <v>1251</v>
      </c>
      <c r="B13" s="1266" t="s">
        <v>1768</v>
      </c>
      <c r="C13" s="1262">
        <f>SUM(C8:F12)</f>
        <v>1895929</v>
      </c>
      <c r="D13" s="1263"/>
      <c r="E13" s="1263"/>
      <c r="F13" s="1264"/>
      <c r="G13" s="1265" t="s">
        <v>1769</v>
      </c>
      <c r="H13" s="1265"/>
      <c r="I13" s="1265"/>
      <c r="J13" s="1350" t="s">
        <v>1770</v>
      </c>
      <c r="L13" s="1351"/>
    </row>
    <row r="14" s="1254" customFormat="1" ht="18" customHeight="1" spans="1:12">
      <c r="A14" s="1260" t="s">
        <v>1771</v>
      </c>
      <c r="B14" s="1266" t="s">
        <v>1772</v>
      </c>
      <c r="C14" s="1262">
        <f>ROUND(C13*H14,0)</f>
        <v>37919</v>
      </c>
      <c r="D14" s="1263"/>
      <c r="E14" s="1263"/>
      <c r="F14" s="1264"/>
      <c r="G14" s="1265" t="s">
        <v>1773</v>
      </c>
      <c r="H14" s="1280">
        <v>0.02</v>
      </c>
      <c r="I14" s="1280"/>
      <c r="J14" s="1336"/>
      <c r="L14" s="1351"/>
    </row>
    <row r="15" s="1254" customFormat="1" ht="18" customHeight="1" spans="1:11">
      <c r="A15" s="1260" t="s">
        <v>1175</v>
      </c>
      <c r="B15" s="1266" t="s">
        <v>1774</v>
      </c>
      <c r="C15" s="1281">
        <f>H15</f>
        <v>0.02</v>
      </c>
      <c r="D15" s="1282"/>
      <c r="E15" s="1283" t="str">
        <f>E18</f>
        <v>V</v>
      </c>
      <c r="F15" s="1284"/>
      <c r="G15" s="1265" t="s">
        <v>1775</v>
      </c>
      <c r="H15" s="1280">
        <v>0.02</v>
      </c>
      <c r="I15" s="1280"/>
      <c r="J15" s="1352"/>
      <c r="K15" s="1353"/>
    </row>
    <row r="16" s="1254" customFormat="1" ht="18" customHeight="1" spans="1:11">
      <c r="A16" s="1285" t="s">
        <v>1213</v>
      </c>
      <c r="B16" s="1286" t="s">
        <v>1776</v>
      </c>
      <c r="C16" s="1262">
        <f>C17</f>
        <v>58015</v>
      </c>
      <c r="D16" s="1263" t="s">
        <v>1777</v>
      </c>
      <c r="E16" s="1287">
        <f>C18</f>
        <v>0.0006</v>
      </c>
      <c r="F16" s="1284" t="str">
        <f>E18</f>
        <v>V</v>
      </c>
      <c r="G16" s="1262" t="s">
        <v>1778</v>
      </c>
      <c r="H16" s="1263"/>
      <c r="I16" s="1264"/>
      <c r="J16" s="1336"/>
      <c r="K16" s="1258"/>
    </row>
    <row r="17" s="1254" customFormat="1" ht="18" customHeight="1" spans="1:12">
      <c r="A17" s="1260" t="s">
        <v>1779</v>
      </c>
      <c r="B17" s="1266" t="s">
        <v>1780</v>
      </c>
      <c r="C17" s="1262">
        <f>ROUND((C13+C14)*I18*(I17/2),0)</f>
        <v>58015</v>
      </c>
      <c r="D17" s="1263"/>
      <c r="E17" s="1263"/>
      <c r="F17" s="1264"/>
      <c r="G17" s="1262" t="s">
        <v>1781</v>
      </c>
      <c r="H17" s="1266" t="s">
        <v>1782</v>
      </c>
      <c r="I17" s="1265">
        <f>'[1]数据-取费表'!B21</f>
        <v>2</v>
      </c>
      <c r="J17" s="1350" t="s">
        <v>1783</v>
      </c>
      <c r="K17" s="1258"/>
      <c r="L17" s="1258"/>
    </row>
    <row r="18" s="1254" customFormat="1" ht="18" customHeight="1" spans="1:12">
      <c r="A18" s="1260" t="s">
        <v>1784</v>
      </c>
      <c r="B18" s="1266" t="s">
        <v>1785</v>
      </c>
      <c r="C18" s="1288">
        <f>H15*I18*I17/2</f>
        <v>0.0006</v>
      </c>
      <c r="D18" s="1289"/>
      <c r="E18" s="1283" t="s">
        <v>1786</v>
      </c>
      <c r="F18" s="1284"/>
      <c r="G18" s="1262" t="s">
        <v>1787</v>
      </c>
      <c r="H18" s="1266" t="s">
        <v>1788</v>
      </c>
      <c r="I18" s="1297">
        <v>0.03</v>
      </c>
      <c r="J18" s="1350" t="s">
        <v>1789</v>
      </c>
      <c r="K18" s="1258"/>
      <c r="L18" s="1258"/>
    </row>
    <row r="19" s="1254" customFormat="1" ht="27" customHeight="1" spans="1:21">
      <c r="A19" s="1260" t="s">
        <v>1219</v>
      </c>
      <c r="B19" s="1266" t="s">
        <v>1790</v>
      </c>
      <c r="C19" s="1262">
        <f>C20</f>
        <v>386770</v>
      </c>
      <c r="D19" s="1263" t="s">
        <v>1777</v>
      </c>
      <c r="E19" s="1263">
        <f>C21</f>
        <v>0.004</v>
      </c>
      <c r="F19" s="1284" t="str">
        <f>E21</f>
        <v>V</v>
      </c>
      <c r="G19" s="1262" t="s">
        <v>1791</v>
      </c>
      <c r="H19" s="1263"/>
      <c r="I19" s="1264"/>
      <c r="J19" s="1336"/>
      <c r="K19" s="1258"/>
      <c r="L19" s="1258"/>
      <c r="U19" s="1254" t="s">
        <v>1792</v>
      </c>
    </row>
    <row r="20" s="1254" customFormat="1" ht="26.25" customHeight="1" spans="1:21">
      <c r="A20" s="1260" t="s">
        <v>1793</v>
      </c>
      <c r="B20" s="1266" t="s">
        <v>1794</v>
      </c>
      <c r="C20" s="1262">
        <f>ROUND((C13+C14)*I20,0)</f>
        <v>386770</v>
      </c>
      <c r="D20" s="1263"/>
      <c r="E20" s="1263"/>
      <c r="F20" s="1264"/>
      <c r="G20" s="1265" t="s">
        <v>1795</v>
      </c>
      <c r="H20" s="1290" t="s">
        <v>1796</v>
      </c>
      <c r="I20" s="1354">
        <v>0.2</v>
      </c>
      <c r="J20" s="1350" t="s">
        <v>1797</v>
      </c>
      <c r="K20" s="1258"/>
      <c r="L20" s="1258"/>
      <c r="R20" s="1367" t="s">
        <v>753</v>
      </c>
      <c r="S20" s="1367">
        <v>15</v>
      </c>
      <c r="T20" s="1367">
        <v>10</v>
      </c>
      <c r="U20" s="1368">
        <f>ROUND(U21*U22/365,2)</f>
        <v>8.91</v>
      </c>
    </row>
    <row r="21" s="1254" customFormat="1" ht="27" customHeight="1" spans="1:21">
      <c r="A21" s="1260" t="s">
        <v>1793</v>
      </c>
      <c r="B21" s="1266" t="s">
        <v>1798</v>
      </c>
      <c r="C21" s="1281">
        <f>H15*I20</f>
        <v>0.004</v>
      </c>
      <c r="D21" s="1282"/>
      <c r="E21" s="1283" t="s">
        <v>1786</v>
      </c>
      <c r="F21" s="1284"/>
      <c r="G21" s="1265" t="s">
        <v>1799</v>
      </c>
      <c r="H21" s="1291"/>
      <c r="I21" s="1354"/>
      <c r="J21" s="1336"/>
      <c r="K21" s="1258"/>
      <c r="L21" s="1258"/>
      <c r="R21" s="1367" t="s">
        <v>1800</v>
      </c>
      <c r="S21" s="1367">
        <f>S20*365*0.8/S22</f>
        <v>87600</v>
      </c>
      <c r="T21" s="1367">
        <v>50000</v>
      </c>
      <c r="U21" s="1367">
        <f>'比较法-商业'!C49</f>
        <v>54188</v>
      </c>
    </row>
    <row r="22" s="1254" customFormat="1" ht="18" customHeight="1" spans="1:21">
      <c r="A22" s="1260" t="s">
        <v>1231</v>
      </c>
      <c r="B22" s="1266" t="s">
        <v>1801</v>
      </c>
      <c r="C22" s="1281">
        <f>ROUND(H22/1.05,4)</f>
        <v>0.0524</v>
      </c>
      <c r="D22" s="1282"/>
      <c r="E22" s="1283" t="s">
        <v>1786</v>
      </c>
      <c r="F22" s="1284"/>
      <c r="G22" s="1265" t="s">
        <v>1802</v>
      </c>
      <c r="H22" s="1280">
        <f>'[1]数据-取费表'!B41</f>
        <v>0.055</v>
      </c>
      <c r="I22" s="1280"/>
      <c r="J22" s="1355"/>
      <c r="K22" s="1258"/>
      <c r="L22" s="1258"/>
      <c r="R22" s="1367" t="s">
        <v>755</v>
      </c>
      <c r="S22" s="1369">
        <v>0.05</v>
      </c>
      <c r="T22" s="1369">
        <f>T20*365*0.8/T21</f>
        <v>0.0584</v>
      </c>
      <c r="U22" s="1370">
        <v>0.06</v>
      </c>
    </row>
    <row r="23" s="1254" customFormat="1" ht="18" customHeight="1" spans="1:12">
      <c r="A23" s="1260" t="s">
        <v>1803</v>
      </c>
      <c r="B23" s="1266" t="s">
        <v>1804</v>
      </c>
      <c r="C23" s="1262">
        <f>ROUND((C13+C14+C17+C20)/(1-H15-C18-C21-C22),0)</f>
        <v>2577067</v>
      </c>
      <c r="D23" s="1263"/>
      <c r="E23" s="1263"/>
      <c r="F23" s="1264"/>
      <c r="G23" s="1262" t="s">
        <v>1805</v>
      </c>
      <c r="H23" s="1263"/>
      <c r="I23" s="1264"/>
      <c r="J23" s="1355"/>
      <c r="K23" s="1258"/>
      <c r="L23" s="1258"/>
    </row>
    <row r="24" s="1254" customFormat="1" ht="18" customHeight="1" spans="1:12">
      <c r="A24" s="1260" t="s">
        <v>1806</v>
      </c>
      <c r="B24" s="1266" t="s">
        <v>1807</v>
      </c>
      <c r="C24" s="1281">
        <f>C27+C28</f>
        <v>14225</v>
      </c>
      <c r="D24" s="1292" t="s">
        <v>1808</v>
      </c>
      <c r="E24" s="1293">
        <f>H29+E26+H25</f>
        <v>0.179285714285714</v>
      </c>
      <c r="F24" s="1294"/>
      <c r="G24" s="1265" t="s">
        <v>1809</v>
      </c>
      <c r="H24" s="1265"/>
      <c r="I24" s="1265"/>
      <c r="J24" s="1355"/>
      <c r="K24" s="1356">
        <f>C4/C30</f>
        <v>0.812598274252773</v>
      </c>
      <c r="L24" s="1258"/>
    </row>
    <row r="25" s="1254" customFormat="1" ht="18" customHeight="1" spans="1:12">
      <c r="A25" s="1260" t="s">
        <v>1251</v>
      </c>
      <c r="B25" s="1266" t="s">
        <v>1810</v>
      </c>
      <c r="C25" s="1281" t="s">
        <v>1811</v>
      </c>
      <c r="D25" s="1282"/>
      <c r="E25" s="1295">
        <f>ROUND(H25/1.05,4)</f>
        <v>0.0524</v>
      </c>
      <c r="F25" s="1296"/>
      <c r="G25" s="1265" t="s">
        <v>1812</v>
      </c>
      <c r="H25" s="1297">
        <f>'[1]数据-取费表'!B41</f>
        <v>0.055</v>
      </c>
      <c r="I25" s="1297"/>
      <c r="J25" s="1352"/>
      <c r="K25" s="1258"/>
      <c r="L25" s="1258"/>
    </row>
    <row r="26" s="1254" customFormat="1" ht="18" customHeight="1" spans="1:13">
      <c r="A26" s="1260" t="s">
        <v>1771</v>
      </c>
      <c r="B26" s="1266" t="s">
        <v>1813</v>
      </c>
      <c r="C26" s="1281" t="s">
        <v>1811</v>
      </c>
      <c r="D26" s="1282"/>
      <c r="E26" s="1298">
        <f>H26/1.05</f>
        <v>0.114285714285714</v>
      </c>
      <c r="F26" s="1299"/>
      <c r="G26" s="1265"/>
      <c r="H26" s="1300">
        <f>'[1]数据-取费表'!B51</f>
        <v>0.12</v>
      </c>
      <c r="I26" s="1357"/>
      <c r="J26" s="1352"/>
      <c r="K26" s="1258"/>
      <c r="L26" s="1258"/>
      <c r="M26" s="1358"/>
    </row>
    <row r="27" s="1254" customFormat="1" ht="18" customHeight="1" spans="1:14">
      <c r="A27" s="1260" t="s">
        <v>1175</v>
      </c>
      <c r="B27" s="1266" t="s">
        <v>1814</v>
      </c>
      <c r="C27" s="1262">
        <f>ROUND(C23*H27,0)</f>
        <v>12885</v>
      </c>
      <c r="D27" s="1263"/>
      <c r="E27" s="1263"/>
      <c r="F27" s="1264"/>
      <c r="G27" s="1265" t="s">
        <v>1815</v>
      </c>
      <c r="H27" s="1297">
        <v>0.005</v>
      </c>
      <c r="I27" s="1297"/>
      <c r="J27" s="1352"/>
      <c r="K27" s="1258"/>
      <c r="L27" s="1258"/>
      <c r="N27" s="1358"/>
    </row>
    <row r="28" s="1254" customFormat="1" ht="18" customHeight="1" spans="1:13">
      <c r="A28" s="1260" t="s">
        <v>1213</v>
      </c>
      <c r="B28" s="1266" t="s">
        <v>1816</v>
      </c>
      <c r="C28" s="1262">
        <f>ROUND(C7*H28,0)</f>
        <v>1340</v>
      </c>
      <c r="D28" s="1263"/>
      <c r="E28" s="1263"/>
      <c r="F28" s="1264"/>
      <c r="G28" s="1265" t="s">
        <v>1817</v>
      </c>
      <c r="H28" s="1301">
        <v>0.001</v>
      </c>
      <c r="I28" s="1301"/>
      <c r="J28" s="1336"/>
      <c r="K28" s="1258"/>
      <c r="L28" s="1258"/>
      <c r="M28" s="1359"/>
    </row>
    <row r="29" s="1254" customFormat="1" ht="18" customHeight="1" spans="1:12">
      <c r="A29" s="1260" t="s">
        <v>1219</v>
      </c>
      <c r="B29" s="1266" t="s">
        <v>1772</v>
      </c>
      <c r="C29" s="1281" t="s">
        <v>1811</v>
      </c>
      <c r="D29" s="1282"/>
      <c r="E29" s="1302">
        <f>H29</f>
        <v>0.01</v>
      </c>
      <c r="F29" s="1294"/>
      <c r="G29" s="1265" t="s">
        <v>1818</v>
      </c>
      <c r="H29" s="1297">
        <v>0.01</v>
      </c>
      <c r="I29" s="1297"/>
      <c r="J29" s="1360"/>
      <c r="K29" s="1258"/>
      <c r="L29" s="1258"/>
    </row>
    <row r="30" s="1254" customFormat="1" ht="18" customHeight="1" spans="1:12">
      <c r="A30" s="1265" t="s">
        <v>1819</v>
      </c>
      <c r="B30" s="1266" t="s">
        <v>1820</v>
      </c>
      <c r="C30" s="1262">
        <f>ROUND((C4+C24)/(1-E24),0)</f>
        <v>1752748</v>
      </c>
      <c r="D30" s="1263"/>
      <c r="E30" s="1263"/>
      <c r="F30" s="1264"/>
      <c r="G30" s="1265" t="s">
        <v>1821</v>
      </c>
      <c r="H30" s="1265"/>
      <c r="I30" s="1265"/>
      <c r="J30" s="1361" t="s">
        <v>1822</v>
      </c>
      <c r="K30" s="1258"/>
      <c r="L30" s="1258"/>
    </row>
    <row r="31" s="1254" customFormat="1" ht="18" customHeight="1" spans="1:12">
      <c r="A31" s="1265" t="s">
        <v>1823</v>
      </c>
      <c r="B31" s="1266" t="s">
        <v>1824</v>
      </c>
      <c r="C31" s="1303">
        <f>ROUND(C30/I31/I32/I3,2)</f>
        <v>15.27</v>
      </c>
      <c r="D31" s="1304"/>
      <c r="E31" s="1304"/>
      <c r="F31" s="1305"/>
      <c r="G31" s="1265" t="s">
        <v>1825</v>
      </c>
      <c r="H31" s="1266" t="s">
        <v>1826</v>
      </c>
      <c r="I31" s="1265">
        <v>365</v>
      </c>
      <c r="J31" s="1362"/>
      <c r="K31" s="1258"/>
      <c r="L31" s="1258"/>
    </row>
    <row r="32" s="1254" customFormat="1" ht="18" customHeight="1" spans="1:12">
      <c r="A32" s="1265"/>
      <c r="B32" s="1266"/>
      <c r="C32" s="1306"/>
      <c r="D32" s="1307"/>
      <c r="E32" s="1307"/>
      <c r="F32" s="1308"/>
      <c r="G32" s="1265"/>
      <c r="H32" s="1266" t="s">
        <v>1827</v>
      </c>
      <c r="I32" s="1354">
        <v>0.9</v>
      </c>
      <c r="J32" s="1363" t="s">
        <v>1437</v>
      </c>
      <c r="K32" s="1258"/>
      <c r="L32" s="1364"/>
    </row>
    <row r="33" s="1254" customFormat="1" ht="18" customHeight="1" spans="1:12">
      <c r="A33" s="1255"/>
      <c r="B33" s="1256"/>
      <c r="C33" s="1255"/>
      <c r="D33" s="1255"/>
      <c r="E33" s="1255"/>
      <c r="F33" s="1255"/>
      <c r="G33" s="1257"/>
      <c r="H33" s="1255"/>
      <c r="I33" s="1255"/>
      <c r="J33" s="1336" t="s">
        <v>1437</v>
      </c>
      <c r="K33" s="1258"/>
      <c r="L33" s="1364"/>
    </row>
    <row r="34" s="1254" customFormat="1" ht="18" customHeight="1" spans="1:13">
      <c r="A34" s="1255"/>
      <c r="B34" s="1309" t="s">
        <v>1828</v>
      </c>
      <c r="C34" s="1309"/>
      <c r="D34" s="1309"/>
      <c r="E34" s="1309"/>
      <c r="F34" s="1309"/>
      <c r="G34" s="1310"/>
      <c r="H34" s="1311"/>
      <c r="I34" s="1365"/>
      <c r="J34" s="1336"/>
      <c r="K34" s="1258"/>
      <c r="L34" s="1258"/>
      <c r="M34" s="1255"/>
    </row>
    <row r="35" s="1254" customFormat="1" ht="18" customHeight="1" spans="1:13">
      <c r="A35" s="1255"/>
      <c r="B35" s="1312" t="s">
        <v>1829</v>
      </c>
      <c r="C35" s="1312" t="s">
        <v>1738</v>
      </c>
      <c r="D35" s="1312" t="s">
        <v>1830</v>
      </c>
      <c r="E35" s="1312"/>
      <c r="F35" s="1312"/>
      <c r="G35" s="1310"/>
      <c r="H35" s="1311"/>
      <c r="I35" s="1255"/>
      <c r="J35" s="1355"/>
      <c r="K35" s="1255"/>
      <c r="L35" s="1255"/>
      <c r="M35" s="1255"/>
    </row>
    <row r="36" spans="2:12">
      <c r="B36" s="1312" t="s">
        <v>1831</v>
      </c>
      <c r="C36" s="1313">
        <v>0.7</v>
      </c>
      <c r="D36" s="1314">
        <f>'比较法-商业租金'!C48</f>
        <v>12.89</v>
      </c>
      <c r="E36" s="1314"/>
      <c r="F36" s="1314"/>
      <c r="G36" s="1310"/>
      <c r="H36" s="1311"/>
      <c r="K36" s="1255"/>
      <c r="L36" s="1255"/>
    </row>
    <row r="37" ht="20.1" customHeight="1" spans="2:12">
      <c r="B37" s="1312" t="s">
        <v>1718</v>
      </c>
      <c r="C37" s="1313">
        <v>0.3</v>
      </c>
      <c r="D37" s="1314">
        <f>U20</f>
        <v>8.91</v>
      </c>
      <c r="E37" s="1314"/>
      <c r="F37" s="1314"/>
      <c r="G37" s="1315">
        <f>(D37-D36)/D37</f>
        <v>-0.44668911335578</v>
      </c>
      <c r="H37" s="1316"/>
      <c r="I37" s="1366"/>
      <c r="J37" s="1255"/>
      <c r="K37" s="1255"/>
      <c r="L37" s="1255"/>
    </row>
    <row r="38" ht="22.5" customHeight="1" spans="2:12">
      <c r="B38" s="1312" t="s">
        <v>1832</v>
      </c>
      <c r="C38" s="1312"/>
      <c r="D38" s="1317">
        <f>ROUND(D36*C36+D37*C37,2)</f>
        <v>11.7</v>
      </c>
      <c r="E38" s="1318"/>
      <c r="F38" s="1319"/>
      <c r="G38" s="1310">
        <f>ROUND(D38*365/12,0)</f>
        <v>356</v>
      </c>
      <c r="H38" s="1316"/>
      <c r="I38" s="1366"/>
      <c r="J38" s="1255"/>
      <c r="K38" s="1255"/>
      <c r="L38" s="1255"/>
    </row>
    <row r="39" ht="22.5" customHeight="1" spans="2:12">
      <c r="B39" s="1312" t="s">
        <v>1833</v>
      </c>
      <c r="C39" s="1320">
        <f>ROUND(D38*0.9,2)</f>
        <v>10.53</v>
      </c>
      <c r="D39" s="1320" t="s">
        <v>1834</v>
      </c>
      <c r="E39" s="1320">
        <f>ROUND(D38*1.1,2)</f>
        <v>12.87</v>
      </c>
      <c r="F39" s="1320"/>
      <c r="G39" s="1310"/>
      <c r="H39" s="1321"/>
      <c r="J39" s="1255"/>
      <c r="K39" s="1255"/>
      <c r="L39" s="1255"/>
    </row>
    <row r="40" ht="18" customHeight="1" spans="2:12">
      <c r="B40" s="1312" t="s">
        <v>1835</v>
      </c>
      <c r="C40" s="1322">
        <f>ROUND(C39*365/12,0)</f>
        <v>320</v>
      </c>
      <c r="D40" s="1320" t="s">
        <v>1834</v>
      </c>
      <c r="E40" s="1322">
        <f>ROUND(E39*365/12,0)</f>
        <v>391</v>
      </c>
      <c r="F40" s="1322"/>
      <c r="G40" s="1323" t="s">
        <v>1836</v>
      </c>
      <c r="H40" s="1323">
        <f>ROUND(40*12/365,2)</f>
        <v>1.32</v>
      </c>
      <c r="J40" s="1255"/>
      <c r="K40" s="1255"/>
      <c r="L40" s="1255"/>
    </row>
    <row r="41" ht="18" customHeight="1" spans="2:10">
      <c r="B41" s="1324"/>
      <c r="C41" s="1325"/>
      <c r="D41" s="1311"/>
      <c r="E41" s="1311"/>
      <c r="F41" s="1311"/>
      <c r="G41" s="1310"/>
      <c r="H41" s="1311"/>
      <c r="J41" s="1255"/>
    </row>
    <row r="42" ht="18" customHeight="1" spans="2:10">
      <c r="B42" s="1310" t="s">
        <v>1837</v>
      </c>
      <c r="C42" s="1311"/>
      <c r="D42" s="1311"/>
      <c r="E42" s="1310" t="s">
        <v>1838</v>
      </c>
      <c r="F42" s="1311"/>
      <c r="G42" s="1310"/>
      <c r="H42" s="1310" t="s">
        <v>1839</v>
      </c>
      <c r="J42" s="1255"/>
    </row>
    <row r="43" ht="29.25" customHeight="1" spans="14:14">
      <c r="N43" s="1255" t="s">
        <v>1840</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M48" sqref="M48"/>
    </sheetView>
  </sheetViews>
  <sheetFormatPr defaultColWidth="9" defaultRowHeight="14.25"/>
  <cols>
    <col min="1" max="1" width="10.5" style="925" customWidth="1"/>
    <col min="2" max="2" width="15.75" style="925" customWidth="1"/>
    <col min="3" max="3" width="15.1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t="s">
        <v>1841</v>
      </c>
      <c r="E1" s="933" t="s">
        <v>1554</v>
      </c>
      <c r="F1" s="934" t="s">
        <v>1800</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54188</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957" t="s">
        <v>1473</v>
      </c>
      <c r="D5" s="958"/>
      <c r="E5" s="959" t="s">
        <v>1842</v>
      </c>
      <c r="F5" s="960"/>
      <c r="G5" s="959" t="s">
        <v>1843</v>
      </c>
      <c r="H5" s="960"/>
      <c r="I5" s="1095" t="s">
        <v>1844</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W7" si="0">F7</f>
        <v>100</v>
      </c>
      <c r="T7" s="1158" t="s">
        <v>1481</v>
      </c>
      <c r="U7" s="1159">
        <f t="shared" si="0"/>
        <v>100</v>
      </c>
      <c r="V7" s="1158" t="s">
        <v>1481</v>
      </c>
      <c r="W7" s="1159">
        <f t="shared" si="0"/>
        <v>100</v>
      </c>
      <c r="X7" s="1160"/>
      <c r="Y7" s="1099" t="s">
        <v>1480</v>
      </c>
      <c r="Z7" s="1161"/>
      <c r="AA7" s="1175">
        <f t="shared" ref="AA7:AA15" si="1">D7/F7</f>
        <v>1</v>
      </c>
      <c r="AB7" s="1175">
        <f t="shared" ref="AB7:AB15" si="2">D7/H7</f>
        <v>1</v>
      </c>
      <c r="AC7" s="1175">
        <f t="shared" ref="AC7:AC15" si="3">D7/J7</f>
        <v>1</v>
      </c>
    </row>
    <row r="8" s="920" customFormat="1" ht="15.75" spans="1:29">
      <c r="A8" s="967" t="s">
        <v>1482</v>
      </c>
      <c r="B8" s="968"/>
      <c r="C8" s="973" t="s">
        <v>1559</v>
      </c>
      <c r="D8" s="970">
        <v>100</v>
      </c>
      <c r="E8" s="973" t="s">
        <v>1559</v>
      </c>
      <c r="F8" s="972">
        <f>SUMIF(61:61,E8,62:62)-SUMIF(61:61,C8,62:62)+100</f>
        <v>100</v>
      </c>
      <c r="G8" s="973" t="s">
        <v>1582</v>
      </c>
      <c r="H8" s="970">
        <f>SUMIF(61:61,G8,62:62)-SUMIF(61:61,C8,62:62)+100</f>
        <v>105</v>
      </c>
      <c r="I8" s="973" t="s">
        <v>1582</v>
      </c>
      <c r="J8" s="970">
        <f>SUMIF(61:61,I8,62:62)-SUMIF(61:61,C8,62:62)+100</f>
        <v>105</v>
      </c>
      <c r="K8" s="1096"/>
      <c r="L8" s="1097"/>
      <c r="M8" s="1098"/>
      <c r="N8" s="1098"/>
      <c r="O8" s="1098"/>
      <c r="P8" s="1099" t="s">
        <v>1483</v>
      </c>
      <c r="Q8" s="1161"/>
      <c r="R8" s="1158" t="s">
        <v>1481</v>
      </c>
      <c r="S8" s="1159">
        <f t="shared" ref="S8:W8" si="4">F8</f>
        <v>100</v>
      </c>
      <c r="T8" s="1158" t="s">
        <v>1481</v>
      </c>
      <c r="U8" s="1159">
        <f t="shared" si="4"/>
        <v>105</v>
      </c>
      <c r="V8" s="1158" t="s">
        <v>1481</v>
      </c>
      <c r="W8" s="1159">
        <f t="shared" si="4"/>
        <v>105</v>
      </c>
      <c r="X8" s="1160"/>
      <c r="Y8" s="1099" t="s">
        <v>1483</v>
      </c>
      <c r="Z8" s="1161"/>
      <c r="AA8" s="1175">
        <f t="shared" si="1"/>
        <v>1</v>
      </c>
      <c r="AB8" s="1175">
        <f t="shared" si="2"/>
        <v>0.952380952380952</v>
      </c>
      <c r="AC8" s="1175">
        <f t="shared" si="3"/>
        <v>0.952380952380952</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5">B9</f>
        <v>用途</v>
      </c>
      <c r="R9" s="1158" t="s">
        <v>1481</v>
      </c>
      <c r="S9" s="1159">
        <f t="shared" ref="S9:W9" si="6">F9</f>
        <v>100</v>
      </c>
      <c r="T9" s="1158" t="s">
        <v>1481</v>
      </c>
      <c r="U9" s="1159">
        <f t="shared" si="6"/>
        <v>100</v>
      </c>
      <c r="V9" s="1158" t="s">
        <v>1481</v>
      </c>
      <c r="W9" s="1159">
        <f t="shared" si="6"/>
        <v>100</v>
      </c>
      <c r="X9" s="1160"/>
      <c r="Y9" s="815" t="s">
        <v>1487</v>
      </c>
      <c r="Z9" s="1175" t="str">
        <f t="shared" ref="Z9:Z15" si="7">Q9</f>
        <v>用途</v>
      </c>
      <c r="AA9" s="1175">
        <f t="shared" si="1"/>
        <v>1</v>
      </c>
      <c r="AB9" s="1175">
        <f t="shared" si="2"/>
        <v>1</v>
      </c>
      <c r="AC9" s="1175">
        <f t="shared" si="3"/>
        <v>1</v>
      </c>
    </row>
    <row r="10" s="921" customFormat="1" ht="27" spans="1:29">
      <c r="A10" s="979"/>
      <c r="B10" s="980" t="s">
        <v>1488</v>
      </c>
      <c r="C10" s="981" t="s">
        <v>1845</v>
      </c>
      <c r="D10" s="982">
        <v>100</v>
      </c>
      <c r="E10" s="983" t="s">
        <v>1846</v>
      </c>
      <c r="F10" s="980">
        <f>SUMIF(65:65,E10,66:66)-SUMIF(65:65,C10,66:66)+100</f>
        <v>102</v>
      </c>
      <c r="G10" s="981" t="s">
        <v>1845</v>
      </c>
      <c r="H10" s="982">
        <f>SUMIF(65:65,G10,66:66)-SUMIF(65:65,C10,66:66)+100</f>
        <v>100</v>
      </c>
      <c r="I10" s="981" t="s">
        <v>1845</v>
      </c>
      <c r="J10" s="982">
        <f>SUMIF(65:65,I10,66:66)-SUMIF(65:65,C10,66:66)+100</f>
        <v>100</v>
      </c>
      <c r="K10" s="1096"/>
      <c r="L10" s="1101"/>
      <c r="M10" s="1102"/>
      <c r="N10" s="1102"/>
      <c r="O10" s="1102"/>
      <c r="P10" s="1100"/>
      <c r="Q10" s="815" t="str">
        <f t="shared" si="5"/>
        <v>土地使用年限（年）</v>
      </c>
      <c r="R10" s="1158" t="s">
        <v>1481</v>
      </c>
      <c r="S10" s="1159">
        <f t="shared" ref="S10:W10" si="8">F10</f>
        <v>102</v>
      </c>
      <c r="T10" s="1158" t="s">
        <v>1481</v>
      </c>
      <c r="U10" s="1159">
        <f t="shared" si="8"/>
        <v>100</v>
      </c>
      <c r="V10" s="1158" t="s">
        <v>1481</v>
      </c>
      <c r="W10" s="1159">
        <f t="shared" si="8"/>
        <v>100</v>
      </c>
      <c r="X10" s="1160"/>
      <c r="Y10" s="815"/>
      <c r="Z10" s="1175" t="str">
        <f t="shared" si="7"/>
        <v>土地使用年限（年）</v>
      </c>
      <c r="AA10" s="1175">
        <f t="shared" si="1"/>
        <v>0.980392156862745</v>
      </c>
      <c r="AB10" s="1175">
        <f t="shared" si="2"/>
        <v>1</v>
      </c>
      <c r="AC10" s="1175">
        <f t="shared" si="3"/>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5"/>
        <v>容积率</v>
      </c>
      <c r="R11" s="1158" t="s">
        <v>1481</v>
      </c>
      <c r="S11" s="1159">
        <f t="shared" ref="S11:W11" si="9">F11</f>
        <v>100</v>
      </c>
      <c r="T11" s="1158" t="s">
        <v>1481</v>
      </c>
      <c r="U11" s="1159">
        <f t="shared" si="9"/>
        <v>100</v>
      </c>
      <c r="V11" s="1158" t="s">
        <v>1481</v>
      </c>
      <c r="W11" s="1159">
        <f t="shared" si="9"/>
        <v>100</v>
      </c>
      <c r="X11" s="1160"/>
      <c r="Y11" s="815"/>
      <c r="Z11" s="1175" t="str">
        <f t="shared" si="7"/>
        <v>容积率</v>
      </c>
      <c r="AA11" s="1175">
        <f t="shared" si="1"/>
        <v>1</v>
      </c>
      <c r="AB11" s="1175">
        <f t="shared" si="2"/>
        <v>1</v>
      </c>
      <c r="AC11" s="1175">
        <f t="shared" si="3"/>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5"/>
        <v>111</v>
      </c>
      <c r="R12" s="1158" t="s">
        <v>1481</v>
      </c>
      <c r="S12" s="1159">
        <f t="shared" ref="S12:W12" si="10">F12</f>
        <v>100</v>
      </c>
      <c r="T12" s="1158" t="s">
        <v>1481</v>
      </c>
      <c r="U12" s="1159">
        <f t="shared" si="10"/>
        <v>100</v>
      </c>
      <c r="V12" s="1158" t="s">
        <v>1481</v>
      </c>
      <c r="W12" s="1159">
        <f t="shared" si="10"/>
        <v>100</v>
      </c>
      <c r="X12" s="1160"/>
      <c r="Y12" s="815"/>
      <c r="Z12" s="1175">
        <f t="shared" si="7"/>
        <v>111</v>
      </c>
      <c r="AA12" s="1175">
        <f t="shared" si="1"/>
        <v>1</v>
      </c>
      <c r="AB12" s="1175">
        <f t="shared" si="2"/>
        <v>1</v>
      </c>
      <c r="AC12" s="1175">
        <f t="shared" si="3"/>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5"/>
        <v>111</v>
      </c>
      <c r="R13" s="1158" t="s">
        <v>1481</v>
      </c>
      <c r="S13" s="1159">
        <f t="shared" ref="S13:W13" si="11">F13</f>
        <v>100</v>
      </c>
      <c r="T13" s="1158" t="s">
        <v>1481</v>
      </c>
      <c r="U13" s="1159">
        <f t="shared" si="11"/>
        <v>100</v>
      </c>
      <c r="V13" s="1158" t="s">
        <v>1481</v>
      </c>
      <c r="W13" s="1159">
        <f t="shared" si="11"/>
        <v>100</v>
      </c>
      <c r="X13" s="1160"/>
      <c r="Y13" s="815"/>
      <c r="Z13" s="1175">
        <f t="shared" si="7"/>
        <v>111</v>
      </c>
      <c r="AA13" s="1175">
        <f t="shared" si="1"/>
        <v>1</v>
      </c>
      <c r="AB13" s="1175">
        <f t="shared" si="2"/>
        <v>1</v>
      </c>
      <c r="AC13" s="1175">
        <f t="shared" si="3"/>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5"/>
        <v>111</v>
      </c>
      <c r="R14" s="1158" t="s">
        <v>1481</v>
      </c>
      <c r="S14" s="1159">
        <f t="shared" ref="S14:W14" si="12">F14</f>
        <v>100</v>
      </c>
      <c r="T14" s="1158" t="s">
        <v>1481</v>
      </c>
      <c r="U14" s="1159">
        <f t="shared" si="12"/>
        <v>100</v>
      </c>
      <c r="V14" s="1158" t="s">
        <v>1481</v>
      </c>
      <c r="W14" s="1159">
        <f t="shared" si="12"/>
        <v>100</v>
      </c>
      <c r="X14" s="1160"/>
      <c r="Y14" s="815"/>
      <c r="Z14" s="1175">
        <f t="shared" si="7"/>
        <v>111</v>
      </c>
      <c r="AA14" s="1175">
        <f t="shared" si="1"/>
        <v>1</v>
      </c>
      <c r="AB14" s="1175">
        <f t="shared" si="2"/>
        <v>1</v>
      </c>
      <c r="AC14" s="1175">
        <f t="shared" si="3"/>
        <v>1</v>
      </c>
    </row>
    <row r="15" ht="68.25" spans="1:29">
      <c r="A15" s="997" t="s">
        <v>1490</v>
      </c>
      <c r="B15" s="998" t="s">
        <v>1560</v>
      </c>
      <c r="C15" s="999" t="str">
        <f>估价对象房地状况!C4</f>
        <v>估价对象位于XX商圈，周边商业氛围成熟，人流量大，商业繁华度好</v>
      </c>
      <c r="D15" s="1000">
        <v>100</v>
      </c>
      <c r="E15" s="1001"/>
      <c r="F15" s="1002">
        <f t="shared" ref="F15:F19" si="13">SUMIF(76:76,E16,77:77)-SUMIF(76:76,C16,77:77)+100</f>
        <v>100</v>
      </c>
      <c r="G15" s="1003"/>
      <c r="H15" s="1000">
        <f t="shared" ref="H15:H19" si="14">SUMIF(76:76,G16,77:77)-SUMIF(76:76,C16,77:77)+100</f>
        <v>100</v>
      </c>
      <c r="I15" s="1001"/>
      <c r="J15" s="1000">
        <f t="shared" ref="J15:J19" si="15">SUMIF(76:76,I16,77:77)-SUMIF(76:76,C16,77:77)+100</f>
        <v>100</v>
      </c>
      <c r="K15" s="1107">
        <v>5</v>
      </c>
      <c r="L15" s="1106"/>
      <c r="M15" s="1054"/>
      <c r="N15" s="1054"/>
      <c r="O15" s="1054"/>
      <c r="P15" s="1010" t="s">
        <v>1492</v>
      </c>
      <c r="Q15" s="644" t="str">
        <f t="shared" si="5"/>
        <v>商业繁华度</v>
      </c>
      <c r="R15" s="1162" t="s">
        <v>1481</v>
      </c>
      <c r="S15" s="1163">
        <f t="shared" ref="S15:W15" si="16">F15</f>
        <v>100</v>
      </c>
      <c r="T15" s="1162" t="s">
        <v>1481</v>
      </c>
      <c r="U15" s="1163">
        <f t="shared" si="16"/>
        <v>100</v>
      </c>
      <c r="V15" s="1162" t="s">
        <v>1481</v>
      </c>
      <c r="W15" s="1163">
        <f t="shared" si="16"/>
        <v>100</v>
      </c>
      <c r="X15" s="1150"/>
      <c r="Y15" s="1176" t="s">
        <v>1492</v>
      </c>
      <c r="Z15" s="1149" t="str">
        <f t="shared" si="7"/>
        <v>商业繁华度</v>
      </c>
      <c r="AA15" s="1149">
        <f t="shared" si="1"/>
        <v>1</v>
      </c>
      <c r="AB15" s="1149">
        <f t="shared" si="2"/>
        <v>1</v>
      </c>
      <c r="AC15" s="1149">
        <f t="shared" si="3"/>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估价对象房地状况!C6</f>
        <v>估价对象周边道路状况、公共交通通达情况、停车便捷程度，综合评价交通便捷度较好</v>
      </c>
      <c r="D17" s="1008">
        <v>100</v>
      </c>
      <c r="E17" s="1011"/>
      <c r="F17" s="1012">
        <f t="shared" si="13"/>
        <v>103</v>
      </c>
      <c r="G17" s="1013"/>
      <c r="H17" s="1014">
        <f t="shared" si="14"/>
        <v>103</v>
      </c>
      <c r="I17" s="1011"/>
      <c r="J17" s="1014">
        <f t="shared" si="15"/>
        <v>103</v>
      </c>
      <c r="K17" s="1107">
        <v>3</v>
      </c>
      <c r="L17" s="1106"/>
      <c r="M17" s="1054"/>
      <c r="N17" s="1054"/>
      <c r="O17" s="1054"/>
      <c r="P17" s="1109"/>
      <c r="Q17" s="644" t="str">
        <f t="shared" ref="Q17:Q21" si="17">B17</f>
        <v>交通便捷度</v>
      </c>
      <c r="R17" s="1162" t="s">
        <v>1481</v>
      </c>
      <c r="S17" s="1163">
        <f t="shared" ref="S17:W17" si="18">F17</f>
        <v>103</v>
      </c>
      <c r="T17" s="1162" t="s">
        <v>1481</v>
      </c>
      <c r="U17" s="1163">
        <f t="shared" si="18"/>
        <v>103</v>
      </c>
      <c r="V17" s="1162" t="s">
        <v>1481</v>
      </c>
      <c r="W17" s="1163">
        <f t="shared" si="18"/>
        <v>103</v>
      </c>
      <c r="X17" s="1150"/>
      <c r="Y17" s="1177"/>
      <c r="Z17" s="1149" t="str">
        <f t="shared" ref="Z17:Z21" si="19">Q17</f>
        <v>交通便捷度</v>
      </c>
      <c r="AA17" s="1149">
        <f t="shared" ref="AA17:AA21" si="20">D17/F17</f>
        <v>0.970873786407767</v>
      </c>
      <c r="AB17" s="1149">
        <f t="shared" ref="AB17:AB21" si="21">D17/H17</f>
        <v>0.970873786407767</v>
      </c>
      <c r="AC17" s="1149">
        <f t="shared" ref="AC17:AC21" si="22">D17/J17</f>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 t="shared" si="13"/>
        <v>100</v>
      </c>
      <c r="G19" s="1019"/>
      <c r="H19" s="1008">
        <f t="shared" si="14"/>
        <v>100</v>
      </c>
      <c r="I19" s="1017"/>
      <c r="J19" s="1008">
        <f t="shared" si="15"/>
        <v>100</v>
      </c>
      <c r="K19" s="1107">
        <v>3</v>
      </c>
      <c r="L19" s="1106"/>
      <c r="M19" s="1054"/>
      <c r="N19" s="1054"/>
      <c r="O19" s="1054"/>
      <c r="P19" s="1109"/>
      <c r="Q19" s="644" t="str">
        <f t="shared" si="17"/>
        <v>公共配套设施</v>
      </c>
      <c r="R19" s="1162" t="s">
        <v>1481</v>
      </c>
      <c r="S19" s="1163">
        <f t="shared" ref="S19:W19" si="23">F19</f>
        <v>100</v>
      </c>
      <c r="T19" s="1162" t="s">
        <v>1481</v>
      </c>
      <c r="U19" s="1163">
        <f t="shared" si="23"/>
        <v>100</v>
      </c>
      <c r="V19" s="1162" t="s">
        <v>1481</v>
      </c>
      <c r="W19" s="1163">
        <f t="shared" si="23"/>
        <v>100</v>
      </c>
      <c r="X19" s="1150"/>
      <c r="Y19" s="1177"/>
      <c r="Z19" s="1149" t="str">
        <f t="shared" si="19"/>
        <v>公共配套设施</v>
      </c>
      <c r="AA19" s="1149">
        <f t="shared" si="20"/>
        <v>1</v>
      </c>
      <c r="AB19" s="1149">
        <f t="shared" si="21"/>
        <v>1</v>
      </c>
      <c r="AC19" s="1149">
        <f t="shared" si="22"/>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 t="shared" si="17"/>
        <v>基础设施水平</v>
      </c>
      <c r="R21" s="1162" t="s">
        <v>1481</v>
      </c>
      <c r="S21" s="1163">
        <f t="shared" ref="S21:W21" si="24">F21</f>
        <v>100</v>
      </c>
      <c r="T21" s="1162" t="s">
        <v>1481</v>
      </c>
      <c r="U21" s="1163">
        <f t="shared" si="24"/>
        <v>100</v>
      </c>
      <c r="V21" s="1162" t="s">
        <v>1481</v>
      </c>
      <c r="W21" s="1163">
        <f t="shared" si="24"/>
        <v>100</v>
      </c>
      <c r="X21" s="1150"/>
      <c r="Y21" s="1177"/>
      <c r="Z21" s="1149" t="str">
        <f t="shared" si="19"/>
        <v>基础设施水平</v>
      </c>
      <c r="AA21" s="1149">
        <f t="shared" si="20"/>
        <v>1</v>
      </c>
      <c r="AB21" s="1149">
        <f t="shared" si="21"/>
        <v>1</v>
      </c>
      <c r="AC21" s="1149">
        <f t="shared" si="22"/>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 t="shared" ref="Q23:Q46" si="25">B23</f>
        <v>自然及人文环境</v>
      </c>
      <c r="R23" s="1162" t="s">
        <v>1481</v>
      </c>
      <c r="S23" s="1163">
        <f t="shared" ref="S23:W23" si="26">F23</f>
        <v>102</v>
      </c>
      <c r="T23" s="1162" t="s">
        <v>1481</v>
      </c>
      <c r="U23" s="1163">
        <f t="shared" si="26"/>
        <v>102</v>
      </c>
      <c r="V23" s="1162" t="s">
        <v>1481</v>
      </c>
      <c r="W23" s="1163">
        <f t="shared" si="26"/>
        <v>100</v>
      </c>
      <c r="X23" s="1150"/>
      <c r="Y23" s="1177"/>
      <c r="Z23" s="1149" t="str">
        <f t="shared" ref="Z23:Z46" si="27">Q23</f>
        <v>自然及人文环境</v>
      </c>
      <c r="AA23" s="1149">
        <f t="shared" ref="AA23:AA46" si="28">D23/F23</f>
        <v>0.980392156862745</v>
      </c>
      <c r="AB23" s="1149">
        <f t="shared" ref="AB23:AB46" si="29">D23/H23</f>
        <v>0.980392156862745</v>
      </c>
      <c r="AC23" s="1149">
        <f t="shared" ref="AC23:AC46" si="30">D23/J23</f>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si="25"/>
        <v>临街状况</v>
      </c>
      <c r="R25" s="1162" t="s">
        <v>1481</v>
      </c>
      <c r="S25" s="1163">
        <f t="shared" ref="S25:W25" si="31">F25</f>
        <v>100</v>
      </c>
      <c r="T25" s="1162" t="s">
        <v>1481</v>
      </c>
      <c r="U25" s="1163">
        <f t="shared" si="31"/>
        <v>100</v>
      </c>
      <c r="V25" s="1162" t="s">
        <v>1481</v>
      </c>
      <c r="W25" s="1163">
        <f t="shared" si="31"/>
        <v>100</v>
      </c>
      <c r="X25" s="1150"/>
      <c r="Y25" s="1177"/>
      <c r="Z25" s="1149" t="str">
        <f t="shared" si="27"/>
        <v>临街状况</v>
      </c>
      <c r="AA25" s="1149">
        <f t="shared" si="28"/>
        <v>1</v>
      </c>
      <c r="AB25" s="1149">
        <f t="shared" si="29"/>
        <v>1</v>
      </c>
      <c r="AC25" s="1149">
        <f t="shared" si="30"/>
        <v>1</v>
      </c>
    </row>
    <row r="26" ht="15" spans="1:29">
      <c r="A26" s="984"/>
      <c r="B26" s="1023" t="s">
        <v>1565</v>
      </c>
      <c r="C26" s="1024" t="s">
        <v>1562</v>
      </c>
      <c r="D26" s="780">
        <v>100</v>
      </c>
      <c r="E26" s="1024" t="s">
        <v>1561</v>
      </c>
      <c r="F26" s="1022">
        <f>SUMIF(88:88,E26,89:89)-SUMIF(88:88,C26,89:89)+100</f>
        <v>105</v>
      </c>
      <c r="G26" s="1024" t="s">
        <v>1562</v>
      </c>
      <c r="H26" s="780">
        <f>SUMIF(88:88,G26,89:89)-SUMIF(88:88,C26,89:89)+100</f>
        <v>100</v>
      </c>
      <c r="I26" s="1024" t="s">
        <v>1562</v>
      </c>
      <c r="J26" s="780">
        <f>SUMIF(88:88,I26,89:89)-SUMIF(88:88,C26,89:89)+100</f>
        <v>100</v>
      </c>
      <c r="K26" s="1105"/>
      <c r="L26" s="1106"/>
      <c r="M26" s="1054"/>
      <c r="N26" s="1054"/>
      <c r="O26" s="1054"/>
      <c r="P26" s="1109"/>
      <c r="Q26" s="644" t="str">
        <f t="shared" si="25"/>
        <v>平面位置/可视性</v>
      </c>
      <c r="R26" s="1162" t="s">
        <v>1481</v>
      </c>
      <c r="S26" s="1163">
        <f t="shared" ref="S26:W26" si="32">F26</f>
        <v>105</v>
      </c>
      <c r="T26" s="1162" t="s">
        <v>1481</v>
      </c>
      <c r="U26" s="1163">
        <f t="shared" si="32"/>
        <v>100</v>
      </c>
      <c r="V26" s="1162" t="s">
        <v>1481</v>
      </c>
      <c r="W26" s="1163">
        <f t="shared" si="32"/>
        <v>100</v>
      </c>
      <c r="X26" s="1150"/>
      <c r="Y26" s="1177"/>
      <c r="Z26" s="1149" t="str">
        <f t="shared" si="27"/>
        <v>平面位置/可视性</v>
      </c>
      <c r="AA26" s="1149">
        <f t="shared" si="28"/>
        <v>0.952380952380952</v>
      </c>
      <c r="AB26" s="1149">
        <f t="shared" si="29"/>
        <v>1</v>
      </c>
      <c r="AC26" s="1149">
        <f t="shared" si="30"/>
        <v>1</v>
      </c>
    </row>
    <row r="27" s="920" customFormat="1" ht="15" spans="1:29">
      <c r="A27" s="987"/>
      <c r="B27" s="1009" t="s">
        <v>1566</v>
      </c>
      <c r="C27" s="1025" t="s">
        <v>1567</v>
      </c>
      <c r="D27" s="1026">
        <v>100</v>
      </c>
      <c r="E27" s="1025" t="s">
        <v>1568</v>
      </c>
      <c r="F27" s="1015">
        <f>SUMIF(90:90,E27,91:91)-SUMIF(90:90,C27,91:91)+100</f>
        <v>110</v>
      </c>
      <c r="G27" s="1025" t="s">
        <v>1562</v>
      </c>
      <c r="H27" s="1026">
        <f>SUMIF(90:90,G27,91:91)-SUMIF(90:90,C27,91:91)+100</f>
        <v>105</v>
      </c>
      <c r="I27" s="1025" t="s">
        <v>1562</v>
      </c>
      <c r="J27" s="1026">
        <f>SUMIF(90:90,I27,91:91)-SUMIF(90:90,C27,91:91)+100</f>
        <v>105</v>
      </c>
      <c r="K27" s="1103">
        <v>5</v>
      </c>
      <c r="L27" s="1097"/>
      <c r="M27" s="1098"/>
      <c r="N27" s="1098"/>
      <c r="O27" s="1098"/>
      <c r="P27" s="1109"/>
      <c r="Q27" s="815" t="str">
        <f t="shared" si="25"/>
        <v>人流量</v>
      </c>
      <c r="R27" s="1158" t="s">
        <v>1481</v>
      </c>
      <c r="S27" s="1159">
        <f t="shared" ref="S27:W27" si="33">F27</f>
        <v>110</v>
      </c>
      <c r="T27" s="1158" t="s">
        <v>1481</v>
      </c>
      <c r="U27" s="1159">
        <f t="shared" si="33"/>
        <v>105</v>
      </c>
      <c r="V27" s="1158" t="s">
        <v>1481</v>
      </c>
      <c r="W27" s="1159">
        <f t="shared" si="33"/>
        <v>105</v>
      </c>
      <c r="X27" s="1160"/>
      <c r="Y27" s="1177"/>
      <c r="Z27" s="1175" t="str">
        <f t="shared" si="27"/>
        <v>人流量</v>
      </c>
      <c r="AA27" s="1149">
        <f t="shared" si="28"/>
        <v>0.909090909090909</v>
      </c>
      <c r="AB27" s="1149">
        <f t="shared" si="29"/>
        <v>0.952380952380952</v>
      </c>
      <c r="AC27" s="1149">
        <f t="shared" si="30"/>
        <v>0.952380952380952</v>
      </c>
    </row>
    <row r="28" ht="15" spans="1:29">
      <c r="A28" s="984"/>
      <c r="B28" s="980" t="s">
        <v>1569</v>
      </c>
      <c r="C28" s="1021" t="s">
        <v>599</v>
      </c>
      <c r="D28" s="780">
        <v>100</v>
      </c>
      <c r="E28" s="1021" t="s">
        <v>599</v>
      </c>
      <c r="F28" s="1022">
        <f>SUMIF(92:92,E28,93:93)-SUMIF(92:92,C28,93:93)+100</f>
        <v>100</v>
      </c>
      <c r="G28" s="1021" t="s">
        <v>1847</v>
      </c>
      <c r="H28" s="780">
        <f>SUMIF(92:92,G28,93:93)-SUMIF(92:92,C28,93:93)+100</f>
        <v>85</v>
      </c>
      <c r="I28" s="1021" t="s">
        <v>1847</v>
      </c>
      <c r="J28" s="780">
        <f>SUMIF(92:92,I28,93:93)-SUMIF(92:92,C28,93:93)+100</f>
        <v>85</v>
      </c>
      <c r="K28" s="1105"/>
      <c r="L28" s="1106"/>
      <c r="M28" s="1054"/>
      <c r="N28" s="1054"/>
      <c r="O28" s="1054"/>
      <c r="P28" s="1109"/>
      <c r="Q28" s="644" t="str">
        <f t="shared" si="25"/>
        <v>楼层</v>
      </c>
      <c r="R28" s="1162" t="s">
        <v>1481</v>
      </c>
      <c r="S28" s="1163">
        <f t="shared" ref="S28:W28" si="34">F28</f>
        <v>100</v>
      </c>
      <c r="T28" s="1162" t="s">
        <v>1481</v>
      </c>
      <c r="U28" s="1163">
        <f t="shared" si="34"/>
        <v>85</v>
      </c>
      <c r="V28" s="1162" t="s">
        <v>1481</v>
      </c>
      <c r="W28" s="1163">
        <f t="shared" si="34"/>
        <v>85</v>
      </c>
      <c r="X28" s="1150"/>
      <c r="Y28" s="1177"/>
      <c r="Z28" s="1149" t="str">
        <f t="shared" si="27"/>
        <v>楼层</v>
      </c>
      <c r="AA28" s="1149">
        <f t="shared" si="28"/>
        <v>1</v>
      </c>
      <c r="AB28" s="1149">
        <f t="shared" si="29"/>
        <v>1.17647058823529</v>
      </c>
      <c r="AC28" s="1149">
        <f t="shared" si="30"/>
        <v>1.17647058823529</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25"/>
        <v>111</v>
      </c>
      <c r="R29" s="1162" t="s">
        <v>1481</v>
      </c>
      <c r="S29" s="1163">
        <f t="shared" ref="S29:W29" si="35">F29</f>
        <v>100</v>
      </c>
      <c r="T29" s="1162" t="s">
        <v>1481</v>
      </c>
      <c r="U29" s="1163">
        <f t="shared" si="35"/>
        <v>100</v>
      </c>
      <c r="V29" s="1162" t="s">
        <v>1481</v>
      </c>
      <c r="W29" s="1163">
        <f t="shared" si="35"/>
        <v>100</v>
      </c>
      <c r="X29" s="1150"/>
      <c r="Y29" s="1177"/>
      <c r="Z29" s="1149">
        <f t="shared" si="27"/>
        <v>111</v>
      </c>
      <c r="AA29" s="1149">
        <f t="shared" si="28"/>
        <v>1</v>
      </c>
      <c r="AB29" s="1149">
        <f t="shared" si="29"/>
        <v>1</v>
      </c>
      <c r="AC29" s="1149">
        <f t="shared" si="30"/>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25"/>
        <v>111</v>
      </c>
      <c r="R30" s="1162" t="s">
        <v>1481</v>
      </c>
      <c r="S30" s="1163">
        <f t="shared" ref="S30:W30" si="36">F30</f>
        <v>100</v>
      </c>
      <c r="T30" s="1162" t="s">
        <v>1481</v>
      </c>
      <c r="U30" s="1163">
        <f t="shared" si="36"/>
        <v>100</v>
      </c>
      <c r="V30" s="1162" t="s">
        <v>1481</v>
      </c>
      <c r="W30" s="1163">
        <f t="shared" si="36"/>
        <v>100</v>
      </c>
      <c r="X30" s="1150"/>
      <c r="Y30" s="1177"/>
      <c r="Z30" s="1149">
        <f t="shared" si="27"/>
        <v>111</v>
      </c>
      <c r="AA30" s="1149">
        <f t="shared" si="28"/>
        <v>1</v>
      </c>
      <c r="AB30" s="1149">
        <f t="shared" si="29"/>
        <v>1</v>
      </c>
      <c r="AC30" s="1149">
        <f t="shared" si="30"/>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25"/>
        <v>111</v>
      </c>
      <c r="R31" s="1162" t="s">
        <v>1481</v>
      </c>
      <c r="S31" s="1163">
        <f t="shared" ref="S31:W31" si="37">F31</f>
        <v>100</v>
      </c>
      <c r="T31" s="1162" t="s">
        <v>1481</v>
      </c>
      <c r="U31" s="1163">
        <f t="shared" si="37"/>
        <v>100</v>
      </c>
      <c r="V31" s="1162" t="s">
        <v>1481</v>
      </c>
      <c r="W31" s="1163">
        <f t="shared" si="37"/>
        <v>100</v>
      </c>
      <c r="X31" s="1150"/>
      <c r="Y31" s="1177"/>
      <c r="Z31" s="1149">
        <f t="shared" si="27"/>
        <v>111</v>
      </c>
      <c r="AA31" s="1149">
        <f t="shared" si="28"/>
        <v>1</v>
      </c>
      <c r="AB31" s="1149">
        <f t="shared" si="29"/>
        <v>1</v>
      </c>
      <c r="AC31" s="1149">
        <f t="shared" si="30"/>
        <v>1</v>
      </c>
    </row>
    <row r="32" ht="15" spans="1:29">
      <c r="A32" s="997" t="s">
        <v>1499</v>
      </c>
      <c r="B32" s="975" t="s">
        <v>1570</v>
      </c>
      <c r="C32" s="1027" t="s">
        <v>1571</v>
      </c>
      <c r="D32" s="952">
        <v>100</v>
      </c>
      <c r="E32" s="1027" t="s">
        <v>1596</v>
      </c>
      <c r="F32" s="1022">
        <f>SUMIF(100:100,E32,101:101)-SUMIF(100:100,C32,101:101)+100</f>
        <v>95</v>
      </c>
      <c r="G32" s="1027" t="s">
        <v>1596</v>
      </c>
      <c r="H32" s="780">
        <f>SUMIF(100:100,G32,101:101)-SUMIF(100:100,C32,101:101)+100</f>
        <v>95</v>
      </c>
      <c r="I32" s="1027" t="s">
        <v>1596</v>
      </c>
      <c r="J32" s="952">
        <f>SUMIF(100:100,I32,101:101)-SUMIF(100:100,C32,101:101)+100</f>
        <v>95</v>
      </c>
      <c r="K32" s="1103">
        <v>5</v>
      </c>
      <c r="L32" s="1106"/>
      <c r="M32" s="1054"/>
      <c r="N32" s="1054"/>
      <c r="O32" s="1054"/>
      <c r="P32" s="1111" t="s">
        <v>1501</v>
      </c>
      <c r="Q32" s="644" t="str">
        <f t="shared" si="25"/>
        <v>商业类型</v>
      </c>
      <c r="R32" s="1162" t="s">
        <v>1481</v>
      </c>
      <c r="S32" s="1163">
        <f t="shared" ref="S32:W32" si="38">F32</f>
        <v>95</v>
      </c>
      <c r="T32" s="1162" t="s">
        <v>1481</v>
      </c>
      <c r="U32" s="1163">
        <f t="shared" si="38"/>
        <v>95</v>
      </c>
      <c r="V32" s="1162" t="s">
        <v>1481</v>
      </c>
      <c r="W32" s="1163">
        <f t="shared" si="38"/>
        <v>95</v>
      </c>
      <c r="X32" s="1150"/>
      <c r="Y32" s="1178" t="s">
        <v>1501</v>
      </c>
      <c r="Z32" s="1149" t="str">
        <f t="shared" si="27"/>
        <v>商业类型</v>
      </c>
      <c r="AA32" s="1149">
        <f t="shared" si="28"/>
        <v>1.05263157894737</v>
      </c>
      <c r="AB32" s="1149">
        <f t="shared" si="29"/>
        <v>1.05263157894737</v>
      </c>
      <c r="AC32" s="1149">
        <f t="shared" si="30"/>
        <v>1.05263157894737</v>
      </c>
    </row>
    <row r="33" s="922" customFormat="1" ht="15" spans="1:29">
      <c r="A33" s="1028"/>
      <c r="B33" s="980" t="s">
        <v>1502</v>
      </c>
      <c r="C33" s="1029">
        <f>'数据-基础表'!I13</f>
        <v>349.48</v>
      </c>
      <c r="D33" s="982">
        <v>100</v>
      </c>
      <c r="E33" s="986">
        <v>401.6</v>
      </c>
      <c r="F33" s="980">
        <f>LOOKUP(E33,103:103,104:104)-LOOKUP(C33,103:103,104:104)+100</f>
        <v>100</v>
      </c>
      <c r="G33" s="985">
        <v>274</v>
      </c>
      <c r="H33" s="982">
        <f>LOOKUP(G33,103:103,104:104)-LOOKUP(C33,103:103,104:104)+100</f>
        <v>100</v>
      </c>
      <c r="I33" s="985">
        <v>333.63</v>
      </c>
      <c r="J33" s="982">
        <f>LOOKUP(I33,103:103,104:104)-LOOKUP(C33,103:103,104:104)+100</f>
        <v>100</v>
      </c>
      <c r="K33" s="1105"/>
      <c r="L33" s="1104"/>
      <c r="M33" s="1112"/>
      <c r="N33" s="1112"/>
      <c r="O33" s="1112"/>
      <c r="P33" s="1113"/>
      <c r="Q33" s="1164" t="str">
        <f t="shared" si="25"/>
        <v>项目建筑规模</v>
      </c>
      <c r="R33" s="1165" t="s">
        <v>1481</v>
      </c>
      <c r="S33" s="1166">
        <f t="shared" ref="S33:W33" si="39">F33</f>
        <v>100</v>
      </c>
      <c r="T33" s="1165" t="s">
        <v>1481</v>
      </c>
      <c r="U33" s="1166">
        <f t="shared" si="39"/>
        <v>100</v>
      </c>
      <c r="V33" s="1165" t="s">
        <v>1481</v>
      </c>
      <c r="W33" s="1166">
        <f t="shared" si="39"/>
        <v>100</v>
      </c>
      <c r="X33" s="1167"/>
      <c r="Y33" s="1178"/>
      <c r="Z33" s="1179" t="str">
        <f t="shared" si="27"/>
        <v>项目建筑规模</v>
      </c>
      <c r="AA33" s="1149">
        <f t="shared" si="28"/>
        <v>1</v>
      </c>
      <c r="AB33" s="1149">
        <f t="shared" si="29"/>
        <v>1</v>
      </c>
      <c r="AC33" s="1149">
        <f t="shared" si="30"/>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25"/>
        <v>建筑结构</v>
      </c>
      <c r="R34" s="1162" t="s">
        <v>1481</v>
      </c>
      <c r="S34" s="1163">
        <f t="shared" ref="S34:W34" si="40">F34</f>
        <v>100</v>
      </c>
      <c r="T34" s="1162" t="s">
        <v>1481</v>
      </c>
      <c r="U34" s="1163">
        <f t="shared" si="40"/>
        <v>100</v>
      </c>
      <c r="V34" s="1162" t="s">
        <v>1481</v>
      </c>
      <c r="W34" s="1163">
        <f t="shared" si="40"/>
        <v>100</v>
      </c>
      <c r="X34" s="1150"/>
      <c r="Y34" s="1178"/>
      <c r="Z34" s="1149" t="str">
        <f t="shared" si="27"/>
        <v>建筑结构</v>
      </c>
      <c r="AA34" s="1149">
        <f t="shared" si="28"/>
        <v>1</v>
      </c>
      <c r="AB34" s="1149">
        <f t="shared" si="29"/>
        <v>1</v>
      </c>
      <c r="AC34" s="1149">
        <f t="shared" si="30"/>
        <v>1</v>
      </c>
    </row>
    <row r="35" ht="15" spans="1:29">
      <c r="A35" s="1030"/>
      <c r="B35" s="980" t="s">
        <v>1505</v>
      </c>
      <c r="C35" s="1032"/>
      <c r="D35" s="780">
        <v>100</v>
      </c>
      <c r="E35" s="1032"/>
      <c r="F35" s="1022">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1481</v>
      </c>
      <c r="S35" s="1163">
        <f t="shared" ref="S35:W35" si="41">F35</f>
        <v>100</v>
      </c>
      <c r="T35" s="1162" t="s">
        <v>1481</v>
      </c>
      <c r="U35" s="1163">
        <f t="shared" si="41"/>
        <v>100</v>
      </c>
      <c r="V35" s="1162" t="s">
        <v>1481</v>
      </c>
      <c r="W35" s="1163">
        <f t="shared" si="41"/>
        <v>100</v>
      </c>
      <c r="X35" s="1150"/>
      <c r="Y35" s="1178"/>
      <c r="Z35" s="1149" t="str">
        <f t="shared" si="27"/>
        <v>公共部分装修</v>
      </c>
      <c r="AA35" s="1149">
        <f t="shared" si="28"/>
        <v>1</v>
      </c>
      <c r="AB35" s="1149">
        <f t="shared" si="29"/>
        <v>1</v>
      </c>
      <c r="AC35" s="1149">
        <f t="shared" si="30"/>
        <v>1</v>
      </c>
    </row>
    <row r="36" ht="15" spans="1:29">
      <c r="A36" s="1030"/>
      <c r="B36" s="980" t="s">
        <v>634</v>
      </c>
      <c r="C36" s="1033">
        <v>0.6</v>
      </c>
      <c r="D36" s="780">
        <v>100</v>
      </c>
      <c r="E36" s="1033">
        <v>0.8</v>
      </c>
      <c r="F36" s="1022">
        <f>LOOKUP(E36,110:110,111:111)-LOOKUP(C36,110:110,111:111)+100</f>
        <v>104</v>
      </c>
      <c r="G36" s="1033">
        <v>0.7</v>
      </c>
      <c r="H36" s="1022">
        <f>LOOKUP(G36,110:110,111:111)-LOOKUP(C36,110:110,111:111)+100</f>
        <v>102</v>
      </c>
      <c r="I36" s="1033">
        <v>0.7</v>
      </c>
      <c r="J36" s="780">
        <f>LOOKUP(I36,110:110,111:111)-LOOKUP(C36,110:110,111:111)+100</f>
        <v>102</v>
      </c>
      <c r="K36" s="1103">
        <v>2</v>
      </c>
      <c r="L36" s="1106"/>
      <c r="M36" s="1054"/>
      <c r="N36" s="1054"/>
      <c r="O36" s="1054"/>
      <c r="P36" s="1113"/>
      <c r="Q36" s="644" t="str">
        <f t="shared" si="25"/>
        <v>成新度</v>
      </c>
      <c r="R36" s="1162" t="s">
        <v>1481</v>
      </c>
      <c r="S36" s="1163">
        <f t="shared" ref="S36:W36" si="42">F36</f>
        <v>104</v>
      </c>
      <c r="T36" s="1162" t="s">
        <v>1481</v>
      </c>
      <c r="U36" s="1163">
        <f t="shared" si="42"/>
        <v>102</v>
      </c>
      <c r="V36" s="1162" t="s">
        <v>1481</v>
      </c>
      <c r="W36" s="1163">
        <f t="shared" si="42"/>
        <v>102</v>
      </c>
      <c r="X36" s="1150"/>
      <c r="Y36" s="1178"/>
      <c r="Z36" s="1149" t="str">
        <f t="shared" si="27"/>
        <v>成新度</v>
      </c>
      <c r="AA36" s="1149">
        <f t="shared" si="28"/>
        <v>0.961538461538462</v>
      </c>
      <c r="AB36" s="1149">
        <f t="shared" si="29"/>
        <v>0.980392156862745</v>
      </c>
      <c r="AC36" s="1149">
        <f t="shared" si="30"/>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1481</v>
      </c>
      <c r="S37" s="1159">
        <f t="shared" ref="S37:W37" si="43">F37</f>
        <v>100</v>
      </c>
      <c r="T37" s="1158" t="s">
        <v>1481</v>
      </c>
      <c r="U37" s="1159">
        <f t="shared" si="43"/>
        <v>100</v>
      </c>
      <c r="V37" s="1158" t="s">
        <v>1481</v>
      </c>
      <c r="W37" s="1159">
        <f t="shared" si="43"/>
        <v>100</v>
      </c>
      <c r="X37" s="1160"/>
      <c r="Y37" s="1178"/>
      <c r="Z37" s="1175" t="str">
        <f t="shared" si="27"/>
        <v>市政基础设施</v>
      </c>
      <c r="AA37" s="1175">
        <f t="shared" si="28"/>
        <v>1</v>
      </c>
      <c r="AB37" s="1175">
        <f t="shared" si="29"/>
        <v>1</v>
      </c>
      <c r="AC37" s="1175">
        <f t="shared" si="30"/>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15</v>
      </c>
      <c r="L38" s="1106"/>
      <c r="M38" s="1054"/>
      <c r="N38" s="1054"/>
      <c r="O38" s="1054"/>
      <c r="P38" s="1113" t="s">
        <v>1501</v>
      </c>
      <c r="Q38" s="644" t="str">
        <f t="shared" si="25"/>
        <v>业态</v>
      </c>
      <c r="R38" s="1162" t="s">
        <v>1481</v>
      </c>
      <c r="S38" s="1163">
        <f t="shared" ref="S38:W38" si="44">F38</f>
        <v>100</v>
      </c>
      <c r="T38" s="1162" t="s">
        <v>1481</v>
      </c>
      <c r="U38" s="1163">
        <f t="shared" si="44"/>
        <v>100</v>
      </c>
      <c r="V38" s="1162" t="s">
        <v>1481</v>
      </c>
      <c r="W38" s="1163">
        <f t="shared" si="44"/>
        <v>100</v>
      </c>
      <c r="X38" s="1150"/>
      <c r="Y38" s="1178" t="s">
        <v>1501</v>
      </c>
      <c r="Z38" s="1149" t="str">
        <f t="shared" si="27"/>
        <v>业态</v>
      </c>
      <c r="AA38" s="1149">
        <f t="shared" si="28"/>
        <v>1</v>
      </c>
      <c r="AB38" s="1149">
        <f t="shared" si="29"/>
        <v>1</v>
      </c>
      <c r="AC38" s="1149">
        <f t="shared" si="30"/>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10</v>
      </c>
      <c r="L39" s="1106"/>
      <c r="M39" s="1054"/>
      <c r="N39" s="1054"/>
      <c r="O39" s="1054"/>
      <c r="P39" s="1113"/>
      <c r="Q39" s="644" t="str">
        <f t="shared" si="25"/>
        <v>层高</v>
      </c>
      <c r="R39" s="1162" t="s">
        <v>1481</v>
      </c>
      <c r="S39" s="1163">
        <f t="shared" ref="S39:W39" si="45">F39</f>
        <v>100</v>
      </c>
      <c r="T39" s="1162" t="s">
        <v>1481</v>
      </c>
      <c r="U39" s="1163">
        <f t="shared" si="45"/>
        <v>100</v>
      </c>
      <c r="V39" s="1162" t="s">
        <v>1481</v>
      </c>
      <c r="W39" s="1163">
        <f t="shared" si="45"/>
        <v>100</v>
      </c>
      <c r="X39" s="1150"/>
      <c r="Y39" s="1178"/>
      <c r="Z39" s="1149" t="str">
        <f t="shared" si="27"/>
        <v>层高</v>
      </c>
      <c r="AA39" s="1149">
        <f t="shared" si="28"/>
        <v>1</v>
      </c>
      <c r="AB39" s="1149">
        <f t="shared" si="29"/>
        <v>1</v>
      </c>
      <c r="AC39" s="1149">
        <f t="shared" si="30"/>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1481</v>
      </c>
      <c r="S40" s="1163">
        <f t="shared" ref="S40:W40" si="46">F40</f>
        <v>100</v>
      </c>
      <c r="T40" s="1162" t="s">
        <v>1481</v>
      </c>
      <c r="U40" s="1163">
        <f t="shared" si="46"/>
        <v>100</v>
      </c>
      <c r="V40" s="1162" t="s">
        <v>1481</v>
      </c>
      <c r="W40" s="1163">
        <f t="shared" si="46"/>
        <v>100</v>
      </c>
      <c r="X40" s="1150"/>
      <c r="Y40" s="1178"/>
      <c r="Z40" s="1149" t="str">
        <f t="shared" si="27"/>
        <v>单套建筑面积</v>
      </c>
      <c r="AA40" s="1149">
        <f t="shared" si="28"/>
        <v>1</v>
      </c>
      <c r="AB40" s="1149">
        <f t="shared" si="29"/>
        <v>1</v>
      </c>
      <c r="AC40" s="1149">
        <f t="shared" si="30"/>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25"/>
        <v>进深比</v>
      </c>
      <c r="R41" s="1165" t="s">
        <v>1481</v>
      </c>
      <c r="S41" s="1166">
        <f t="shared" ref="S41:W41" si="47">F41</f>
        <v>100</v>
      </c>
      <c r="T41" s="1165" t="s">
        <v>1481</v>
      </c>
      <c r="U41" s="1166">
        <f t="shared" si="47"/>
        <v>100</v>
      </c>
      <c r="V41" s="1165" t="s">
        <v>1481</v>
      </c>
      <c r="W41" s="1166">
        <f t="shared" si="47"/>
        <v>100</v>
      </c>
      <c r="X41" s="1167"/>
      <c r="Y41" s="1178"/>
      <c r="Z41" s="1179" t="str">
        <f t="shared" si="27"/>
        <v>进深比</v>
      </c>
      <c r="AA41" s="1149">
        <f t="shared" si="28"/>
        <v>1</v>
      </c>
      <c r="AB41" s="1149">
        <f t="shared" si="29"/>
        <v>1</v>
      </c>
      <c r="AC41" s="1149">
        <f t="shared" si="30"/>
        <v>1</v>
      </c>
    </row>
    <row r="42" ht="15" spans="1:29">
      <c r="A42" s="1030"/>
      <c r="B42" s="980" t="s">
        <v>1510</v>
      </c>
      <c r="C42" s="1032" t="s">
        <v>1580</v>
      </c>
      <c r="D42" s="780">
        <v>100</v>
      </c>
      <c r="E42" s="1032" t="s">
        <v>1580</v>
      </c>
      <c r="F42" s="1022">
        <f>SUMIF(122:122,E42,123:123)-SUMIF(122:122,C42,123:123)+100</f>
        <v>100</v>
      </c>
      <c r="G42" s="1032" t="s">
        <v>1600</v>
      </c>
      <c r="H42" s="780">
        <f>SUMIF(122:122,G42,123:123)-SUMIF(122:122,C42,123:123)+100</f>
        <v>98</v>
      </c>
      <c r="I42" s="1032" t="s">
        <v>1600</v>
      </c>
      <c r="J42" s="780">
        <f>SUMIF(122:122,I42,123:123)-SUMIF(122:122,C42,123:123)+100</f>
        <v>98</v>
      </c>
      <c r="K42" s="1103">
        <v>2</v>
      </c>
      <c r="L42" s="1106"/>
      <c r="M42" s="1054"/>
      <c r="N42" s="1054"/>
      <c r="O42" s="1054"/>
      <c r="P42" s="1113"/>
      <c r="Q42" s="644" t="str">
        <f t="shared" si="25"/>
        <v>内部装修</v>
      </c>
      <c r="R42" s="1162" t="s">
        <v>1481</v>
      </c>
      <c r="S42" s="1163">
        <f t="shared" ref="S42:W42" si="48">F42</f>
        <v>100</v>
      </c>
      <c r="T42" s="1162" t="s">
        <v>1481</v>
      </c>
      <c r="U42" s="1163">
        <f t="shared" si="48"/>
        <v>98</v>
      </c>
      <c r="V42" s="1162" t="s">
        <v>1481</v>
      </c>
      <c r="W42" s="1163">
        <f t="shared" si="48"/>
        <v>98</v>
      </c>
      <c r="X42" s="1150"/>
      <c r="Y42" s="1178"/>
      <c r="Z42" s="1149" t="str">
        <f t="shared" si="27"/>
        <v>内部装修</v>
      </c>
      <c r="AA42" s="1149">
        <f t="shared" si="28"/>
        <v>1</v>
      </c>
      <c r="AB42" s="1149">
        <f t="shared" si="29"/>
        <v>1.02040816326531</v>
      </c>
      <c r="AC42" s="1149">
        <f t="shared" si="30"/>
        <v>1.02040816326531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25"/>
        <v>内部装修维护情况</v>
      </c>
      <c r="R43" s="1162" t="s">
        <v>1481</v>
      </c>
      <c r="S43" s="1163">
        <f t="shared" ref="S43:W43" si="49">F43</f>
        <v>100</v>
      </c>
      <c r="T43" s="1162" t="s">
        <v>1481</v>
      </c>
      <c r="U43" s="1163">
        <f t="shared" si="49"/>
        <v>100</v>
      </c>
      <c r="V43" s="1162" t="s">
        <v>1481</v>
      </c>
      <c r="W43" s="1163">
        <f t="shared" si="49"/>
        <v>100</v>
      </c>
      <c r="X43" s="1150"/>
      <c r="Y43" s="1178"/>
      <c r="Z43" s="1149" t="str">
        <f t="shared" si="27"/>
        <v>内部装修维护情况</v>
      </c>
      <c r="AA43" s="1149">
        <f t="shared" si="28"/>
        <v>1</v>
      </c>
      <c r="AB43" s="1149">
        <f t="shared" si="29"/>
        <v>1</v>
      </c>
      <c r="AC43" s="1149">
        <f t="shared" si="30"/>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25"/>
        <v>111</v>
      </c>
      <c r="R44" s="1158" t="s">
        <v>1481</v>
      </c>
      <c r="S44" s="1159">
        <f t="shared" ref="S44:W44" si="50">F44</f>
        <v>100</v>
      </c>
      <c r="T44" s="1158" t="s">
        <v>1481</v>
      </c>
      <c r="U44" s="1159">
        <f t="shared" si="50"/>
        <v>100</v>
      </c>
      <c r="V44" s="1158" t="s">
        <v>1481</v>
      </c>
      <c r="W44" s="1159">
        <f t="shared" si="50"/>
        <v>100</v>
      </c>
      <c r="X44" s="1160"/>
      <c r="Y44" s="1178"/>
      <c r="Z44" s="1175">
        <f t="shared" si="27"/>
        <v>111</v>
      </c>
      <c r="AA44" s="1175">
        <f t="shared" si="28"/>
        <v>1</v>
      </c>
      <c r="AB44" s="1175">
        <f t="shared" si="29"/>
        <v>1</v>
      </c>
      <c r="AC44" s="1175">
        <f t="shared" si="30"/>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25"/>
        <v>111</v>
      </c>
      <c r="R45" s="1162" t="s">
        <v>1481</v>
      </c>
      <c r="S45" s="1163">
        <f t="shared" ref="S45:W45" si="51">F45</f>
        <v>100</v>
      </c>
      <c r="T45" s="1162" t="s">
        <v>1481</v>
      </c>
      <c r="U45" s="1163">
        <f t="shared" si="51"/>
        <v>100</v>
      </c>
      <c r="V45" s="1162" t="s">
        <v>1481</v>
      </c>
      <c r="W45" s="1163">
        <f t="shared" si="51"/>
        <v>100</v>
      </c>
      <c r="X45" s="1150"/>
      <c r="Y45" s="1178"/>
      <c r="Z45" s="1149">
        <f t="shared" si="27"/>
        <v>111</v>
      </c>
      <c r="AA45" s="1149">
        <f t="shared" si="28"/>
        <v>1</v>
      </c>
      <c r="AB45" s="1149">
        <f t="shared" si="29"/>
        <v>1</v>
      </c>
      <c r="AC45" s="1149">
        <f t="shared" si="30"/>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25"/>
        <v>111</v>
      </c>
      <c r="R46" s="1162" t="s">
        <v>1481</v>
      </c>
      <c r="S46" s="1163">
        <f t="shared" ref="S46:W46" si="52">F46</f>
        <v>100</v>
      </c>
      <c r="T46" s="1162" t="s">
        <v>1481</v>
      </c>
      <c r="U46" s="1163">
        <f t="shared" si="52"/>
        <v>100</v>
      </c>
      <c r="V46" s="1162" t="s">
        <v>1481</v>
      </c>
      <c r="W46" s="1163">
        <f t="shared" si="52"/>
        <v>100</v>
      </c>
      <c r="X46" s="1150"/>
      <c r="Y46" s="1180"/>
      <c r="Z46" s="1149">
        <f t="shared" si="27"/>
        <v>111</v>
      </c>
      <c r="AA46" s="1149">
        <f t="shared" si="28"/>
        <v>1</v>
      </c>
      <c r="AB46" s="1149">
        <f t="shared" si="29"/>
        <v>1</v>
      </c>
      <c r="AC46" s="1149">
        <f t="shared" si="30"/>
        <v>1</v>
      </c>
    </row>
    <row r="47" ht="15" spans="1:29">
      <c r="A47" s="1038" t="s">
        <v>1512</v>
      </c>
      <c r="B47" s="1039"/>
      <c r="C47" s="1040" t="s">
        <v>124</v>
      </c>
      <c r="D47" s="1041"/>
      <c r="E47" s="1042">
        <f>E50</f>
        <v>62995</v>
      </c>
      <c r="F47" s="1043"/>
      <c r="G47" s="1044">
        <f>G50</f>
        <v>52920</v>
      </c>
      <c r="H47" s="1045"/>
      <c r="I47" s="1042">
        <f>I50</f>
        <v>49906</v>
      </c>
      <c r="J47" s="1045"/>
      <c r="K47" s="1115"/>
      <c r="L47" s="1116"/>
      <c r="M47" s="1054"/>
      <c r="N47" s="1054"/>
      <c r="O47" s="1054"/>
      <c r="P47" s="644" t="str">
        <f t="shared" ref="P47:P49" si="53">A47</f>
        <v>成交单价（元/平方米）</v>
      </c>
      <c r="Q47" s="644"/>
      <c r="R47" s="1149">
        <f t="shared" ref="R47:V47" si="54">E47</f>
        <v>62995</v>
      </c>
      <c r="S47" s="1149"/>
      <c r="T47" s="1149">
        <f t="shared" si="54"/>
        <v>52920</v>
      </c>
      <c r="U47" s="1149"/>
      <c r="V47" s="1149">
        <f t="shared" si="54"/>
        <v>49906</v>
      </c>
      <c r="W47" s="1149"/>
      <c r="X47" s="1004"/>
      <c r="Y47" s="1181"/>
      <c r="Z47" s="1004"/>
      <c r="AA47" s="1004"/>
      <c r="AB47" s="1004"/>
      <c r="AC47" s="1004"/>
    </row>
    <row r="48" ht="15.75" spans="1:29">
      <c r="A48" s="1046" t="s">
        <v>1513</v>
      </c>
      <c r="B48" s="1047"/>
      <c r="C48" s="1048">
        <f>R49</f>
        <v>54188</v>
      </c>
      <c r="D48" s="1049" t="s">
        <v>1514</v>
      </c>
      <c r="E48" s="1050">
        <f t="shared" ref="E48:I48" si="55">R48</f>
        <v>51515</v>
      </c>
      <c r="F48" s="1051"/>
      <c r="G48" s="1048">
        <f t="shared" si="55"/>
        <v>56602</v>
      </c>
      <c r="H48" s="1051"/>
      <c r="I48" s="1050">
        <f t="shared" si="55"/>
        <v>54446</v>
      </c>
      <c r="J48" s="1051"/>
      <c r="K48" s="1117">
        <f>F48+H48+J48</f>
        <v>0</v>
      </c>
      <c r="L48" s="1116"/>
      <c r="M48" s="1054"/>
      <c r="N48" s="1054"/>
      <c r="O48" s="1054"/>
      <c r="P48" s="644" t="str">
        <f t="shared" si="53"/>
        <v>比较价值（元/平方米）</v>
      </c>
      <c r="Q48" s="644"/>
      <c r="R48" s="1149">
        <f>IF(F1="售价",ROUND(PRODUCT(R47,AA7:AA46),0),ROUND(PRODUCT(R47,AA7:AA46),2))</f>
        <v>51515</v>
      </c>
      <c r="S48" s="1149"/>
      <c r="T48" s="1149">
        <f>IF(F1="售价",ROUND(PRODUCT(T47,AB7:AB46),0),ROUND(PRODUCT(T47,AB7:AB46),2))</f>
        <v>56602</v>
      </c>
      <c r="U48" s="1149"/>
      <c r="V48" s="1149">
        <f>IF(F1="售价",ROUND(PRODUCT(V47,AC7:AC46),0),ROUND(PRODUCT(V47,AC7:AC46),2))</f>
        <v>54446</v>
      </c>
      <c r="W48" s="1149"/>
      <c r="X48" s="1004"/>
      <c r="Y48" s="1004"/>
      <c r="Z48" s="1004"/>
      <c r="AA48" s="1004"/>
      <c r="AB48" s="1004"/>
      <c r="AC48" s="1004"/>
    </row>
    <row r="49" ht="15.75" spans="1:29">
      <c r="A49" s="1052" t="s">
        <v>1515</v>
      </c>
      <c r="B49" s="1053"/>
      <c r="C49" s="962">
        <f>R49</f>
        <v>54188</v>
      </c>
      <c r="D49" s="962"/>
      <c r="E49" s="962"/>
      <c r="F49" s="962"/>
      <c r="G49" s="962"/>
      <c r="H49" s="962"/>
      <c r="I49" s="962"/>
      <c r="J49" s="962"/>
      <c r="K49" s="1118"/>
      <c r="L49" s="1116"/>
      <c r="M49" s="1054"/>
      <c r="N49" s="1054"/>
      <c r="O49" s="1054"/>
      <c r="P49" s="1022" t="str">
        <f t="shared" si="53"/>
        <v>估价对象XX用房的比较价值（楼面单价，元/平方米）</v>
      </c>
      <c r="Q49" s="1168"/>
      <c r="R49" s="1169">
        <f>IF(F1="售价",ROUND(IF(D48="简单平均",AVERAGE(R48:V48),R48*F48+T48*H48+V48*J48),0),ROUND(IF(D48="简单平均",AVERAGE(R48:V48),R48*F48+T48*H48+V48*J48),2))</f>
        <v>54188</v>
      </c>
      <c r="S49" s="1169"/>
      <c r="T49" s="1169"/>
      <c r="U49" s="1169"/>
      <c r="V49" s="1169"/>
      <c r="W49" s="1169"/>
      <c r="X49" s="1004"/>
      <c r="Y49" s="1004"/>
      <c r="Z49" s="1004"/>
      <c r="AA49" s="1004"/>
      <c r="AB49" s="1004"/>
      <c r="AC49" s="1004"/>
    </row>
    <row r="50" spans="1:29">
      <c r="A50" s="1054"/>
      <c r="B50" s="1054"/>
      <c r="C50" s="1054"/>
      <c r="D50" s="1054"/>
      <c r="E50" s="1055">
        <v>62995</v>
      </c>
      <c r="F50" s="1054"/>
      <c r="G50" s="1055">
        <v>52920</v>
      </c>
      <c r="H50" s="1054"/>
      <c r="I50" s="1055">
        <v>49906</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2010</v>
      </c>
      <c r="F51" s="1054">
        <v>23</v>
      </c>
      <c r="G51" s="1054"/>
      <c r="H51" s="1054">
        <v>15</v>
      </c>
      <c r="I51" s="1054">
        <v>2005</v>
      </c>
      <c r="J51" s="1054">
        <v>18</v>
      </c>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 t="shared" ref="E52:I52" si="56">IF(E47&lt;E48,E48/E47-1,E47/E48-1)</f>
        <v>0.222847714257983</v>
      </c>
      <c r="F52" s="1058" t="str">
        <f t="shared" ref="F52:J52" si="57">IF(OR(E52&gt;=0.3,E52&lt;=-0.3),"超过30%","")</f>
        <v/>
      </c>
      <c r="G52" s="1057">
        <f t="shared" si="56"/>
        <v>0.0695767195767196</v>
      </c>
      <c r="H52" s="1058" t="str">
        <f t="shared" si="57"/>
        <v/>
      </c>
      <c r="I52" s="1057">
        <f t="shared" si="56"/>
        <v>0.0909710255279925</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0.0987479374939337</v>
      </c>
      <c r="F53" s="1058" t="str">
        <f t="shared" ref="F53:J53" si="58">IF(OR(E53&gt;=0.2,E53&lt;=-0.2),"超过20%","")</f>
        <v/>
      </c>
      <c r="G53" s="1057">
        <f>IF(G48&lt;I48,I48/G48-1,G48/I48-1)</f>
        <v>0.0395988686037543</v>
      </c>
      <c r="H53" s="1058" t="str">
        <f t="shared" si="58"/>
        <v/>
      </c>
      <c r="I53" s="1057">
        <f>IF(I48&lt;E48,E48/I48-1,I48/E48-1)</f>
        <v>0.0568960496942639</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0.190381708238851</v>
      </c>
      <c r="F54" s="1058" t="str">
        <f t="shared" ref="F54:J54" si="59">IF(OR(E54&gt;=0.3,E54&lt;=-0.3),"超过30%","")</f>
        <v/>
      </c>
      <c r="G54" s="1057">
        <f>IF(G47&lt;I47,I47/G47-1,G47/I47-1)</f>
        <v>0.0603935398549273</v>
      </c>
      <c r="H54" s="1058" t="str">
        <f t="shared" si="59"/>
        <v/>
      </c>
      <c r="I54" s="1057">
        <f>IF(I47&lt;E47,E47/I47-1,I47/E47-1)</f>
        <v>0.262273073377951</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 t="shared" ref="D58:O58" si="60">EDATE(C58,-1)</f>
        <v>45748</v>
      </c>
      <c r="E58" s="1068">
        <f t="shared" si="60"/>
        <v>45717</v>
      </c>
      <c r="F58" s="1068">
        <f t="shared" si="60"/>
        <v>45689</v>
      </c>
      <c r="G58" s="1068">
        <f t="shared" si="60"/>
        <v>45658</v>
      </c>
      <c r="H58" s="1068">
        <f t="shared" si="60"/>
        <v>45627</v>
      </c>
      <c r="I58" s="1068">
        <f t="shared" si="60"/>
        <v>45597</v>
      </c>
      <c r="J58" s="1068">
        <f t="shared" si="60"/>
        <v>45566</v>
      </c>
      <c r="K58" s="1068">
        <f t="shared" si="60"/>
        <v>45536</v>
      </c>
      <c r="L58" s="1068">
        <f t="shared" si="60"/>
        <v>45505</v>
      </c>
      <c r="M58" s="1068">
        <f t="shared" si="60"/>
        <v>45474</v>
      </c>
      <c r="N58" s="1068">
        <f t="shared" si="60"/>
        <v>45444</v>
      </c>
      <c r="O58" s="1068">
        <f t="shared" si="60"/>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t="s">
        <v>1848</v>
      </c>
      <c r="D65" s="1183" t="s">
        <v>1849</v>
      </c>
      <c r="E65" s="1183" t="s">
        <v>1850</v>
      </c>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v>100</v>
      </c>
      <c r="D66" s="1085">
        <v>98</v>
      </c>
      <c r="E66" s="1085">
        <v>96</v>
      </c>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 t="shared" ref="D83:G83" si="66">C83-$K21</f>
        <v>99</v>
      </c>
      <c r="E83" s="1189">
        <f t="shared" si="66"/>
        <v>98</v>
      </c>
      <c r="F83" s="1189">
        <f t="shared" si="66"/>
        <v>97</v>
      </c>
      <c r="G83" s="1189">
        <f t="shared" si="66"/>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 t="shared" ref="D85:G85" si="67">C85-$K23</f>
        <v>98</v>
      </c>
      <c r="E85" s="1189">
        <f t="shared" si="67"/>
        <v>96</v>
      </c>
      <c r="F85" s="1189">
        <f t="shared" si="67"/>
        <v>94</v>
      </c>
      <c r="G85" s="1189">
        <f t="shared" si="67"/>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C89-5</f>
        <v>95</v>
      </c>
      <c r="E89" s="1085">
        <f>D89-5</f>
        <v>90</v>
      </c>
      <c r="F89" s="1085">
        <f>E89-5</f>
        <v>85</v>
      </c>
      <c r="G89" s="1085">
        <f>F89-5</f>
        <v>80</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 t="shared" ref="D91:M91" si="69">C91-$K27</f>
        <v>95</v>
      </c>
      <c r="E91" s="1189">
        <f t="shared" si="69"/>
        <v>90</v>
      </c>
      <c r="F91" s="1189">
        <f t="shared" si="69"/>
        <v>85</v>
      </c>
      <c r="G91" s="1189">
        <f t="shared" si="69"/>
        <v>80</v>
      </c>
      <c r="H91" s="1189">
        <f t="shared" si="69"/>
        <v>75</v>
      </c>
      <c r="I91" s="1189">
        <f t="shared" si="69"/>
        <v>70</v>
      </c>
      <c r="J91" s="1189">
        <f t="shared" si="69"/>
        <v>65</v>
      </c>
      <c r="K91" s="1189">
        <f t="shared" si="69"/>
        <v>60</v>
      </c>
      <c r="L91" s="1189">
        <f t="shared" si="69"/>
        <v>55</v>
      </c>
      <c r="M91" s="1189">
        <f t="shared" si="69"/>
        <v>50</v>
      </c>
      <c r="N91" s="1222"/>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1851</v>
      </c>
      <c r="D92" s="1206" t="s">
        <v>1852</v>
      </c>
      <c r="E92" s="1191" t="s">
        <v>1853</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4"/>
      <c r="B93" s="1184"/>
      <c r="C93" s="1085"/>
      <c r="D93" s="1085">
        <v>100</v>
      </c>
      <c r="E93" s="1085">
        <v>85</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70">C101-$K32</f>
        <v>95</v>
      </c>
      <c r="E101" s="1189">
        <f t="shared" si="70"/>
        <v>90</v>
      </c>
      <c r="F101" s="1189">
        <f t="shared" si="70"/>
        <v>85</v>
      </c>
      <c r="G101" s="1189">
        <f t="shared" si="70"/>
        <v>80</v>
      </c>
      <c r="H101" s="1189">
        <f t="shared" si="70"/>
        <v>75</v>
      </c>
      <c r="I101" s="1189">
        <f t="shared" si="70"/>
        <v>70</v>
      </c>
      <c r="J101" s="1189">
        <f t="shared" si="70"/>
        <v>65</v>
      </c>
      <c r="K101" s="1189">
        <f t="shared" si="70"/>
        <v>60</v>
      </c>
      <c r="L101" s="1189">
        <f t="shared" si="70"/>
        <v>55</v>
      </c>
      <c r="M101" s="1219">
        <f t="shared" si="70"/>
        <v>50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 t="shared" ref="C102:L102" si="71">C103&amp;"(含)"&amp;"-"&amp;D103</f>
        <v>0(含)-200</v>
      </c>
      <c r="D102" s="1201" t="str">
        <f t="shared" si="71"/>
        <v>200(含)-500</v>
      </c>
      <c r="E102" s="1201" t="str">
        <f t="shared" si="71"/>
        <v>500(含)-1000</v>
      </c>
      <c r="F102" s="1201" t="str">
        <f t="shared" si="71"/>
        <v>1000(含)-3000</v>
      </c>
      <c r="G102" s="1201" t="str">
        <f t="shared" si="71"/>
        <v>3000(含)-5000</v>
      </c>
      <c r="H102" s="1201" t="str">
        <f t="shared" si="71"/>
        <v>5000(含)-10000</v>
      </c>
      <c r="I102" s="1201" t="str">
        <f t="shared" si="71"/>
        <v>10000(含)-</v>
      </c>
      <c r="J102" s="1201" t="str">
        <f t="shared" si="71"/>
        <v>(含)-</v>
      </c>
      <c r="K102" s="1201" t="str">
        <f t="shared" si="71"/>
        <v>(含)-</v>
      </c>
      <c r="L102" s="1201" t="str">
        <f t="shared" si="71"/>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500</v>
      </c>
      <c r="F103" s="1211">
        <v>1000</v>
      </c>
      <c r="G103" s="1211">
        <v>3000</v>
      </c>
      <c r="H103" s="1211">
        <v>5000</v>
      </c>
      <c r="I103" s="1211">
        <v>10000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96</v>
      </c>
      <c r="E104" s="1085">
        <f>D104-2</f>
        <v>94</v>
      </c>
      <c r="F104" s="1085">
        <f>E104-1</f>
        <v>93</v>
      </c>
      <c r="G104" s="1085">
        <f t="shared" ref="G104:I104" si="72">F104-1</f>
        <v>92</v>
      </c>
      <c r="H104" s="1085">
        <f t="shared" si="72"/>
        <v>91</v>
      </c>
      <c r="I104" s="1085">
        <f t="shared" si="72"/>
        <v>90</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73">C106-$K34</f>
        <v>98</v>
      </c>
      <c r="E106" s="1189">
        <f t="shared" si="73"/>
        <v>96</v>
      </c>
      <c r="F106" s="1189">
        <f t="shared" si="73"/>
        <v>94</v>
      </c>
      <c r="G106" s="1189">
        <f t="shared" si="73"/>
        <v>92</v>
      </c>
      <c r="H106" s="1189">
        <f t="shared" si="73"/>
        <v>90</v>
      </c>
      <c r="I106" s="1189">
        <f t="shared" si="73"/>
        <v>88</v>
      </c>
      <c r="J106" s="1189">
        <f t="shared" si="73"/>
        <v>86</v>
      </c>
      <c r="K106" s="1189">
        <f t="shared" si="73"/>
        <v>84</v>
      </c>
      <c r="L106" s="1189">
        <f t="shared" si="73"/>
        <v>82</v>
      </c>
      <c r="M106" s="1219">
        <f t="shared" si="73"/>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74">C108-$K35</f>
        <v>100</v>
      </c>
      <c r="E108" s="1189">
        <f t="shared" si="74"/>
        <v>100</v>
      </c>
      <c r="F108" s="1189">
        <f t="shared" si="74"/>
        <v>100</v>
      </c>
      <c r="G108" s="1189">
        <f t="shared" si="74"/>
        <v>100</v>
      </c>
      <c r="H108" s="1189">
        <f t="shared" si="74"/>
        <v>100</v>
      </c>
      <c r="I108" s="1189">
        <f t="shared" si="74"/>
        <v>100</v>
      </c>
      <c r="J108" s="1189">
        <f t="shared" si="74"/>
        <v>100</v>
      </c>
      <c r="K108" s="1189">
        <f t="shared" si="74"/>
        <v>100</v>
      </c>
      <c r="L108" s="1189">
        <f t="shared" si="74"/>
        <v>100</v>
      </c>
      <c r="M108" s="1219">
        <f t="shared" si="74"/>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 t="shared" ref="C109:F109" si="75">C110&amp;"(含)"&amp;"-"&amp;D110</f>
        <v>0.5(含)-0.6</v>
      </c>
      <c r="D109" s="1201" t="str">
        <f t="shared" si="75"/>
        <v>0.6(含)-0.7</v>
      </c>
      <c r="E109" s="1201" t="str">
        <f t="shared" si="75"/>
        <v>0.7(含)-0.8</v>
      </c>
      <c r="F109" s="1201" t="str">
        <f t="shared" si="75"/>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 t="shared" ref="D111:M111" si="76">C111+$K36</f>
        <v>102</v>
      </c>
      <c r="E111" s="1189">
        <f t="shared" si="76"/>
        <v>104</v>
      </c>
      <c r="F111" s="1189">
        <f t="shared" si="76"/>
        <v>106</v>
      </c>
      <c r="G111" s="1189">
        <f t="shared" si="76"/>
        <v>108</v>
      </c>
      <c r="H111" s="1189">
        <f t="shared" si="76"/>
        <v>110</v>
      </c>
      <c r="I111" s="1189">
        <f t="shared" si="76"/>
        <v>112</v>
      </c>
      <c r="J111" s="1189">
        <f t="shared" si="76"/>
        <v>114</v>
      </c>
      <c r="K111" s="1189">
        <f t="shared" si="76"/>
        <v>116</v>
      </c>
      <c r="L111" s="1189">
        <f t="shared" si="76"/>
        <v>118</v>
      </c>
      <c r="M111" s="1189">
        <f t="shared" si="76"/>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 t="shared" ref="D113:M113" si="77">C113-$K37</f>
        <v>99</v>
      </c>
      <c r="E113" s="1189">
        <f t="shared" si="77"/>
        <v>98</v>
      </c>
      <c r="F113" s="1189">
        <f t="shared" si="77"/>
        <v>97</v>
      </c>
      <c r="G113" s="1189">
        <f t="shared" si="77"/>
        <v>96</v>
      </c>
      <c r="H113" s="1189">
        <f t="shared" si="77"/>
        <v>95</v>
      </c>
      <c r="I113" s="1189">
        <f t="shared" si="77"/>
        <v>94</v>
      </c>
      <c r="J113" s="1189">
        <f t="shared" si="77"/>
        <v>93</v>
      </c>
      <c r="K113" s="1189">
        <f t="shared" si="77"/>
        <v>92</v>
      </c>
      <c r="L113" s="1189">
        <f t="shared" si="77"/>
        <v>91</v>
      </c>
      <c r="M113" s="1189">
        <f t="shared" si="7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78">C115-$K38</f>
        <v>85</v>
      </c>
      <c r="E115" s="1189">
        <f t="shared" si="78"/>
        <v>70</v>
      </c>
      <c r="F115" s="1189">
        <f t="shared" si="78"/>
        <v>55</v>
      </c>
      <c r="G115" s="1189">
        <f t="shared" si="78"/>
        <v>40</v>
      </c>
      <c r="H115" s="1189">
        <f t="shared" si="78"/>
        <v>25</v>
      </c>
      <c r="I115" s="1189">
        <f t="shared" si="78"/>
        <v>10</v>
      </c>
      <c r="J115" s="1189">
        <f t="shared" si="78"/>
        <v>-5</v>
      </c>
      <c r="K115" s="1189">
        <f t="shared" si="78"/>
        <v>-20</v>
      </c>
      <c r="L115" s="1189">
        <f t="shared" si="78"/>
        <v>-35</v>
      </c>
      <c r="M115" s="1219">
        <f t="shared" si="78"/>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 t="shared" ref="D117:G117" si="79">C117-$K39</f>
        <v>90</v>
      </c>
      <c r="E117" s="1189">
        <f t="shared" si="79"/>
        <v>80</v>
      </c>
      <c r="F117" s="1189">
        <f t="shared" si="79"/>
        <v>70</v>
      </c>
      <c r="G117" s="1189">
        <f t="shared" si="79"/>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 t="shared" ref="D121:M121" si="80">C121-$K41</f>
        <v>100</v>
      </c>
      <c r="E121" s="1189">
        <f t="shared" si="80"/>
        <v>100</v>
      </c>
      <c r="F121" s="1189">
        <f t="shared" si="80"/>
        <v>100</v>
      </c>
      <c r="G121" s="1189">
        <f t="shared" si="80"/>
        <v>100</v>
      </c>
      <c r="H121" s="1189">
        <f t="shared" si="80"/>
        <v>100</v>
      </c>
      <c r="I121" s="1189">
        <f t="shared" si="80"/>
        <v>100</v>
      </c>
      <c r="J121" s="1189">
        <f t="shared" si="80"/>
        <v>100</v>
      </c>
      <c r="K121" s="1189">
        <f t="shared" si="80"/>
        <v>100</v>
      </c>
      <c r="L121" s="1189">
        <f t="shared" si="80"/>
        <v>100</v>
      </c>
      <c r="M121" s="1219">
        <f t="shared" si="8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81">C123-$K42</f>
        <v>98</v>
      </c>
      <c r="E123" s="1189">
        <f t="shared" si="81"/>
        <v>96</v>
      </c>
      <c r="F123" s="1189">
        <f t="shared" si="81"/>
        <v>94</v>
      </c>
      <c r="G123" s="1189">
        <f t="shared" si="81"/>
        <v>92</v>
      </c>
      <c r="H123" s="1189">
        <f t="shared" si="81"/>
        <v>90</v>
      </c>
      <c r="I123" s="1189">
        <f t="shared" si="81"/>
        <v>88</v>
      </c>
      <c r="J123" s="1189">
        <f t="shared" si="81"/>
        <v>86</v>
      </c>
      <c r="K123" s="1189">
        <f t="shared" si="81"/>
        <v>84</v>
      </c>
      <c r="L123" s="1189">
        <f t="shared" si="81"/>
        <v>82</v>
      </c>
      <c r="M123" s="1219">
        <f t="shared" si="8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G125" si="82">C125-$K43</f>
        <v>98</v>
      </c>
      <c r="E125" s="1189">
        <f t="shared" si="82"/>
        <v>96</v>
      </c>
      <c r="F125" s="1189">
        <f t="shared" si="82"/>
        <v>94</v>
      </c>
      <c r="G125" s="1189">
        <f t="shared" si="82"/>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8" workbookViewId="0">
      <selection activeCell="U43" sqref="U43"/>
    </sheetView>
  </sheetViews>
  <sheetFormatPr defaultColWidth="9" defaultRowHeight="13.5"/>
  <sheetData>
    <row r="51" spans="19:19">
      <c r="S51" t="s">
        <v>1854</v>
      </c>
    </row>
    <row r="52" spans="19:19">
      <c r="S52" t="s">
        <v>1855</v>
      </c>
    </row>
    <row r="77" spans="19:19">
      <c r="S77" t="s">
        <v>1854</v>
      </c>
    </row>
    <row r="78" spans="19:19">
      <c r="S78" t="s">
        <v>1856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1857</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1858</v>
      </c>
      <c r="D2" s="909" t="s">
        <v>1859</v>
      </c>
      <c r="E2" s="911">
        <f ca="1">SUMIF(E6:E13,"&lt;&gt;#ref!",E6:E13)</f>
        <v>0</v>
      </c>
      <c r="F2" s="908"/>
      <c r="G2" s="908"/>
      <c r="H2" s="908"/>
      <c r="I2" s="908"/>
      <c r="J2" s="908"/>
      <c r="K2" s="908"/>
      <c r="L2" s="908"/>
      <c r="M2" s="908"/>
      <c r="N2" s="908"/>
      <c r="O2" s="908"/>
      <c r="P2" s="908"/>
    </row>
    <row r="3" ht="15.75" spans="1:16">
      <c r="A3" s="909" t="s">
        <v>1860</v>
      </c>
      <c r="B3" s="910" t="e">
        <f ca="1">ROUND(B2*10000/E2,0)</f>
        <v>#DIV/0!</v>
      </c>
      <c r="C3" s="909" t="s">
        <v>1861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1862</v>
      </c>
      <c r="B5" s="914" t="s">
        <v>1863</v>
      </c>
      <c r="C5" s="915"/>
      <c r="D5" s="908"/>
      <c r="E5" s="916" t="s">
        <v>1864</v>
      </c>
      <c r="F5" s="908"/>
      <c r="G5" s="908"/>
      <c r="H5" s="908"/>
      <c r="I5" s="908"/>
      <c r="J5" s="908"/>
      <c r="K5" s="908"/>
      <c r="L5" s="908"/>
      <c r="M5" s="908"/>
      <c r="N5" s="908"/>
      <c r="O5" s="908"/>
      <c r="P5" s="908"/>
    </row>
    <row r="6" spans="1:16">
      <c r="A6" s="917" t="s">
        <v>1865</v>
      </c>
      <c r="B6" s="910" t="e">
        <f ca="1">SUMIF(INDIRECT("'"&amp;A6&amp;"'"&amp;"!A:A"),"总价",INDIRECT("'"&amp;A6&amp;"'"&amp;"!B:B"))</f>
        <v>#DIV/0!</v>
      </c>
      <c r="C6" s="909" t="s">
        <v>1858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1858</v>
      </c>
      <c r="D8" s="908"/>
      <c r="E8" s="911" t="e">
        <f ca="1" t="shared" si="0"/>
        <v>#REF!</v>
      </c>
      <c r="F8" s="908"/>
      <c r="G8" s="908"/>
      <c r="H8" s="908"/>
      <c r="I8" s="908"/>
      <c r="J8" s="908"/>
      <c r="K8" s="908"/>
      <c r="L8" s="908"/>
      <c r="M8" s="908"/>
      <c r="N8" s="908"/>
      <c r="O8" s="908"/>
      <c r="P8" s="908"/>
    </row>
    <row r="9" ht="15.75" spans="1:16">
      <c r="A9" s="917"/>
      <c r="B9" s="910" t="e">
        <f ca="1" t="shared" si="1"/>
        <v>#REF!</v>
      </c>
      <c r="C9" s="909" t="s">
        <v>1858</v>
      </c>
      <c r="D9" s="908"/>
      <c r="E9" s="911" t="e">
        <f ca="1" t="shared" si="0"/>
        <v>#REF!</v>
      </c>
      <c r="F9" s="908"/>
      <c r="G9" s="908"/>
      <c r="H9" s="908"/>
      <c r="I9" s="908"/>
      <c r="J9" s="908"/>
      <c r="K9" s="908"/>
      <c r="L9" s="908"/>
      <c r="M9" s="908"/>
      <c r="N9" s="908"/>
      <c r="O9" s="908"/>
      <c r="P9" s="908"/>
    </row>
    <row r="10" ht="15.75" spans="1:16">
      <c r="A10" s="917"/>
      <c r="B10" s="910" t="e">
        <f ca="1" t="shared" si="1"/>
        <v>#REF!</v>
      </c>
      <c r="C10" s="909" t="s">
        <v>1858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1866</v>
      </c>
      <c r="B1" s="346"/>
      <c r="C1" s="349" t="s">
        <v>1465</v>
      </c>
      <c r="D1" s="522">
        <f>SUM(D33:D34,D37:D42)</f>
        <v>0</v>
      </c>
      <c r="E1" s="523"/>
      <c r="F1" s="523"/>
      <c r="G1" s="523"/>
      <c r="H1" s="523"/>
      <c r="I1" s="523"/>
      <c r="J1" s="523"/>
      <c r="K1" s="515"/>
      <c r="L1" s="729" t="s">
        <v>1867</v>
      </c>
      <c r="M1" s="730">
        <f>SUMPRODUCT((区片价!B5:B9=I2)*(区片价!C3:G3=E2)*(区片价!C5:G9))</f>
        <v>0</v>
      </c>
      <c r="N1" s="731">
        <f>SUMPRODUCT((因素修正幅度!B5:B9=I2)*(因素修正幅度!C3:G3=E2)*(因素修正幅度!C5:G9))</f>
        <v>0</v>
      </c>
      <c r="O1" s="516"/>
      <c r="P1" s="516"/>
      <c r="Q1" s="515"/>
      <c r="R1" s="819" t="s">
        <v>1868</v>
      </c>
      <c r="S1" s="819" t="s">
        <v>1869</v>
      </c>
      <c r="T1" s="819" t="s">
        <v>1870</v>
      </c>
      <c r="U1" s="819" t="s">
        <v>1871</v>
      </c>
      <c r="V1" s="819" t="s">
        <v>1872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1873</v>
      </c>
      <c r="E2" s="526"/>
      <c r="F2" s="525" t="s">
        <v>1874</v>
      </c>
      <c r="G2" s="527">
        <f>IF(E2="商业",项目基本情况!B37,IF(E2="办公",项目基本情况!C37,IF(E2="住宅",项目基本情况!D37,IF(E2="工业",项目基本情况!E37,项目基本情况!F37))))</f>
        <v>0</v>
      </c>
      <c r="H2" s="525" t="s">
        <v>1875</v>
      </c>
      <c r="I2" s="527">
        <f>IF(E2="商业",项目基本情况!B38,IF(E2="办公",项目基本情况!C38,IF(E2="住宅",项目基本情况!D38,IF(E2="工业",项目基本情况!E38,项目基本情况!F38))))</f>
        <v>0</v>
      </c>
      <c r="J2" s="523"/>
      <c r="K2" s="515"/>
      <c r="L2" s="732" t="s">
        <v>1876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1877</v>
      </c>
      <c r="E3" s="528"/>
      <c r="F3" s="529"/>
      <c r="G3" s="530">
        <f>IF(F3="宗地容积率",'数据-汇总表'!I4,IF(F3="估价对象容积率",'数据-汇总表'!I6,'数据-汇总表'!I7))</f>
        <v>0</v>
      </c>
      <c r="H3" s="525" t="s">
        <v>1878</v>
      </c>
      <c r="I3" s="734"/>
      <c r="J3" s="523" t="s">
        <v>1879</v>
      </c>
      <c r="K3" s="515"/>
      <c r="L3" s="732" t="s">
        <v>1880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1882</v>
      </c>
      <c r="C5" s="536" t="e">
        <f>ROUND(IF(E2="商业",C6*C7*C17+C20,(IF(E2="住宅",C6*C13*C17+C20,IF(E2="办公",C6*C12*C17+C20,C6+C20)))),0)</f>
        <v>#DIV/0!</v>
      </c>
      <c r="D5" s="537" t="e">
        <f>ROUND(C6*C17+C20,0)</f>
        <v>#DIV/0!</v>
      </c>
      <c r="E5" s="537"/>
      <c r="F5" s="538"/>
      <c r="G5" s="539"/>
      <c r="H5" s="539"/>
      <c r="I5" s="539"/>
      <c r="J5" s="736"/>
      <c r="K5" s="737"/>
      <c r="L5" s="732" t="s">
        <v>1883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1884</v>
      </c>
      <c r="C6" s="542">
        <f>SUMIF(L1:L12,G2,M1:M12)</f>
        <v>0</v>
      </c>
      <c r="D6" s="543"/>
      <c r="E6" s="544"/>
      <c r="F6" s="544"/>
      <c r="G6" s="545"/>
      <c r="H6" s="545"/>
      <c r="I6" s="545"/>
      <c r="J6" s="738"/>
      <c r="K6" s="739"/>
      <c r="L6" s="732" t="s">
        <v>1885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1886</v>
      </c>
      <c r="B7" s="547" t="s">
        <v>1887</v>
      </c>
      <c r="C7" s="548" t="e">
        <f>IF(C8="不临65条商业街",1,ROUND(1+(1.6*E8+1.2*E9+0.8*E10+0.4*E11)*C9,4))</f>
        <v>#DIV/0!</v>
      </c>
      <c r="D7" s="549" t="s">
        <v>1888</v>
      </c>
      <c r="E7" s="550"/>
      <c r="F7" s="551"/>
      <c r="G7" s="552"/>
      <c r="H7" s="552"/>
      <c r="I7" s="552"/>
      <c r="J7" s="740"/>
      <c r="K7" s="739"/>
      <c r="L7" s="732" t="s">
        <v>1889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1890</v>
      </c>
      <c r="X7" s="825">
        <f>G2</f>
        <v>0</v>
      </c>
      <c r="Y7" s="825" t="s">
        <v>1891</v>
      </c>
      <c r="Z7" s="837">
        <f>G3</f>
        <v>0</v>
      </c>
      <c r="AA7" s="820"/>
      <c r="AB7" s="820"/>
      <c r="AC7" s="833"/>
      <c r="AD7" s="834"/>
      <c r="AE7" s="834"/>
      <c r="AF7" s="834"/>
      <c r="AG7" s="834"/>
      <c r="AH7" s="834"/>
      <c r="AI7" s="834"/>
      <c r="AJ7" s="843"/>
    </row>
    <row r="8" ht="15" spans="1:36">
      <c r="A8" s="553"/>
      <c r="B8" s="525" t="s">
        <v>1892</v>
      </c>
      <c r="C8" s="554"/>
      <c r="D8" s="555" t="s">
        <v>1893</v>
      </c>
      <c r="E8" s="556" t="e">
        <f>ROUND(C11/E7,4)</f>
        <v>#DIV/0!</v>
      </c>
      <c r="F8" s="557" t="s">
        <v>1894</v>
      </c>
      <c r="G8" s="558"/>
      <c r="H8" s="558"/>
      <c r="I8" s="558"/>
      <c r="J8" s="741"/>
      <c r="K8" s="515"/>
      <c r="L8" s="732" t="s">
        <v>1895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1896</v>
      </c>
      <c r="X8" s="827"/>
      <c r="Y8" s="838" t="s">
        <v>1897</v>
      </c>
      <c r="Z8" s="838" t="s">
        <v>1898</v>
      </c>
      <c r="AA8" s="838" t="s">
        <v>1899</v>
      </c>
      <c r="AB8" s="838" t="s">
        <v>1900</v>
      </c>
      <c r="AC8" s="838" t="s">
        <v>1901</v>
      </c>
      <c r="AD8" s="838" t="s">
        <v>1902</v>
      </c>
      <c r="AE8" s="838" t="s">
        <v>1903</v>
      </c>
      <c r="AF8" s="838" t="s">
        <v>1904</v>
      </c>
      <c r="AG8" s="838" t="s">
        <v>1905</v>
      </c>
      <c r="AH8" s="838" t="s">
        <v>1906</v>
      </c>
      <c r="AI8" s="838" t="s">
        <v>1907</v>
      </c>
      <c r="AJ8" s="838" t="s">
        <v>1908</v>
      </c>
    </row>
    <row r="9" ht="15" spans="1:36">
      <c r="A9" s="553"/>
      <c r="B9" s="525" t="s">
        <v>1909</v>
      </c>
      <c r="C9" s="559">
        <f>SUMIF(修正!C71:C138,C8,修正!E71:E138)</f>
        <v>0</v>
      </c>
      <c r="D9" s="527" t="s">
        <v>1910</v>
      </c>
      <c r="E9" s="527" t="e">
        <f>ROUND(C11/E7,4)</f>
        <v>#DIV/0!</v>
      </c>
      <c r="F9" s="557" t="s">
        <v>1911</v>
      </c>
      <c r="G9" s="558"/>
      <c r="H9" s="558"/>
      <c r="I9" s="558"/>
      <c r="J9" s="741"/>
      <c r="K9" s="515"/>
      <c r="L9" s="732" t="s">
        <v>1912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1914</v>
      </c>
      <c r="C10" s="527">
        <f>SUMIF(修正!C71:C138,C8,修正!F71:F138)</f>
        <v>0</v>
      </c>
      <c r="D10" s="527" t="s">
        <v>1915</v>
      </c>
      <c r="E10" s="527" t="e">
        <f>ROUND(C11/E7,4)</f>
        <v>#DIV/0!</v>
      </c>
      <c r="F10" s="557" t="s">
        <v>1916</v>
      </c>
      <c r="G10" s="558"/>
      <c r="H10" s="558"/>
      <c r="I10" s="558"/>
      <c r="J10" s="741"/>
      <c r="K10" s="515"/>
      <c r="L10" s="732" t="s">
        <v>1917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1918</v>
      </c>
      <c r="C11" s="562">
        <f>C10/4</f>
        <v>0</v>
      </c>
      <c r="D11" s="562" t="s">
        <v>1919</v>
      </c>
      <c r="E11" s="562" t="e">
        <f>ROUND(C11/E7,4)</f>
        <v>#DIV/0!</v>
      </c>
      <c r="F11" s="563" t="s">
        <v>1920</v>
      </c>
      <c r="G11" s="564"/>
      <c r="H11" s="564"/>
      <c r="I11" s="564"/>
      <c r="J11" s="742"/>
      <c r="K11" s="515"/>
      <c r="L11" s="732" t="s">
        <v>1921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1922</v>
      </c>
      <c r="B12" s="565" t="s">
        <v>1923</v>
      </c>
      <c r="C12" s="566"/>
      <c r="D12" s="567" t="s">
        <v>1924</v>
      </c>
      <c r="E12" s="568" t="s">
        <v>1925</v>
      </c>
      <c r="F12" s="569"/>
      <c r="G12" s="570"/>
      <c r="H12" s="570"/>
      <c r="I12" s="570"/>
      <c r="J12" s="743"/>
      <c r="K12" s="515"/>
      <c r="L12" s="744" t="s">
        <v>1926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1927</v>
      </c>
      <c r="B13" s="571" t="s">
        <v>1928</v>
      </c>
      <c r="C13" s="548">
        <f>ROUND(C16*D16*E16*F16*G16*H16*I16*J16,4)</f>
        <v>0</v>
      </c>
      <c r="D13" s="572" t="s">
        <v>1929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1930</v>
      </c>
      <c r="C14" s="577" t="s">
        <v>1931</v>
      </c>
      <c r="D14" s="578" t="s">
        <v>1932</v>
      </c>
      <c r="E14" s="579" t="s">
        <v>1933</v>
      </c>
      <c r="F14" s="580" t="s">
        <v>1934</v>
      </c>
      <c r="G14" s="580" t="s">
        <v>1934</v>
      </c>
      <c r="H14" s="580" t="s">
        <v>1934</v>
      </c>
      <c r="I14" s="580" t="s">
        <v>1934</v>
      </c>
      <c r="J14" s="580" t="s">
        <v>1934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1936</v>
      </c>
      <c r="B17" s="591" t="s">
        <v>1937</v>
      </c>
      <c r="C17" s="592">
        <f>ROUND(IF(OR(E2="工业",E2="公共服务"),1,IF(AND(E18=0,E19=0),1,IF(AND(E18=J24,E19=G19),0.8,IF(E19=0,1+E17*(-0.2),1+E17*G17*(-0.2))))),4)</f>
        <v>1</v>
      </c>
      <c r="D17" s="593" t="s">
        <v>1938</v>
      </c>
      <c r="E17" s="592" t="e">
        <f>ROUND(G18/I18,2)</f>
        <v>#DIV/0!</v>
      </c>
      <c r="F17" s="593" t="s">
        <v>1939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1940</v>
      </c>
      <c r="E18" s="598"/>
      <c r="F18" s="599" t="s">
        <v>1941</v>
      </c>
      <c r="G18" s="596">
        <f>ROUND(1-(1/(POWER(1+G24,E18))),4)</f>
        <v>0</v>
      </c>
      <c r="H18" s="599" t="s">
        <v>1942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1943</v>
      </c>
      <c r="E19" s="603"/>
      <c r="F19" s="604" t="s">
        <v>1944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1945</v>
      </c>
      <c r="B20" s="606" t="s">
        <v>1946</v>
      </c>
      <c r="C20" s="607" t="e">
        <f>ROUND(IF(F21="与级别开发程度一致",0,(G21-E21)/C21),0)</f>
        <v>#DIV/0!</v>
      </c>
      <c r="D20" s="608" t="s">
        <v>1947</v>
      </c>
      <c r="E20" s="609"/>
      <c r="F20" s="610" t="s">
        <v>1948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1950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1951</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1952</v>
      </c>
      <c r="E23" s="629">
        <v>44197</v>
      </c>
      <c r="F23" s="628" t="s">
        <v>1953</v>
      </c>
      <c r="G23" s="630">
        <f>'数据-取费表'!B2</f>
        <v>45797</v>
      </c>
      <c r="H23" s="631" t="s">
        <v>1954</v>
      </c>
      <c r="I23" s="763" t="str">
        <f>IF(H23="季度增幅（自定义）",SUMIF(N25:N28,E2,O25:O28),"")</f>
        <v/>
      </c>
      <c r="J23" s="764" t="s">
        <v>1955</v>
      </c>
      <c r="K23" s="760"/>
      <c r="L23" s="765" t="s">
        <v>1956</v>
      </c>
      <c r="M23" s="766">
        <f>ROUND(SUMIF(地价!B2:G2,E2,地价!B16:G16),0)</f>
        <v>0</v>
      </c>
      <c r="N23" s="767" t="s">
        <v>1957</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1958</v>
      </c>
      <c r="C24" s="634" t="e">
        <f>ROUND(POWER(1+G24,J24-I24)*(POWER(1+G24,I24)-1)/(POWER(1+G24,J24)-1),4)</f>
        <v>#DIV/0!</v>
      </c>
      <c r="D24" s="635" t="s">
        <v>1959</v>
      </c>
      <c r="E24" s="636">
        <f>存贷款利率!E24/100</f>
        <v>0.0435</v>
      </c>
      <c r="F24" s="635" t="s">
        <v>1960</v>
      </c>
      <c r="G24" s="637">
        <f>SUMIF(M30:Q30,E2,M33:Q33)</f>
        <v>0</v>
      </c>
      <c r="H24" s="635" t="s">
        <v>1961</v>
      </c>
      <c r="I24" s="769" t="e">
        <f>SUMIF('数据-取费表'!C6:C15,E2,'数据-取费表'!F6:F15)/COUNTIF('数据-取费表'!C6:C15,E2)</f>
        <v>#DIV/0!</v>
      </c>
      <c r="J24" s="770">
        <f>IF(E2="住宅",70,IF(E2="商业",40,50))</f>
        <v>50</v>
      </c>
      <c r="K24" s="760"/>
      <c r="L24" s="771" t="s">
        <v>1962</v>
      </c>
      <c r="M24" s="772">
        <f>ROUND(SUMPRODUCT((地价!A4:A16=YEAR(G23)&amp;"-"&amp;ROUNDUP(MONTH(G23)/3,0))*(地价!B2:G2=E2)*(地价!B4:G16)),0)</f>
        <v>0</v>
      </c>
      <c r="N24" s="773" t="s">
        <v>1963</v>
      </c>
      <c r="O24" s="774" t="s">
        <v>1964</v>
      </c>
      <c r="P24" s="775" t="s">
        <v>1965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1966</v>
      </c>
      <c r="C25" s="640">
        <f>IF(B25="容积率修正",IF(G3&lt;10,D26,J26),C27)</f>
        <v>0</v>
      </c>
      <c r="D25" s="641"/>
      <c r="E25" s="641"/>
      <c r="F25" s="641"/>
      <c r="G25" s="641"/>
      <c r="H25" s="641"/>
      <c r="I25" s="641"/>
      <c r="J25" s="776"/>
      <c r="K25" s="760"/>
      <c r="L25" s="761"/>
      <c r="M25" s="761"/>
      <c r="N25" s="777" t="s">
        <v>1967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1968</v>
      </c>
      <c r="B26" s="643" t="s">
        <v>1969</v>
      </c>
      <c r="C26" s="643" t="s">
        <v>1970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1971</v>
      </c>
      <c r="J26" s="780" t="str">
        <f>IF(G3&gt;=10,D115,"——")</f>
        <v>——</v>
      </c>
      <c r="K26" s="760"/>
      <c r="L26" s="761"/>
      <c r="M26" s="761"/>
      <c r="N26" s="777" t="s">
        <v>1972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1973</v>
      </c>
      <c r="B27" s="645" t="s">
        <v>1974</v>
      </c>
      <c r="C27" s="646">
        <f>ROUND(IF(I3&lt;6,SUMPRODUCT((B106:B110=I3)*(C105:N105=G2)*(C106:N110)),SUMIF(C105:N105,G2,C112:N112)),4)</f>
        <v>0</v>
      </c>
      <c r="D27" s="523"/>
      <c r="E27" s="523"/>
      <c r="F27" s="647"/>
      <c r="G27" s="648"/>
      <c r="H27" s="649"/>
      <c r="I27" s="781"/>
      <c r="J27" s="782"/>
      <c r="K27" s="515"/>
      <c r="L27" s="516"/>
      <c r="M27" s="516"/>
      <c r="N27" s="777" t="s">
        <v>1975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1976</v>
      </c>
      <c r="B28" s="626" t="s">
        <v>1977</v>
      </c>
      <c r="C28" s="627">
        <f>SUMIF(A47:A101,E2,B47:B101)</f>
        <v>0</v>
      </c>
      <c r="D28" s="650"/>
      <c r="E28" s="651"/>
      <c r="F28" s="651"/>
      <c r="G28" s="651"/>
      <c r="H28" s="651"/>
      <c r="I28" s="651"/>
      <c r="J28" s="783"/>
      <c r="K28" s="760"/>
      <c r="L28" s="761"/>
      <c r="M28" s="761"/>
      <c r="N28" s="784" t="s">
        <v>1978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1979</v>
      </c>
      <c r="B29" s="652" t="s">
        <v>1980</v>
      </c>
      <c r="C29" s="653"/>
      <c r="D29" s="552"/>
      <c r="E29" s="552"/>
      <c r="F29" s="654"/>
      <c r="G29" s="552"/>
      <c r="H29" s="552"/>
      <c r="I29" s="552"/>
      <c r="J29" s="740"/>
      <c r="K29" s="515"/>
      <c r="L29" s="516"/>
      <c r="M29" s="516"/>
      <c r="N29" s="787" t="s">
        <v>1981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1982</v>
      </c>
      <c r="C30" s="656" t="e">
        <f>IF(B25="容积率修正",E33+SUM(E37:E42),SUM(V2:V16)+SUM(E37:E42))</f>
        <v>#DIV/0!</v>
      </c>
      <c r="D30" s="657"/>
      <c r="E30" s="523"/>
      <c r="F30" s="658"/>
      <c r="G30" s="523"/>
      <c r="H30" s="523"/>
      <c r="I30" s="523"/>
      <c r="J30" s="790"/>
      <c r="K30" s="515"/>
      <c r="L30" s="791" t="s">
        <v>1873</v>
      </c>
      <c r="M30" s="792" t="s">
        <v>1983</v>
      </c>
      <c r="N30" s="792" t="s">
        <v>1984</v>
      </c>
      <c r="O30" s="792" t="s">
        <v>1985</v>
      </c>
      <c r="P30" s="792" t="s">
        <v>1986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1987</v>
      </c>
      <c r="C31" s="659" t="e">
        <f>E34+SUM(I37:I42)</f>
        <v>#DIV/0!</v>
      </c>
      <c r="D31" s="660"/>
      <c r="E31" s="661"/>
      <c r="F31" s="662"/>
      <c r="G31" s="661"/>
      <c r="H31" s="661"/>
      <c r="I31" s="661"/>
      <c r="J31" s="793"/>
      <c r="K31" s="515"/>
      <c r="L31" s="794" t="s">
        <v>1988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1989</v>
      </c>
      <c r="C32" s="665" t="s">
        <v>1990</v>
      </c>
      <c r="D32" s="665" t="s">
        <v>559</v>
      </c>
      <c r="E32" s="666" t="s">
        <v>1991</v>
      </c>
      <c r="F32" s="667"/>
      <c r="G32" s="574"/>
      <c r="H32" s="574"/>
      <c r="I32" s="574"/>
      <c r="J32" s="746"/>
      <c r="K32" s="515"/>
      <c r="L32" s="795" t="s">
        <v>1960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1992</v>
      </c>
      <c r="C33" s="670" t="e">
        <f>ROUND(C5*C22*C23*C24*C25*C28,0)</f>
        <v>#DIV/0!</v>
      </c>
      <c r="D33" s="671"/>
      <c r="E33" s="672" t="e">
        <f>ROUND(C33*D33/10000,0)</f>
        <v>#DIV/0!</v>
      </c>
      <c r="F33" s="673" t="s">
        <v>1993</v>
      </c>
      <c r="G33" s="674"/>
      <c r="H33" s="674"/>
      <c r="I33" s="674"/>
      <c r="J33" s="797"/>
      <c r="K33" s="515"/>
      <c r="L33" s="798" t="s">
        <v>1994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1995</v>
      </c>
      <c r="C34" s="616" t="e">
        <f>ROUND(IF(E2="工业",C33*M42,IF(B25="楼层修正",SUM(V2:V16)*M41*10000/D34,C33*M41)),0)</f>
        <v>#DIV/0!</v>
      </c>
      <c r="D34" s="677"/>
      <c r="E34" s="672" t="e">
        <f>ROUND(IF(B25="楼层修正",SUM(V2:V16)*M40,C34*D34/10000),0)</f>
        <v>#DIV/0!</v>
      </c>
      <c r="F34" s="678" t="s">
        <v>1996</v>
      </c>
      <c r="G34" s="679"/>
      <c r="H34" s="679"/>
      <c r="I34" s="679"/>
      <c r="J34" s="800"/>
      <c r="K34" s="515"/>
      <c r="L34" s="798" t="s">
        <v>1997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1998</v>
      </c>
      <c r="C35" s="682" t="s">
        <v>1999</v>
      </c>
      <c r="D35" s="574"/>
      <c r="E35" s="683"/>
      <c r="F35" s="683"/>
      <c r="G35" s="572" t="s">
        <v>1996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1990</v>
      </c>
      <c r="D36" s="686" t="s">
        <v>559</v>
      </c>
      <c r="E36" s="686" t="s">
        <v>1991</v>
      </c>
      <c r="F36" s="522" t="s">
        <v>2000</v>
      </c>
      <c r="G36" s="687" t="s">
        <v>1990</v>
      </c>
      <c r="H36" s="687" t="s">
        <v>559</v>
      </c>
      <c r="I36" s="687" t="s">
        <v>1991</v>
      </c>
      <c r="J36" s="397"/>
      <c r="K36" s="698" t="s">
        <v>2001</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2003</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2007</v>
      </c>
      <c r="M40" s="808"/>
      <c r="Z40" s="694"/>
      <c r="AA40" s="694"/>
      <c r="AB40" s="694"/>
      <c r="AC40" s="694"/>
      <c r="AD40" s="694"/>
      <c r="AE40" s="694"/>
      <c r="AF40" s="694"/>
      <c r="AG40" s="694"/>
      <c r="AH40" s="694"/>
      <c r="AI40" s="694"/>
      <c r="AJ40" s="694"/>
    </row>
    <row r="41" s="515" customFormat="1" spans="1:36">
      <c r="A41" s="691"/>
      <c r="B41" s="577" t="s">
        <v>2008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2009</v>
      </c>
      <c r="M41" s="810">
        <v>0.25</v>
      </c>
      <c r="Z41" s="694"/>
      <c r="AA41" s="694"/>
      <c r="AB41" s="694"/>
      <c r="AC41" s="694"/>
      <c r="AD41" s="694"/>
      <c r="AE41" s="694"/>
      <c r="AF41" s="694"/>
      <c r="AG41" s="694"/>
      <c r="AH41" s="694"/>
      <c r="AI41" s="694"/>
      <c r="AJ41" s="694"/>
    </row>
    <row r="42" s="515" customFormat="1" ht="13.5" spans="1:36">
      <c r="A42" s="675"/>
      <c r="B42" s="692" t="s">
        <v>2010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2011</v>
      </c>
      <c r="C44" s="522" t="e">
        <f>ROUND(POWER(1+E44,H44-G44)*(POWER(1+E44,G44)-1)/(POWER(1+E44,H44)-1),4)</f>
        <v>#DIV/0!</v>
      </c>
      <c r="D44" s="527" t="s">
        <v>1960</v>
      </c>
      <c r="E44" s="696">
        <f>G24</f>
        <v>0</v>
      </c>
      <c r="F44" s="527" t="s">
        <v>1961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2014</v>
      </c>
      <c r="B49" s="710" t="s">
        <v>2015</v>
      </c>
      <c r="C49" s="710" t="s">
        <v>2016</v>
      </c>
      <c r="D49" s="710" t="s">
        <v>2017</v>
      </c>
      <c r="E49" s="711" t="s">
        <v>2018</v>
      </c>
      <c r="F49" s="712" t="s">
        <v>2019</v>
      </c>
      <c r="G49" s="710" t="s">
        <v>1700</v>
      </c>
      <c r="H49" s="713" t="s">
        <v>2020</v>
      </c>
      <c r="I49" s="710" t="s">
        <v>2021</v>
      </c>
      <c r="J49" s="815" t="s">
        <v>1523</v>
      </c>
      <c r="K49" s="815" t="s">
        <v>1524</v>
      </c>
      <c r="L49" s="815" t="s">
        <v>1525</v>
      </c>
      <c r="M49" s="815" t="s">
        <v>1526</v>
      </c>
      <c r="N49" s="815" t="s">
        <v>1527</v>
      </c>
      <c r="AA49" s="694"/>
      <c r="AB49" s="694"/>
      <c r="AC49" s="694"/>
      <c r="AD49" s="694"/>
      <c r="AE49" s="694"/>
      <c r="AF49" s="694"/>
      <c r="AG49" s="694"/>
      <c r="AH49" s="694"/>
      <c r="AI49" s="694"/>
      <c r="AJ49" s="694"/>
      <c r="AK49" s="694"/>
    </row>
    <row r="50" s="515" customFormat="1" ht="36.75" spans="1:37">
      <c r="A50" s="709" t="s">
        <v>2022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2025</v>
      </c>
      <c r="B53" s="722" t="s">
        <v>2026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2028</v>
      </c>
      <c r="B55" s="723" t="s">
        <v>2029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2014</v>
      </c>
      <c r="B60" s="710"/>
      <c r="C60" s="710" t="s">
        <v>2016</v>
      </c>
      <c r="D60" s="710" t="s">
        <v>2017</v>
      </c>
      <c r="E60" s="711" t="s">
        <v>2018</v>
      </c>
      <c r="F60" s="712" t="s">
        <v>2034</v>
      </c>
      <c r="G60" s="710" t="s">
        <v>1700</v>
      </c>
      <c r="H60" s="713" t="s">
        <v>2020</v>
      </c>
      <c r="I60" s="710" t="s">
        <v>2021</v>
      </c>
      <c r="J60" s="815" t="s">
        <v>1523</v>
      </c>
      <c r="K60" s="815" t="s">
        <v>1524</v>
      </c>
      <c r="L60" s="815" t="s">
        <v>1525</v>
      </c>
      <c r="M60" s="815" t="s">
        <v>1526</v>
      </c>
      <c r="N60" s="815" t="s">
        <v>1527</v>
      </c>
      <c r="AA60" s="694"/>
      <c r="AB60" s="694"/>
      <c r="AC60" s="694"/>
      <c r="AD60" s="694"/>
      <c r="AE60" s="694"/>
      <c r="AF60" s="694"/>
      <c r="AG60" s="694"/>
      <c r="AH60" s="694"/>
      <c r="AI60" s="694"/>
      <c r="AJ60" s="694"/>
      <c r="AK60" s="694"/>
    </row>
    <row r="61" s="515" customFormat="1" ht="36.75" spans="1:37">
      <c r="A61" s="709" t="s">
        <v>2035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2025</v>
      </c>
      <c r="B64" s="722" t="s">
        <v>2026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2028</v>
      </c>
      <c r="B66" s="723" t="s">
        <v>2029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2014</v>
      </c>
      <c r="B71" s="710"/>
      <c r="C71" s="710" t="s">
        <v>2016</v>
      </c>
      <c r="D71" s="710" t="s">
        <v>2017</v>
      </c>
      <c r="E71" s="711" t="s">
        <v>2018</v>
      </c>
      <c r="F71" s="712" t="s">
        <v>2034</v>
      </c>
      <c r="G71" s="710" t="s">
        <v>1700</v>
      </c>
      <c r="H71" s="713" t="s">
        <v>2020</v>
      </c>
      <c r="I71" s="710" t="s">
        <v>2021</v>
      </c>
      <c r="J71" s="815" t="s">
        <v>1523</v>
      </c>
      <c r="K71" s="815" t="s">
        <v>1524</v>
      </c>
      <c r="L71" s="815" t="s">
        <v>1525</v>
      </c>
      <c r="M71" s="815" t="s">
        <v>1526</v>
      </c>
      <c r="N71" s="815" t="s">
        <v>1527</v>
      </c>
      <c r="AA71" s="694"/>
      <c r="AB71" s="694"/>
      <c r="AC71" s="694"/>
      <c r="AD71" s="694"/>
      <c r="AE71" s="694"/>
      <c r="AF71" s="694"/>
      <c r="AG71" s="694"/>
      <c r="AH71" s="694"/>
      <c r="AI71" s="694"/>
      <c r="AJ71" s="694"/>
      <c r="AK71" s="694"/>
    </row>
    <row r="72" s="515" customFormat="1" ht="48" spans="1:37">
      <c r="A72" s="709" t="s">
        <v>2037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2028</v>
      </c>
      <c r="B78" s="723" t="s">
        <v>2029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2040</v>
      </c>
      <c r="B81" s="704">
        <f>1+E83</f>
        <v>1</v>
      </c>
      <c r="C81" s="706"/>
      <c r="D81" s="706"/>
      <c r="E81" s="707"/>
      <c r="F81" s="708"/>
      <c r="G81" s="702"/>
      <c r="H81" s="702"/>
      <c r="I81" s="702"/>
      <c r="J81" s="701"/>
      <c r="K81" s="701"/>
      <c r="L81" s="701"/>
      <c r="M81" s="701"/>
      <c r="N81" s="701"/>
      <c r="Z81" s="519"/>
      <c r="AA81" s="517"/>
      <c r="AG81" s="521"/>
      <c r="AK81" s="517"/>
    </row>
    <row r="82" ht="24.75" spans="1:37">
      <c r="A82" s="709" t="s">
        <v>2014</v>
      </c>
      <c r="B82" s="710"/>
      <c r="C82" s="710" t="s">
        <v>2016</v>
      </c>
      <c r="D82" s="710" t="s">
        <v>2017</v>
      </c>
      <c r="E82" s="711" t="s">
        <v>2018</v>
      </c>
      <c r="F82" s="712" t="s">
        <v>2034</v>
      </c>
      <c r="G82" s="710" t="s">
        <v>1700</v>
      </c>
      <c r="H82" s="713" t="s">
        <v>2020</v>
      </c>
      <c r="I82" s="710" t="s">
        <v>2021</v>
      </c>
      <c r="J82" s="815" t="s">
        <v>1523</v>
      </c>
      <c r="K82" s="815" t="s">
        <v>1524</v>
      </c>
      <c r="L82" s="815" t="s">
        <v>1525</v>
      </c>
      <c r="M82" s="815" t="s">
        <v>1526</v>
      </c>
      <c r="N82" s="815" t="s">
        <v>1527</v>
      </c>
      <c r="Z82" s="519"/>
      <c r="AA82" s="517"/>
      <c r="AG82" s="521"/>
      <c r="AK82" s="517"/>
    </row>
    <row r="83" ht="38.25" spans="1:37">
      <c r="A83" s="709" t="s">
        <v>2041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2028</v>
      </c>
      <c r="B89" s="723" t="s">
        <v>2042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2014</v>
      </c>
      <c r="B92" s="595"/>
      <c r="C92" s="595" t="s">
        <v>2016</v>
      </c>
      <c r="D92" s="595" t="s">
        <v>2017</v>
      </c>
      <c r="E92" s="831" t="s">
        <v>2018</v>
      </c>
      <c r="F92" s="862" t="s">
        <v>2034</v>
      </c>
      <c r="G92" s="595" t="s">
        <v>1700</v>
      </c>
      <c r="H92" s="863" t="s">
        <v>2020</v>
      </c>
      <c r="I92" s="595" t="s">
        <v>2021</v>
      </c>
      <c r="J92" s="898" t="s">
        <v>1523</v>
      </c>
      <c r="K92" s="898" t="s">
        <v>1524</v>
      </c>
      <c r="L92" s="898" t="s">
        <v>1525</v>
      </c>
      <c r="M92" s="898" t="s">
        <v>1526</v>
      </c>
      <c r="N92" s="898" t="s">
        <v>1527</v>
      </c>
    </row>
    <row r="93" ht="24" spans="1:14">
      <c r="A93" s="721" t="s">
        <v>2044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2025</v>
      </c>
      <c r="B96" s="869" t="s">
        <v>2026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2028</v>
      </c>
      <c r="B98" s="870" t="s">
        <v>2029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2045</v>
      </c>
      <c r="B103" s="874"/>
      <c r="C103" s="874"/>
      <c r="D103" s="874"/>
      <c r="E103" s="874"/>
      <c r="F103" s="874"/>
      <c r="G103" s="874"/>
      <c r="H103" s="874"/>
      <c r="I103" s="874"/>
      <c r="J103" s="874"/>
      <c r="K103" s="874"/>
      <c r="L103" s="874"/>
      <c r="M103" s="874"/>
      <c r="N103" s="874"/>
    </row>
    <row r="104" spans="1:14">
      <c r="A104" s="875" t="s">
        <v>2046</v>
      </c>
      <c r="B104" s="875" t="s">
        <v>2047</v>
      </c>
      <c r="C104" s="876" t="s">
        <v>2048</v>
      </c>
      <c r="D104" s="877"/>
      <c r="E104" s="877"/>
      <c r="F104" s="877"/>
      <c r="G104" s="877"/>
      <c r="H104" s="877"/>
      <c r="I104" s="877"/>
      <c r="J104" s="899"/>
      <c r="K104" s="900"/>
      <c r="L104" s="900"/>
      <c r="M104" s="900"/>
      <c r="N104" s="900"/>
    </row>
    <row r="105" spans="1:14">
      <c r="A105" s="875"/>
      <c r="B105" s="875"/>
      <c r="C105" s="875" t="s">
        <v>1897</v>
      </c>
      <c r="D105" s="875" t="s">
        <v>1898</v>
      </c>
      <c r="E105" s="875" t="s">
        <v>1899</v>
      </c>
      <c r="F105" s="875" t="s">
        <v>1900</v>
      </c>
      <c r="G105" s="875" t="s">
        <v>1901</v>
      </c>
      <c r="H105" s="875" t="s">
        <v>1902</v>
      </c>
      <c r="I105" s="875" t="s">
        <v>1903</v>
      </c>
      <c r="J105" s="875" t="s">
        <v>1904</v>
      </c>
      <c r="K105" s="875" t="s">
        <v>1905</v>
      </c>
      <c r="L105" s="875" t="s">
        <v>1906</v>
      </c>
      <c r="M105" s="875" t="s">
        <v>1907</v>
      </c>
      <c r="N105" s="875" t="s">
        <v>1908</v>
      </c>
    </row>
    <row r="106" spans="1:14">
      <c r="A106" s="878" t="s">
        <v>2049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2051</v>
      </c>
      <c r="B116" s="885">
        <f>G3</f>
        <v>0</v>
      </c>
      <c r="C116" s="886" t="s">
        <v>2052</v>
      </c>
      <c r="D116" s="887">
        <f>SUMPRODUCT((A118:A122=F116)*(B117:M117=H116)*B118:M122)</f>
        <v>0</v>
      </c>
      <c r="E116" s="525" t="s">
        <v>1873</v>
      </c>
      <c r="F116" s="888">
        <f>E2</f>
        <v>0</v>
      </c>
      <c r="G116" s="525" t="s">
        <v>1874</v>
      </c>
      <c r="H116" s="888">
        <f>G2</f>
        <v>0</v>
      </c>
      <c r="I116" s="525"/>
      <c r="J116" s="901"/>
      <c r="K116" s="901"/>
      <c r="L116" s="901"/>
      <c r="M116" s="901"/>
      <c r="N116" s="883"/>
    </row>
    <row r="117" spans="1:14">
      <c r="A117" s="889"/>
      <c r="B117" s="890" t="s">
        <v>2053</v>
      </c>
      <c r="C117" s="890" t="s">
        <v>2054</v>
      </c>
      <c r="D117" s="890" t="s">
        <v>2055</v>
      </c>
      <c r="E117" s="891" t="s">
        <v>2056</v>
      </c>
      <c r="F117" s="891" t="s">
        <v>2057</v>
      </c>
      <c r="G117" s="891" t="s">
        <v>2058</v>
      </c>
      <c r="H117" s="892" t="s">
        <v>2059</v>
      </c>
      <c r="I117" s="892" t="s">
        <v>2060</v>
      </c>
      <c r="J117" s="902" t="s">
        <v>2061</v>
      </c>
      <c r="K117" s="902" t="s">
        <v>2062</v>
      </c>
      <c r="L117" s="902" t="s">
        <v>2063</v>
      </c>
      <c r="M117" s="903" t="s">
        <v>2064</v>
      </c>
      <c r="N117" s="883"/>
    </row>
    <row r="118" spans="1:14">
      <c r="A118" s="794" t="s">
        <v>1983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2065</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2069</v>
      </c>
      <c r="B18" s="466"/>
      <c r="C18" s="467"/>
      <c r="D18" s="467"/>
      <c r="E18" s="466"/>
      <c r="F18" s="467"/>
      <c r="G18" s="467"/>
    </row>
    <row r="19" customHeight="1" spans="1:7">
      <c r="A19" s="465" t="s">
        <v>2070</v>
      </c>
      <c r="B19" s="468" t="s">
        <v>2071</v>
      </c>
      <c r="C19" s="468" t="s">
        <v>2072</v>
      </c>
      <c r="D19" s="469"/>
      <c r="E19" s="465" t="s">
        <v>2073</v>
      </c>
      <c r="F19" s="470"/>
      <c r="G19" s="470"/>
    </row>
    <row r="20" customHeight="1" spans="1:7">
      <c r="A20" s="471" t="s">
        <v>546</v>
      </c>
      <c r="B20" s="472" t="s">
        <v>2074</v>
      </c>
      <c r="C20" s="473" t="s">
        <v>2075</v>
      </c>
      <c r="D20" s="474"/>
      <c r="E20" s="475">
        <v>1</v>
      </c>
      <c r="F20" s="476" t="s">
        <v>2076</v>
      </c>
      <c r="G20" s="476"/>
    </row>
    <row r="21" customHeight="1" spans="1:7">
      <c r="A21" s="477"/>
      <c r="B21" s="478"/>
      <c r="C21" s="479" t="s">
        <v>2077</v>
      </c>
      <c r="D21" s="480"/>
      <c r="E21" s="481">
        <v>1</v>
      </c>
      <c r="F21" s="476" t="s">
        <v>2078</v>
      </c>
      <c r="G21" s="476"/>
    </row>
    <row r="22" customHeight="1" spans="1:7">
      <c r="A22" s="477"/>
      <c r="B22" s="478"/>
      <c r="C22" s="479" t="s">
        <v>2079</v>
      </c>
      <c r="D22" s="480"/>
      <c r="E22" s="481">
        <v>0.9</v>
      </c>
      <c r="F22" s="476" t="s">
        <v>2080</v>
      </c>
      <c r="G22" s="476"/>
    </row>
    <row r="23" customHeight="1" spans="1:7">
      <c r="A23" s="477"/>
      <c r="B23" s="478"/>
      <c r="C23" s="479" t="s">
        <v>2081</v>
      </c>
      <c r="D23" s="480"/>
      <c r="E23" s="481">
        <v>0.9</v>
      </c>
      <c r="F23" s="476" t="s">
        <v>2082</v>
      </c>
      <c r="G23" s="476"/>
    </row>
    <row r="24" customHeight="1" spans="1:7">
      <c r="A24" s="477"/>
      <c r="B24" s="478"/>
      <c r="C24" s="479" t="s">
        <v>2083</v>
      </c>
      <c r="D24" s="480"/>
      <c r="E24" s="481">
        <v>0.8</v>
      </c>
      <c r="F24" s="476" t="s">
        <v>2084</v>
      </c>
      <c r="G24" s="476"/>
    </row>
    <row r="25" customHeight="1" spans="1:7">
      <c r="A25" s="482"/>
      <c r="B25" s="483"/>
      <c r="C25" s="484" t="s">
        <v>2085</v>
      </c>
      <c r="D25" s="485"/>
      <c r="E25" s="486">
        <v>0.8</v>
      </c>
      <c r="F25" s="476" t="s">
        <v>2086</v>
      </c>
      <c r="G25" s="476"/>
    </row>
    <row r="26" customHeight="1" spans="1:7">
      <c r="A26" s="487" t="s">
        <v>2065</v>
      </c>
      <c r="B26" s="488" t="s">
        <v>2074</v>
      </c>
      <c r="C26" s="489" t="s">
        <v>2087</v>
      </c>
      <c r="D26" s="490"/>
      <c r="E26" s="491">
        <v>1</v>
      </c>
      <c r="F26" s="476" t="s">
        <v>2088</v>
      </c>
      <c r="G26" s="476"/>
    </row>
    <row r="27" customHeight="1" spans="1:7">
      <c r="A27" s="492" t="s">
        <v>280</v>
      </c>
      <c r="B27" s="472" t="s">
        <v>280</v>
      </c>
      <c r="C27" s="473" t="s">
        <v>2089</v>
      </c>
      <c r="D27" s="474"/>
      <c r="E27" s="475">
        <v>1</v>
      </c>
      <c r="F27" s="476" t="s">
        <v>2090</v>
      </c>
      <c r="G27" s="476"/>
    </row>
    <row r="28" customHeight="1" spans="1:7">
      <c r="A28" s="493"/>
      <c r="B28" s="478"/>
      <c r="C28" s="479" t="s">
        <v>2091</v>
      </c>
      <c r="D28" s="480"/>
      <c r="E28" s="481">
        <v>1</v>
      </c>
      <c r="F28" s="476" t="s">
        <v>2092</v>
      </c>
      <c r="G28" s="476"/>
    </row>
    <row r="29" customHeight="1" spans="1:7">
      <c r="A29" s="493"/>
      <c r="B29" s="478"/>
      <c r="C29" s="479" t="s">
        <v>2093</v>
      </c>
      <c r="D29" s="480"/>
      <c r="E29" s="481">
        <v>0.8</v>
      </c>
      <c r="F29" s="476" t="s">
        <v>2094</v>
      </c>
      <c r="G29" s="476"/>
    </row>
    <row r="30" customHeight="1" spans="1:7">
      <c r="A30" s="493"/>
      <c r="B30" s="478"/>
      <c r="C30" s="479" t="s">
        <v>2095</v>
      </c>
      <c r="D30" s="480"/>
      <c r="E30" s="481">
        <v>0.8</v>
      </c>
      <c r="F30" s="476" t="s">
        <v>2096</v>
      </c>
      <c r="G30" s="476"/>
    </row>
    <row r="31" customHeight="1" spans="1:7">
      <c r="A31" s="493"/>
      <c r="B31" s="478"/>
      <c r="C31" s="479" t="s">
        <v>2097</v>
      </c>
      <c r="D31" s="480"/>
      <c r="E31" s="481">
        <v>0.8</v>
      </c>
      <c r="F31" s="476" t="s">
        <v>2098</v>
      </c>
      <c r="G31" s="476"/>
    </row>
    <row r="32" customHeight="1" spans="1:7">
      <c r="A32" s="493"/>
      <c r="B32" s="478"/>
      <c r="C32" s="479" t="s">
        <v>2099</v>
      </c>
      <c r="D32" s="480"/>
      <c r="E32" s="481">
        <v>0.7</v>
      </c>
      <c r="F32" s="476" t="s">
        <v>2100</v>
      </c>
      <c r="G32" s="476"/>
    </row>
    <row r="33" customHeight="1" spans="1:7">
      <c r="A33" s="493"/>
      <c r="B33" s="478"/>
      <c r="C33" s="479" t="s">
        <v>2101</v>
      </c>
      <c r="D33" s="480"/>
      <c r="E33" s="481">
        <v>0.8</v>
      </c>
      <c r="F33" s="476" t="s">
        <v>2102</v>
      </c>
      <c r="G33" s="476"/>
    </row>
    <row r="34" customHeight="1" spans="1:7">
      <c r="A34" s="493"/>
      <c r="B34" s="478"/>
      <c r="C34" s="479" t="s">
        <v>2103</v>
      </c>
      <c r="D34" s="480"/>
      <c r="E34" s="481">
        <v>0.6</v>
      </c>
      <c r="F34" s="476" t="s">
        <v>2104</v>
      </c>
      <c r="G34" s="476"/>
    </row>
    <row r="35" customHeight="1" spans="1:7">
      <c r="A35" s="493"/>
      <c r="B35" s="478"/>
      <c r="C35" s="479" t="s">
        <v>2105</v>
      </c>
      <c r="D35" s="480"/>
      <c r="E35" s="481">
        <v>0.2</v>
      </c>
      <c r="F35" s="476" t="s">
        <v>2106</v>
      </c>
      <c r="G35" s="476"/>
    </row>
    <row r="36" customHeight="1" spans="1:7">
      <c r="A36" s="493"/>
      <c r="B36" s="478"/>
      <c r="C36" s="479" t="s">
        <v>2107</v>
      </c>
      <c r="D36" s="480"/>
      <c r="E36" s="481">
        <v>0.2</v>
      </c>
      <c r="F36" s="476" t="s">
        <v>2108</v>
      </c>
      <c r="G36" s="476"/>
    </row>
    <row r="37" customHeight="1" spans="1:7">
      <c r="A37" s="493"/>
      <c r="B37" s="494" t="s">
        <v>2109</v>
      </c>
      <c r="C37" s="479" t="s">
        <v>2110</v>
      </c>
      <c r="D37" s="480"/>
      <c r="E37" s="481">
        <v>0.6</v>
      </c>
      <c r="F37" s="476" t="s">
        <v>2111</v>
      </c>
      <c r="G37" s="476"/>
    </row>
    <row r="38" customHeight="1" spans="1:7">
      <c r="A38" s="493"/>
      <c r="B38" s="478"/>
      <c r="C38" s="479" t="s">
        <v>2112</v>
      </c>
      <c r="D38" s="480"/>
      <c r="E38" s="481">
        <v>0.6</v>
      </c>
      <c r="F38" s="476" t="s">
        <v>2113</v>
      </c>
      <c r="G38" s="476"/>
    </row>
    <row r="39" customHeight="1" spans="1:7">
      <c r="A39" s="495"/>
      <c r="B39" s="483"/>
      <c r="C39" s="484" t="s">
        <v>2114</v>
      </c>
      <c r="D39" s="485"/>
      <c r="E39" s="486">
        <v>0.6</v>
      </c>
      <c r="F39" s="476" t="s">
        <v>2115</v>
      </c>
      <c r="G39" s="476"/>
    </row>
    <row r="40" customHeight="1" spans="1:7">
      <c r="A40" s="487" t="s">
        <v>412</v>
      </c>
      <c r="B40" s="488" t="s">
        <v>412</v>
      </c>
      <c r="C40" s="489" t="s">
        <v>2116</v>
      </c>
      <c r="D40" s="490"/>
      <c r="E40" s="491">
        <v>1</v>
      </c>
      <c r="F40" s="476" t="s">
        <v>2117</v>
      </c>
      <c r="G40" s="476"/>
    </row>
    <row r="41" customHeight="1" spans="1:7">
      <c r="A41" s="471" t="s">
        <v>408</v>
      </c>
      <c r="B41" s="472" t="s">
        <v>2118</v>
      </c>
      <c r="C41" s="473" t="s">
        <v>2119</v>
      </c>
      <c r="D41" s="474"/>
      <c r="E41" s="475">
        <v>1</v>
      </c>
      <c r="F41" s="476" t="s">
        <v>2120</v>
      </c>
      <c r="G41" s="476"/>
    </row>
    <row r="42" customHeight="1" spans="1:7">
      <c r="A42" s="477"/>
      <c r="B42" s="478"/>
      <c r="C42" s="479" t="s">
        <v>2121</v>
      </c>
      <c r="D42" s="480"/>
      <c r="E42" s="481">
        <v>1</v>
      </c>
      <c r="F42" s="476" t="s">
        <v>2122</v>
      </c>
      <c r="G42" s="476"/>
    </row>
    <row r="43" customHeight="1" spans="1:7">
      <c r="A43" s="477"/>
      <c r="B43" s="496"/>
      <c r="C43" s="479" t="s">
        <v>2123</v>
      </c>
      <c r="D43" s="480"/>
      <c r="E43" s="481">
        <v>1.5</v>
      </c>
      <c r="F43" s="476" t="s">
        <v>2124</v>
      </c>
      <c r="G43" s="476"/>
    </row>
    <row r="44" customHeight="1" spans="1:7">
      <c r="A44" s="477"/>
      <c r="B44" s="497" t="s">
        <v>280</v>
      </c>
      <c r="C44" s="479" t="s">
        <v>2066</v>
      </c>
      <c r="D44" s="480"/>
      <c r="E44" s="481">
        <v>2</v>
      </c>
      <c r="F44" s="476" t="s">
        <v>2125</v>
      </c>
      <c r="G44" s="476"/>
    </row>
    <row r="45" customHeight="1" spans="1:7">
      <c r="A45" s="477"/>
      <c r="B45" s="494" t="s">
        <v>2126</v>
      </c>
      <c r="C45" s="479" t="s">
        <v>2127</v>
      </c>
      <c r="D45" s="480"/>
      <c r="E45" s="481">
        <v>1</v>
      </c>
      <c r="F45" s="476" t="s">
        <v>2128</v>
      </c>
      <c r="G45" s="476"/>
    </row>
    <row r="46" customHeight="1" spans="1:7">
      <c r="A46" s="477"/>
      <c r="B46" s="478"/>
      <c r="C46" s="479" t="s">
        <v>2129</v>
      </c>
      <c r="D46" s="480"/>
      <c r="E46" s="481">
        <v>1</v>
      </c>
      <c r="F46" s="476" t="s">
        <v>2130</v>
      </c>
      <c r="G46" s="476"/>
    </row>
    <row r="47" customHeight="1" spans="1:7">
      <c r="A47" s="477"/>
      <c r="B47" s="478"/>
      <c r="C47" s="479" t="s">
        <v>2131</v>
      </c>
      <c r="D47" s="480"/>
      <c r="E47" s="481">
        <v>1</v>
      </c>
      <c r="F47" s="476" t="s">
        <v>2132</v>
      </c>
      <c r="G47" s="476"/>
    </row>
    <row r="48" customHeight="1" spans="1:7">
      <c r="A48" s="477"/>
      <c r="B48" s="478"/>
      <c r="C48" s="479" t="s">
        <v>2133</v>
      </c>
      <c r="D48" s="480"/>
      <c r="E48" s="481">
        <v>1</v>
      </c>
      <c r="F48" s="476" t="s">
        <v>2134</v>
      </c>
      <c r="G48" s="476"/>
    </row>
    <row r="49" customHeight="1" spans="1:7">
      <c r="A49" s="477"/>
      <c r="B49" s="478"/>
      <c r="C49" s="479" t="s">
        <v>2135</v>
      </c>
      <c r="D49" s="480"/>
      <c r="E49" s="481">
        <v>1</v>
      </c>
      <c r="F49" s="476" t="s">
        <v>2136</v>
      </c>
      <c r="G49" s="476"/>
    </row>
    <row r="50" customHeight="1" spans="1:7">
      <c r="A50" s="477"/>
      <c r="B50" s="478"/>
      <c r="C50" s="479" t="s">
        <v>2137</v>
      </c>
      <c r="D50" s="480"/>
      <c r="E50" s="481">
        <v>1</v>
      </c>
      <c r="F50" s="476" t="s">
        <v>2138</v>
      </c>
      <c r="G50" s="476"/>
    </row>
    <row r="51" customHeight="1" spans="1:7">
      <c r="A51" s="482"/>
      <c r="B51" s="483"/>
      <c r="C51" s="484" t="s">
        <v>2139</v>
      </c>
      <c r="D51" s="485"/>
      <c r="E51" s="486">
        <v>1</v>
      </c>
      <c r="F51" s="476" t="s">
        <v>2140</v>
      </c>
      <c r="G51" s="476"/>
    </row>
    <row r="52" customHeight="1" spans="1:7">
      <c r="A52" s="498"/>
      <c r="B52" s="498"/>
      <c r="C52" s="498"/>
      <c r="D52" s="498"/>
      <c r="E52" s="498"/>
      <c r="F52" s="498"/>
      <c r="G52" s="498"/>
    </row>
    <row r="54" customHeight="1" spans="1:7">
      <c r="A54" s="499"/>
      <c r="B54" s="463" t="s">
        <v>2141</v>
      </c>
      <c r="C54" s="463" t="s">
        <v>2141</v>
      </c>
      <c r="D54" s="463" t="s">
        <v>2141</v>
      </c>
      <c r="E54" s="465" t="s">
        <v>2141</v>
      </c>
      <c r="F54" s="465" t="s">
        <v>2142</v>
      </c>
      <c r="G54" s="465" t="s">
        <v>2141</v>
      </c>
    </row>
    <row r="55" customHeight="1" spans="1:7">
      <c r="A55" s="500"/>
      <c r="B55" s="465" t="s">
        <v>546</v>
      </c>
      <c r="C55" s="465" t="s">
        <v>546</v>
      </c>
      <c r="D55" s="465" t="s">
        <v>546</v>
      </c>
      <c r="E55" s="463" t="s">
        <v>2065</v>
      </c>
      <c r="F55" s="463" t="s">
        <v>408</v>
      </c>
      <c r="G55" s="463" t="s">
        <v>1613</v>
      </c>
    </row>
    <row r="56" customHeight="1" spans="1:7">
      <c r="A56" s="501"/>
      <c r="B56" s="463">
        <v>1</v>
      </c>
      <c r="C56" s="463">
        <v>2</v>
      </c>
      <c r="D56" s="463">
        <v>3</v>
      </c>
      <c r="E56" s="502" t="s">
        <v>2143</v>
      </c>
      <c r="F56" s="502" t="s">
        <v>2143</v>
      </c>
      <c r="G56" s="502" t="s">
        <v>2143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2144</v>
      </c>
      <c r="E70" s="513"/>
      <c r="F70" s="513"/>
    </row>
    <row r="71" customHeight="1" spans="1:6">
      <c r="A71" s="497" t="s">
        <v>1678</v>
      </c>
      <c r="B71" s="497" t="s">
        <v>2145</v>
      </c>
      <c r="C71" s="497" t="s">
        <v>2146</v>
      </c>
      <c r="D71" s="497" t="s">
        <v>2147</v>
      </c>
      <c r="E71" s="497" t="s">
        <v>2148</v>
      </c>
      <c r="F71" s="497" t="s">
        <v>2149</v>
      </c>
    </row>
    <row r="72" ht="13.5" spans="1:6">
      <c r="A72" s="497"/>
      <c r="B72" s="497"/>
      <c r="C72" s="497" t="s">
        <v>2150</v>
      </c>
      <c r="D72" s="497"/>
      <c r="E72" s="497" t="s">
        <v>124</v>
      </c>
      <c r="F72" s="497" t="s">
        <v>124</v>
      </c>
    </row>
    <row r="73" ht="13.5" spans="1:6">
      <c r="A73" s="497">
        <v>1</v>
      </c>
      <c r="B73" s="494" t="s">
        <v>2151</v>
      </c>
      <c r="C73" s="463" t="s">
        <v>2152</v>
      </c>
      <c r="D73" s="463" t="s">
        <v>2153</v>
      </c>
      <c r="E73" s="497">
        <v>0.2</v>
      </c>
      <c r="F73" s="497">
        <v>25</v>
      </c>
    </row>
    <row r="74" ht="24" spans="1:6">
      <c r="A74" s="497">
        <v>2</v>
      </c>
      <c r="B74" s="478"/>
      <c r="C74" s="463" t="s">
        <v>2154</v>
      </c>
      <c r="D74" s="463" t="s">
        <v>2155</v>
      </c>
      <c r="E74" s="497">
        <v>0.2</v>
      </c>
      <c r="F74" s="497">
        <v>25</v>
      </c>
    </row>
    <row r="75" ht="24" spans="1:6">
      <c r="A75" s="497">
        <v>3</v>
      </c>
      <c r="B75" s="478"/>
      <c r="C75" s="463" t="s">
        <v>2156</v>
      </c>
      <c r="D75" s="463" t="s">
        <v>2157</v>
      </c>
      <c r="E75" s="497">
        <v>0.2</v>
      </c>
      <c r="F75" s="497">
        <v>25</v>
      </c>
    </row>
    <row r="76" ht="13.5" spans="1:6">
      <c r="A76" s="497">
        <v>4</v>
      </c>
      <c r="B76" s="478"/>
      <c r="C76" s="463" t="s">
        <v>2158</v>
      </c>
      <c r="D76" s="463" t="s">
        <v>2159</v>
      </c>
      <c r="E76" s="497">
        <v>0.15</v>
      </c>
      <c r="F76" s="497">
        <v>20</v>
      </c>
    </row>
    <row r="77" ht="24" spans="1:6">
      <c r="A77" s="497">
        <v>5</v>
      </c>
      <c r="B77" s="478"/>
      <c r="C77" s="463" t="s">
        <v>2160</v>
      </c>
      <c r="D77" s="463" t="s">
        <v>2161</v>
      </c>
      <c r="E77" s="497">
        <v>0.15</v>
      </c>
      <c r="F77" s="497">
        <v>20</v>
      </c>
    </row>
    <row r="78" ht="24" spans="1:6">
      <c r="A78" s="497">
        <v>6</v>
      </c>
      <c r="B78" s="478"/>
      <c r="C78" s="463" t="s">
        <v>2162</v>
      </c>
      <c r="D78" s="463" t="s">
        <v>2163</v>
      </c>
      <c r="E78" s="497">
        <v>0.15</v>
      </c>
      <c r="F78" s="497">
        <v>20</v>
      </c>
    </row>
    <row r="79" ht="24" spans="1:6">
      <c r="A79" s="497">
        <v>7</v>
      </c>
      <c r="B79" s="478"/>
      <c r="C79" s="463" t="s">
        <v>2164</v>
      </c>
      <c r="D79" s="463" t="s">
        <v>2165</v>
      </c>
      <c r="E79" s="497">
        <v>0.15</v>
      </c>
      <c r="F79" s="497">
        <v>20</v>
      </c>
    </row>
    <row r="80" ht="24" spans="1:6">
      <c r="A80" s="497">
        <v>8</v>
      </c>
      <c r="B80" s="478"/>
      <c r="C80" s="463" t="s">
        <v>2166</v>
      </c>
      <c r="D80" s="463" t="s">
        <v>2167</v>
      </c>
      <c r="E80" s="497">
        <v>0.1</v>
      </c>
      <c r="F80" s="497">
        <v>15</v>
      </c>
    </row>
    <row r="81" ht="24" spans="1:6">
      <c r="A81" s="497">
        <v>9</v>
      </c>
      <c r="B81" s="478"/>
      <c r="C81" s="463" t="s">
        <v>2168</v>
      </c>
      <c r="D81" s="463" t="s">
        <v>2169</v>
      </c>
      <c r="E81" s="497">
        <v>0.1</v>
      </c>
      <c r="F81" s="497">
        <v>15</v>
      </c>
    </row>
    <row r="82" ht="24" spans="1:6">
      <c r="A82" s="497">
        <v>10</v>
      </c>
      <c r="B82" s="478"/>
      <c r="C82" s="463" t="s">
        <v>2170</v>
      </c>
      <c r="D82" s="463" t="s">
        <v>2171</v>
      </c>
      <c r="E82" s="497">
        <v>0.1</v>
      </c>
      <c r="F82" s="497">
        <v>15</v>
      </c>
    </row>
    <row r="83" ht="24" spans="1:6">
      <c r="A83" s="497">
        <v>11</v>
      </c>
      <c r="B83" s="478"/>
      <c r="C83" s="463" t="s">
        <v>2172</v>
      </c>
      <c r="D83" s="463" t="s">
        <v>2173</v>
      </c>
      <c r="E83" s="497">
        <v>0.1</v>
      </c>
      <c r="F83" s="497">
        <v>15</v>
      </c>
    </row>
    <row r="84" ht="24" spans="1:6">
      <c r="A84" s="497">
        <v>12</v>
      </c>
      <c r="B84" s="478"/>
      <c r="C84" s="463" t="s">
        <v>2174</v>
      </c>
      <c r="D84" s="463" t="s">
        <v>2175</v>
      </c>
      <c r="E84" s="497">
        <v>0.1</v>
      </c>
      <c r="F84" s="497">
        <v>15</v>
      </c>
    </row>
    <row r="85" ht="13.5" spans="1:6">
      <c r="A85" s="497">
        <v>13</v>
      </c>
      <c r="B85" s="478"/>
      <c r="C85" s="463" t="s">
        <v>2176</v>
      </c>
      <c r="D85" s="463" t="s">
        <v>2177</v>
      </c>
      <c r="E85" s="497">
        <v>0.1</v>
      </c>
      <c r="F85" s="497">
        <v>15</v>
      </c>
    </row>
    <row r="86" ht="13.5" spans="1:6">
      <c r="A86" s="497">
        <v>14</v>
      </c>
      <c r="B86" s="478"/>
      <c r="C86" s="463" t="s">
        <v>2178</v>
      </c>
      <c r="D86" s="463" t="s">
        <v>2179</v>
      </c>
      <c r="E86" s="497">
        <v>0.1</v>
      </c>
      <c r="F86" s="497">
        <v>15</v>
      </c>
    </row>
    <row r="87" ht="13.5" spans="1:6">
      <c r="A87" s="497">
        <v>15</v>
      </c>
      <c r="B87" s="478"/>
      <c r="C87" s="463" t="s">
        <v>2180</v>
      </c>
      <c r="D87" s="463" t="s">
        <v>2181</v>
      </c>
      <c r="E87" s="497">
        <v>0.1</v>
      </c>
      <c r="F87" s="497">
        <v>15</v>
      </c>
    </row>
    <row r="88" ht="24" spans="1:6">
      <c r="A88" s="497">
        <v>16</v>
      </c>
      <c r="B88" s="478"/>
      <c r="C88" s="463" t="s">
        <v>2182</v>
      </c>
      <c r="D88" s="463" t="s">
        <v>2183</v>
      </c>
      <c r="E88" s="497">
        <v>0.1</v>
      </c>
      <c r="F88" s="497">
        <v>15</v>
      </c>
    </row>
    <row r="89" ht="24" spans="1:6">
      <c r="A89" s="497">
        <v>17</v>
      </c>
      <c r="B89" s="496"/>
      <c r="C89" s="463" t="s">
        <v>2184</v>
      </c>
      <c r="D89" s="463" t="s">
        <v>2185</v>
      </c>
      <c r="E89" s="497">
        <v>0.1</v>
      </c>
      <c r="F89" s="497">
        <v>15</v>
      </c>
    </row>
    <row r="90" ht="13.5" spans="1:6">
      <c r="A90" s="497">
        <v>18</v>
      </c>
      <c r="B90" s="494" t="s">
        <v>2186</v>
      </c>
      <c r="C90" s="463" t="s">
        <v>2187</v>
      </c>
      <c r="D90" s="463" t="s">
        <v>2188</v>
      </c>
      <c r="E90" s="497">
        <v>0.2</v>
      </c>
      <c r="F90" s="497">
        <v>25</v>
      </c>
    </row>
    <row r="91" ht="24" spans="1:6">
      <c r="A91" s="497">
        <v>19</v>
      </c>
      <c r="B91" s="478"/>
      <c r="C91" s="463" t="s">
        <v>2189</v>
      </c>
      <c r="D91" s="463" t="s">
        <v>2190</v>
      </c>
      <c r="E91" s="497">
        <v>0.2</v>
      </c>
      <c r="F91" s="497">
        <v>25</v>
      </c>
    </row>
    <row r="92" ht="13.5" spans="1:6">
      <c r="A92" s="497">
        <v>20</v>
      </c>
      <c r="B92" s="478"/>
      <c r="C92" s="463" t="s">
        <v>2191</v>
      </c>
      <c r="D92" s="463" t="s">
        <v>2192</v>
      </c>
      <c r="E92" s="497">
        <v>0.15</v>
      </c>
      <c r="F92" s="497">
        <v>20</v>
      </c>
    </row>
    <row r="93" ht="13.5" spans="1:6">
      <c r="A93" s="497">
        <v>21</v>
      </c>
      <c r="B93" s="478"/>
      <c r="C93" s="463" t="s">
        <v>2193</v>
      </c>
      <c r="D93" s="463" t="s">
        <v>2194</v>
      </c>
      <c r="E93" s="497">
        <v>0.15</v>
      </c>
      <c r="F93" s="497">
        <v>20</v>
      </c>
    </row>
    <row r="94" ht="13.5" spans="1:6">
      <c r="A94" s="497">
        <v>22</v>
      </c>
      <c r="B94" s="478"/>
      <c r="C94" s="463" t="s">
        <v>2195</v>
      </c>
      <c r="D94" s="463" t="s">
        <v>2196</v>
      </c>
      <c r="E94" s="497">
        <v>0.15</v>
      </c>
      <c r="F94" s="497">
        <v>20</v>
      </c>
    </row>
    <row r="95" ht="36" spans="1:6">
      <c r="A95" s="497">
        <v>23</v>
      </c>
      <c r="B95" s="478"/>
      <c r="C95" s="463" t="s">
        <v>2197</v>
      </c>
      <c r="D95" s="463" t="s">
        <v>2198</v>
      </c>
      <c r="E95" s="497">
        <v>0.15</v>
      </c>
      <c r="F95" s="497">
        <v>20</v>
      </c>
    </row>
    <row r="96" ht="13.5" spans="1:6">
      <c r="A96" s="497">
        <v>24</v>
      </c>
      <c r="B96" s="478"/>
      <c r="C96" s="463" t="s">
        <v>2199</v>
      </c>
      <c r="D96" s="463" t="s">
        <v>2200</v>
      </c>
      <c r="E96" s="497">
        <v>0.1</v>
      </c>
      <c r="F96" s="497">
        <v>15</v>
      </c>
    </row>
    <row r="97" ht="13.5" spans="1:6">
      <c r="A97" s="497">
        <v>25</v>
      </c>
      <c r="B97" s="478"/>
      <c r="C97" s="463" t="s">
        <v>2201</v>
      </c>
      <c r="D97" s="463" t="s">
        <v>2202</v>
      </c>
      <c r="E97" s="497">
        <v>0.1</v>
      </c>
      <c r="F97" s="497">
        <v>15</v>
      </c>
    </row>
    <row r="98" ht="24" spans="1:6">
      <c r="A98" s="497">
        <v>26</v>
      </c>
      <c r="B98" s="478"/>
      <c r="C98" s="463" t="s">
        <v>2203</v>
      </c>
      <c r="D98" s="463" t="s">
        <v>2204</v>
      </c>
      <c r="E98" s="497">
        <v>0.1</v>
      </c>
      <c r="F98" s="497">
        <v>15</v>
      </c>
    </row>
    <row r="99" ht="24" spans="1:6">
      <c r="A99" s="497">
        <v>27</v>
      </c>
      <c r="B99" s="478"/>
      <c r="C99" s="463" t="s">
        <v>2205</v>
      </c>
      <c r="D99" s="463" t="s">
        <v>2206</v>
      </c>
      <c r="E99" s="497">
        <v>0.1</v>
      </c>
      <c r="F99" s="497">
        <v>15</v>
      </c>
    </row>
    <row r="100" ht="13.5" spans="1:6">
      <c r="A100" s="497">
        <v>28</v>
      </c>
      <c r="B100" s="478"/>
      <c r="C100" s="463" t="s">
        <v>2207</v>
      </c>
      <c r="D100" s="463" t="s">
        <v>2208</v>
      </c>
      <c r="E100" s="497">
        <v>0.1</v>
      </c>
      <c r="F100" s="497">
        <v>15</v>
      </c>
    </row>
    <row r="101" ht="13.5" spans="1:6">
      <c r="A101" s="497">
        <v>29</v>
      </c>
      <c r="B101" s="478"/>
      <c r="C101" s="463" t="s">
        <v>2209</v>
      </c>
      <c r="D101" s="463" t="s">
        <v>2210</v>
      </c>
      <c r="E101" s="497">
        <v>0.1</v>
      </c>
      <c r="F101" s="497">
        <v>15</v>
      </c>
    </row>
    <row r="102" ht="13.5" spans="1:6">
      <c r="A102" s="497">
        <v>30</v>
      </c>
      <c r="B102" s="478"/>
      <c r="C102" s="463" t="s">
        <v>2211</v>
      </c>
      <c r="D102" s="463" t="s">
        <v>2212</v>
      </c>
      <c r="E102" s="497">
        <v>0.1</v>
      </c>
      <c r="F102" s="497">
        <v>15</v>
      </c>
    </row>
    <row r="103" ht="24" spans="1:6">
      <c r="A103" s="497">
        <v>31</v>
      </c>
      <c r="B103" s="478"/>
      <c r="C103" s="463" t="s">
        <v>2213</v>
      </c>
      <c r="D103" s="463" t="s">
        <v>2214</v>
      </c>
      <c r="E103" s="497">
        <v>0.1</v>
      </c>
      <c r="F103" s="497">
        <v>15</v>
      </c>
    </row>
    <row r="104" ht="24" spans="1:6">
      <c r="A104" s="497">
        <v>32</v>
      </c>
      <c r="B104" s="478"/>
      <c r="C104" s="463" t="s">
        <v>2215</v>
      </c>
      <c r="D104" s="463" t="s">
        <v>2216</v>
      </c>
      <c r="E104" s="497">
        <v>0.1</v>
      </c>
      <c r="F104" s="497">
        <v>15</v>
      </c>
    </row>
    <row r="105" ht="24" spans="1:6">
      <c r="A105" s="497">
        <v>33</v>
      </c>
      <c r="B105" s="478"/>
      <c r="C105" s="463" t="s">
        <v>2217</v>
      </c>
      <c r="D105" s="463" t="s">
        <v>2218</v>
      </c>
      <c r="E105" s="497">
        <v>0.1</v>
      </c>
      <c r="F105" s="497">
        <v>15</v>
      </c>
    </row>
    <row r="106" ht="24" spans="1:6">
      <c r="A106" s="497">
        <v>34</v>
      </c>
      <c r="B106" s="496"/>
      <c r="C106" s="463" t="s">
        <v>2219</v>
      </c>
      <c r="D106" s="463" t="s">
        <v>2220</v>
      </c>
      <c r="E106" s="497">
        <v>0.1</v>
      </c>
      <c r="F106" s="497">
        <v>15</v>
      </c>
    </row>
    <row r="107" ht="24" spans="1:6">
      <c r="A107" s="497">
        <v>35</v>
      </c>
      <c r="B107" s="494" t="s">
        <v>2221</v>
      </c>
      <c r="C107" s="497" t="s">
        <v>2222</v>
      </c>
      <c r="D107" s="463" t="s">
        <v>2223</v>
      </c>
      <c r="E107" s="497">
        <v>0.15</v>
      </c>
      <c r="F107" s="497">
        <v>20</v>
      </c>
    </row>
    <row r="108" ht="13.5" spans="1:6">
      <c r="A108" s="497">
        <v>36</v>
      </c>
      <c r="B108" s="478"/>
      <c r="C108" s="497" t="s">
        <v>2224</v>
      </c>
      <c r="D108" s="463" t="s">
        <v>2225</v>
      </c>
      <c r="E108" s="497">
        <v>0.15</v>
      </c>
      <c r="F108" s="497">
        <v>20</v>
      </c>
    </row>
    <row r="109" ht="13.5" spans="1:6">
      <c r="A109" s="497">
        <v>37</v>
      </c>
      <c r="B109" s="478"/>
      <c r="C109" s="497" t="s">
        <v>2226</v>
      </c>
      <c r="D109" s="463" t="s">
        <v>2227</v>
      </c>
      <c r="E109" s="497">
        <v>0.15</v>
      </c>
      <c r="F109" s="497">
        <v>20</v>
      </c>
    </row>
    <row r="110" ht="13.5" spans="1:6">
      <c r="A110" s="497">
        <v>38</v>
      </c>
      <c r="B110" s="478"/>
      <c r="C110" s="497" t="s">
        <v>2228</v>
      </c>
      <c r="D110" s="463" t="s">
        <v>2229</v>
      </c>
      <c r="E110" s="497">
        <v>0.1</v>
      </c>
      <c r="F110" s="497">
        <v>15</v>
      </c>
    </row>
    <row r="111" ht="24" spans="1:6">
      <c r="A111" s="497">
        <v>39</v>
      </c>
      <c r="B111" s="478"/>
      <c r="C111" s="497" t="s">
        <v>2230</v>
      </c>
      <c r="D111" s="463" t="s">
        <v>2231</v>
      </c>
      <c r="E111" s="497">
        <v>0.1</v>
      </c>
      <c r="F111" s="497">
        <v>15</v>
      </c>
    </row>
    <row r="112" ht="24" spans="1:6">
      <c r="A112" s="497">
        <v>40</v>
      </c>
      <c r="B112" s="496"/>
      <c r="C112" s="497" t="s">
        <v>2232</v>
      </c>
      <c r="D112" s="463" t="s">
        <v>2233</v>
      </c>
      <c r="E112" s="497">
        <v>0.1</v>
      </c>
      <c r="F112" s="497">
        <v>15</v>
      </c>
    </row>
    <row r="113" ht="13.5" spans="1:6">
      <c r="A113" s="497">
        <v>41</v>
      </c>
      <c r="B113" s="497" t="s">
        <v>2234</v>
      </c>
      <c r="C113" s="497" t="s">
        <v>2235</v>
      </c>
      <c r="D113" s="463" t="s">
        <v>2236</v>
      </c>
      <c r="E113" s="497">
        <v>0.1</v>
      </c>
      <c r="F113" s="497">
        <v>15</v>
      </c>
    </row>
    <row r="114" ht="13.5" spans="1:6">
      <c r="A114" s="497">
        <v>42</v>
      </c>
      <c r="B114" s="497"/>
      <c r="C114" s="497" t="s">
        <v>2237</v>
      </c>
      <c r="D114" s="463" t="s">
        <v>2238</v>
      </c>
      <c r="E114" s="497">
        <v>0.1</v>
      </c>
      <c r="F114" s="497">
        <v>15</v>
      </c>
    </row>
    <row r="115" ht="24" spans="1:6">
      <c r="A115" s="497">
        <v>43</v>
      </c>
      <c r="B115" s="497"/>
      <c r="C115" s="497" t="s">
        <v>2239</v>
      </c>
      <c r="D115" s="463" t="s">
        <v>2240</v>
      </c>
      <c r="E115" s="497">
        <v>0.1</v>
      </c>
      <c r="F115" s="497">
        <v>15</v>
      </c>
    </row>
    <row r="116" ht="13.5" spans="1:6">
      <c r="A116" s="497">
        <v>44</v>
      </c>
      <c r="B116" s="494" t="s">
        <v>2241</v>
      </c>
      <c r="C116" s="497" t="s">
        <v>2242</v>
      </c>
      <c r="D116" s="463" t="s">
        <v>2243</v>
      </c>
      <c r="E116" s="497">
        <v>0.1</v>
      </c>
      <c r="F116" s="497">
        <v>15</v>
      </c>
    </row>
    <row r="117" ht="24" spans="1:6">
      <c r="A117" s="497">
        <v>45</v>
      </c>
      <c r="B117" s="496"/>
      <c r="C117" s="463" t="s">
        <v>2244</v>
      </c>
      <c r="D117" s="463" t="s">
        <v>2245</v>
      </c>
      <c r="E117" s="497">
        <v>0.1</v>
      </c>
      <c r="F117" s="497">
        <v>15</v>
      </c>
    </row>
    <row r="118" ht="24" spans="1:6">
      <c r="A118" s="497">
        <v>46</v>
      </c>
      <c r="B118" s="494" t="s">
        <v>2246</v>
      </c>
      <c r="C118" s="497" t="s">
        <v>2247</v>
      </c>
      <c r="D118" s="463" t="s">
        <v>2248</v>
      </c>
      <c r="E118" s="497">
        <v>0.1</v>
      </c>
      <c r="F118" s="497">
        <v>15</v>
      </c>
    </row>
    <row r="119" ht="24" spans="1:6">
      <c r="A119" s="497">
        <v>47</v>
      </c>
      <c r="B119" s="496"/>
      <c r="C119" s="497" t="s">
        <v>2249</v>
      </c>
      <c r="D119" s="463" t="s">
        <v>2250</v>
      </c>
      <c r="E119" s="497">
        <v>0.1</v>
      </c>
      <c r="F119" s="497">
        <v>15</v>
      </c>
    </row>
    <row r="120" ht="13.5" spans="1:6">
      <c r="A120" s="497">
        <v>48</v>
      </c>
      <c r="B120" s="494" t="s">
        <v>2251</v>
      </c>
      <c r="C120" s="497" t="s">
        <v>2252</v>
      </c>
      <c r="D120" s="463" t="s">
        <v>2253</v>
      </c>
      <c r="E120" s="497">
        <v>0.1</v>
      </c>
      <c r="F120" s="497">
        <v>15</v>
      </c>
    </row>
    <row r="121" ht="13.5" spans="1:6">
      <c r="A121" s="497">
        <v>49</v>
      </c>
      <c r="B121" s="496"/>
      <c r="C121" s="497" t="s">
        <v>2254</v>
      </c>
      <c r="D121" s="463" t="s">
        <v>2255</v>
      </c>
      <c r="E121" s="497">
        <v>0.1</v>
      </c>
      <c r="F121" s="497">
        <v>15</v>
      </c>
    </row>
    <row r="122" ht="24" spans="1:6">
      <c r="A122" s="497">
        <v>50</v>
      </c>
      <c r="B122" s="497" t="s">
        <v>2256</v>
      </c>
      <c r="C122" s="497" t="s">
        <v>2257</v>
      </c>
      <c r="D122" s="463" t="s">
        <v>2258</v>
      </c>
      <c r="E122" s="497">
        <v>0.1</v>
      </c>
      <c r="F122" s="497">
        <v>15</v>
      </c>
    </row>
    <row r="123" ht="24" spans="1:6">
      <c r="A123" s="497">
        <v>51</v>
      </c>
      <c r="B123" s="497"/>
      <c r="C123" s="497" t="s">
        <v>2259</v>
      </c>
      <c r="D123" s="463" t="s">
        <v>2260</v>
      </c>
      <c r="E123" s="497">
        <v>0.1</v>
      </c>
      <c r="F123" s="497">
        <v>15</v>
      </c>
    </row>
    <row r="124" ht="24" spans="1:6">
      <c r="A124" s="497">
        <v>52</v>
      </c>
      <c r="B124" s="497" t="s">
        <v>2261</v>
      </c>
      <c r="C124" s="497" t="s">
        <v>2262</v>
      </c>
      <c r="D124" s="463" t="s">
        <v>2263</v>
      </c>
      <c r="E124" s="497">
        <v>0.1</v>
      </c>
      <c r="F124" s="497">
        <v>15</v>
      </c>
    </row>
    <row r="125" ht="24" spans="1:6">
      <c r="A125" s="497">
        <v>53</v>
      </c>
      <c r="B125" s="497"/>
      <c r="C125" s="497" t="s">
        <v>2264</v>
      </c>
      <c r="D125" s="463" t="s">
        <v>2265</v>
      </c>
      <c r="E125" s="497">
        <v>0.1</v>
      </c>
      <c r="F125" s="497">
        <v>15</v>
      </c>
    </row>
    <row r="126" ht="13.5" spans="1:6">
      <c r="A126" s="497">
        <v>54</v>
      </c>
      <c r="B126" s="497" t="s">
        <v>2266</v>
      </c>
      <c r="C126" s="497" t="s">
        <v>2267</v>
      </c>
      <c r="D126" s="463" t="s">
        <v>2268</v>
      </c>
      <c r="E126" s="497">
        <v>0.1</v>
      </c>
      <c r="F126" s="497">
        <v>15</v>
      </c>
    </row>
    <row r="127" ht="13.5" spans="1:6">
      <c r="A127" s="497">
        <v>55</v>
      </c>
      <c r="B127" s="497" t="s">
        <v>2269</v>
      </c>
      <c r="C127" s="497" t="s">
        <v>2270</v>
      </c>
      <c r="D127" s="463" t="s">
        <v>2271</v>
      </c>
      <c r="E127" s="497">
        <v>0.1</v>
      </c>
      <c r="F127" s="497">
        <v>15</v>
      </c>
    </row>
    <row r="128" ht="13.5" spans="1:6">
      <c r="A128" s="497">
        <v>56</v>
      </c>
      <c r="B128" s="497"/>
      <c r="C128" s="497" t="s">
        <v>2272</v>
      </c>
      <c r="D128" s="463" t="s">
        <v>2273</v>
      </c>
      <c r="E128" s="497">
        <v>0.1</v>
      </c>
      <c r="F128" s="497">
        <v>15</v>
      </c>
    </row>
    <row r="129" ht="24" spans="1:6">
      <c r="A129" s="497">
        <v>57</v>
      </c>
      <c r="B129" s="497"/>
      <c r="C129" s="497" t="s">
        <v>2274</v>
      </c>
      <c r="D129" s="463" t="s">
        <v>2275</v>
      </c>
      <c r="E129" s="497">
        <v>0.1</v>
      </c>
      <c r="F129" s="497">
        <v>15</v>
      </c>
    </row>
    <row r="130" ht="24" spans="1:6">
      <c r="A130" s="497">
        <v>58</v>
      </c>
      <c r="B130" s="497" t="s">
        <v>2276</v>
      </c>
      <c r="C130" s="497" t="s">
        <v>2277</v>
      </c>
      <c r="D130" s="463" t="s">
        <v>2278</v>
      </c>
      <c r="E130" s="497">
        <v>0.1</v>
      </c>
      <c r="F130" s="497">
        <v>15</v>
      </c>
    </row>
    <row r="131" ht="13.5" spans="1:6">
      <c r="A131" s="497">
        <v>59</v>
      </c>
      <c r="B131" s="497"/>
      <c r="C131" s="497" t="s">
        <v>2279</v>
      </c>
      <c r="D131" s="463" t="s">
        <v>2280</v>
      </c>
      <c r="E131" s="497">
        <v>0.1</v>
      </c>
      <c r="F131" s="497">
        <v>15</v>
      </c>
    </row>
    <row r="132" ht="13.5" spans="1:6">
      <c r="A132" s="497">
        <v>60</v>
      </c>
      <c r="B132" s="494" t="s">
        <v>2281</v>
      </c>
      <c r="C132" s="497" t="s">
        <v>1594</v>
      </c>
      <c r="D132" s="463" t="s">
        <v>2282</v>
      </c>
      <c r="E132" s="497">
        <v>0.1</v>
      </c>
      <c r="F132" s="497">
        <v>15</v>
      </c>
    </row>
    <row r="133" ht="13.5" spans="1:6">
      <c r="A133" s="497">
        <v>61</v>
      </c>
      <c r="B133" s="496"/>
      <c r="C133" s="497" t="s">
        <v>2283</v>
      </c>
      <c r="D133" s="463" t="s">
        <v>2284</v>
      </c>
      <c r="E133" s="497">
        <v>0.1</v>
      </c>
      <c r="F133" s="497">
        <v>15</v>
      </c>
    </row>
    <row r="134" ht="24" spans="1:6">
      <c r="A134" s="497">
        <v>62</v>
      </c>
      <c r="B134" s="497" t="s">
        <v>2285</v>
      </c>
      <c r="C134" s="497" t="s">
        <v>2286</v>
      </c>
      <c r="D134" s="463" t="s">
        <v>2287</v>
      </c>
      <c r="E134" s="497">
        <v>0.1</v>
      </c>
      <c r="F134" s="497">
        <v>15</v>
      </c>
    </row>
    <row r="135" ht="13.5" spans="1:6">
      <c r="A135" s="497">
        <v>63</v>
      </c>
      <c r="B135" s="497" t="s">
        <v>2288</v>
      </c>
      <c r="C135" s="497" t="s">
        <v>2289</v>
      </c>
      <c r="D135" s="463" t="s">
        <v>2290</v>
      </c>
      <c r="E135" s="497">
        <v>0.1</v>
      </c>
      <c r="F135" s="497">
        <v>15</v>
      </c>
    </row>
    <row r="136" ht="13.5" spans="1:6">
      <c r="A136" s="497">
        <v>64</v>
      </c>
      <c r="B136" s="497"/>
      <c r="C136" s="497" t="s">
        <v>2291</v>
      </c>
      <c r="D136" s="463" t="s">
        <v>2292</v>
      </c>
      <c r="E136" s="497">
        <v>0.1</v>
      </c>
      <c r="F136" s="497">
        <v>15</v>
      </c>
    </row>
    <row r="137" ht="13.5" spans="1:6">
      <c r="A137" s="497">
        <v>65</v>
      </c>
      <c r="B137" s="497" t="s">
        <v>2293</v>
      </c>
      <c r="C137" s="497" t="s">
        <v>2294</v>
      </c>
      <c r="D137" s="463" t="s">
        <v>2295</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2296</v>
      </c>
      <c r="B1" s="431"/>
      <c r="C1" s="431"/>
      <c r="D1" s="431"/>
      <c r="E1" s="431"/>
      <c r="F1" s="431"/>
      <c r="G1" s="431"/>
      <c r="H1" s="431"/>
      <c r="I1" s="431"/>
      <c r="J1" s="431"/>
      <c r="K1" s="431"/>
      <c r="L1" s="431"/>
      <c r="M1" s="431"/>
      <c r="N1" s="438"/>
    </row>
    <row r="2" spans="1:20">
      <c r="A2" s="432" t="s">
        <v>2297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2298</v>
      </c>
      <c r="R2" s="442" t="s">
        <v>2299</v>
      </c>
      <c r="S2" s="442" t="s">
        <v>2300</v>
      </c>
      <c r="T2" s="442" t="s">
        <v>2301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2302</v>
      </c>
      <c r="B93" s="431"/>
      <c r="C93" s="431"/>
      <c r="D93" s="431"/>
      <c r="E93" s="431"/>
      <c r="F93" s="431"/>
      <c r="G93" s="431"/>
      <c r="H93" s="431"/>
      <c r="I93" s="431"/>
      <c r="J93" s="431"/>
      <c r="K93" s="431"/>
      <c r="L93" s="431"/>
      <c r="M93" s="431"/>
    </row>
    <row r="94" spans="1:20">
      <c r="A94" s="432" t="s">
        <v>2297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2298</v>
      </c>
      <c r="R94" s="442" t="s">
        <v>2299</v>
      </c>
      <c r="S94" s="442" t="s">
        <v>2300</v>
      </c>
      <c r="T94" s="442" t="s">
        <v>2301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2303</v>
      </c>
      <c r="B185" s="431"/>
      <c r="C185" s="431"/>
      <c r="D185" s="431"/>
      <c r="E185" s="431"/>
      <c r="F185" s="431"/>
      <c r="G185" s="431"/>
      <c r="H185" s="431"/>
      <c r="I185" s="431"/>
      <c r="J185" s="431"/>
      <c r="K185" s="431"/>
      <c r="L185" s="431"/>
      <c r="M185" s="431"/>
    </row>
    <row r="186" spans="1:20">
      <c r="A186" s="432" t="s">
        <v>2297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2298</v>
      </c>
      <c r="R186" s="442" t="s">
        <v>2299</v>
      </c>
      <c r="S186" s="442" t="s">
        <v>2300</v>
      </c>
      <c r="T186" s="442" t="s">
        <v>2301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2304</v>
      </c>
      <c r="B277" s="431"/>
      <c r="C277" s="431"/>
      <c r="D277" s="431"/>
      <c r="E277" s="431"/>
      <c r="F277" s="431"/>
      <c r="G277" s="431"/>
      <c r="H277" s="431"/>
      <c r="I277" s="431"/>
      <c r="J277" s="431"/>
      <c r="K277" s="431"/>
      <c r="L277" s="431"/>
      <c r="M277" s="431"/>
    </row>
    <row r="278" spans="1:21">
      <c r="A278" s="432" t="s">
        <v>2297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2298</v>
      </c>
      <c r="R278" s="442" t="s">
        <v>2299</v>
      </c>
      <c r="S278" s="442" t="s">
        <v>2305</v>
      </c>
      <c r="T278" s="442" t="s">
        <v>2306</v>
      </c>
      <c r="U278" s="442" t="s">
        <v>2301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2307</v>
      </c>
      <c r="B369" s="446"/>
      <c r="C369" s="446"/>
      <c r="D369" s="446"/>
      <c r="E369" s="446"/>
      <c r="F369" s="446"/>
      <c r="G369" s="446"/>
      <c r="H369" s="446"/>
      <c r="I369" s="446"/>
      <c r="J369" s="446"/>
      <c r="K369" s="446"/>
      <c r="L369" s="446"/>
      <c r="M369" s="446"/>
    </row>
    <row r="370" spans="1:20">
      <c r="A370" s="432" t="s">
        <v>2297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2298</v>
      </c>
      <c r="R370" s="442" t="s">
        <v>2299</v>
      </c>
      <c r="S370" s="442" t="s">
        <v>2300</v>
      </c>
      <c r="T370" s="442" t="s">
        <v>2301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2308</v>
      </c>
      <c r="B1" s="346"/>
      <c r="C1" s="347"/>
      <c r="D1" s="347"/>
      <c r="E1" s="347"/>
      <c r="F1" s="347"/>
      <c r="G1" s="348"/>
    </row>
    <row r="2" s="337" customFormat="1" ht="18" customHeight="1" spans="1:7">
      <c r="A2" s="349" t="s">
        <v>2309</v>
      </c>
      <c r="B2" s="350" t="e">
        <f ca="1">C52</f>
        <v>#DIV/0!</v>
      </c>
      <c r="C2" s="351" t="s">
        <v>1334</v>
      </c>
      <c r="D2" s="348"/>
      <c r="E2" s="348"/>
      <c r="F2" s="348"/>
      <c r="G2" s="348"/>
    </row>
    <row r="3" s="337" customFormat="1" ht="18" customHeight="1" spans="1:7">
      <c r="A3" s="352" t="s">
        <v>2310</v>
      </c>
      <c r="B3" s="353" t="e">
        <f ca="1">ROUND(B2*10000/'数据-汇总表'!E3,0)</f>
        <v>#DIV/0!</v>
      </c>
      <c r="C3" s="351" t="s">
        <v>1623</v>
      </c>
      <c r="D3" s="348"/>
      <c r="E3" s="348"/>
      <c r="F3" s="348"/>
      <c r="G3" s="348"/>
    </row>
    <row r="4" s="338" customFormat="1" ht="15.75" spans="1:7">
      <c r="A4" s="354" t="s">
        <v>2311</v>
      </c>
      <c r="B4" s="355"/>
      <c r="C4" s="355"/>
      <c r="D4" s="355"/>
      <c r="E4" s="355"/>
      <c r="F4" s="355"/>
      <c r="G4" s="356"/>
    </row>
    <row r="5" s="339" customFormat="1" ht="13.5" customHeight="1" spans="1:7">
      <c r="A5" s="357" t="s">
        <v>990</v>
      </c>
      <c r="B5" s="358" t="s">
        <v>2312</v>
      </c>
      <c r="C5" s="359">
        <f>C6+C7+C8</f>
        <v>20610</v>
      </c>
      <c r="D5" s="359" t="s">
        <v>2313</v>
      </c>
      <c r="E5" s="360" t="s">
        <v>2314</v>
      </c>
      <c r="F5" s="360" t="s">
        <v>2315</v>
      </c>
      <c r="G5" s="361"/>
    </row>
    <row r="6" s="339" customFormat="1" ht="13.5" customHeight="1" spans="1:7">
      <c r="A6" s="362" t="s">
        <v>994</v>
      </c>
      <c r="B6" s="363" t="s">
        <v>2316</v>
      </c>
      <c r="C6" s="364">
        <v>20000</v>
      </c>
      <c r="D6" s="365"/>
      <c r="E6" s="366"/>
      <c r="F6" s="366"/>
      <c r="G6" s="367"/>
    </row>
    <row r="7" s="339" customFormat="1" ht="13.5" customHeight="1" spans="1:7">
      <c r="A7" s="362" t="s">
        <v>996</v>
      </c>
      <c r="B7" s="363" t="s">
        <v>2317</v>
      </c>
      <c r="C7" s="368">
        <f>ROUND(C6*F7,0)</f>
        <v>610</v>
      </c>
      <c r="D7" s="368"/>
      <c r="E7" s="366"/>
      <c r="F7" s="369">
        <f>'数据-取费表'!B48+'数据-取费表'!B49</f>
        <v>0.0305</v>
      </c>
      <c r="G7" s="367"/>
    </row>
    <row r="8" s="340" customFormat="1" spans="1:7">
      <c r="A8" s="362" t="s">
        <v>998</v>
      </c>
      <c r="B8" s="363" t="s">
        <v>2318</v>
      </c>
      <c r="C8" s="368" t="str">
        <f>IF(G8="已包含在土地购买价格中","0",'数据-取费表'!B29)</f>
        <v>0</v>
      </c>
      <c r="D8" s="370"/>
      <c r="E8" s="368"/>
      <c r="F8" s="369"/>
      <c r="G8" s="371" t="s">
        <v>2319</v>
      </c>
    </row>
    <row r="9" s="339" customFormat="1" ht="13.5" customHeight="1" spans="1:7">
      <c r="A9" s="372" t="s">
        <v>1000</v>
      </c>
      <c r="B9" s="373" t="s">
        <v>2320</v>
      </c>
      <c r="C9" s="374">
        <f>ROUND(D9*E9/10000,0)</f>
        <v>0</v>
      </c>
      <c r="D9" s="375">
        <f>'数据-汇总表'!E5</f>
        <v>0</v>
      </c>
      <c r="E9" s="374">
        <f>'数据-取费表'!B27</f>
        <v>0</v>
      </c>
      <c r="F9" s="369"/>
      <c r="G9" s="376"/>
    </row>
    <row r="10" s="339" customFormat="1" ht="13.5" customHeight="1" spans="1:7">
      <c r="A10" s="372" t="s">
        <v>1003</v>
      </c>
      <c r="B10" s="373" t="s">
        <v>2321</v>
      </c>
      <c r="C10" s="374">
        <f>ROUND(D10*E10/10000,0)</f>
        <v>7</v>
      </c>
      <c r="D10" s="375">
        <f>'数据-汇总表'!E6</f>
        <v>349.48</v>
      </c>
      <c r="E10" s="374">
        <f>'数据-取费表'!B28</f>
        <v>200</v>
      </c>
      <c r="F10" s="369"/>
      <c r="G10" s="376"/>
    </row>
    <row r="11" s="339" customFormat="1" ht="13.5" hidden="1" customHeight="1" spans="1:7">
      <c r="A11" s="377" t="s">
        <v>1005</v>
      </c>
      <c r="B11" s="363" t="s">
        <v>2322</v>
      </c>
      <c r="C11" s="359"/>
      <c r="D11" s="366"/>
      <c r="E11" s="366"/>
      <c r="F11" s="366"/>
      <c r="G11" s="367"/>
    </row>
    <row r="12" s="339" customFormat="1" ht="13.5" hidden="1" customHeight="1" spans="1:7">
      <c r="A12" s="377" t="s">
        <v>1007</v>
      </c>
      <c r="B12" s="363" t="s">
        <v>2323</v>
      </c>
      <c r="C12" s="359">
        <v>0</v>
      </c>
      <c r="D12" s="366"/>
      <c r="E12" s="378"/>
      <c r="F12" s="369">
        <v>0.0305</v>
      </c>
      <c r="G12" s="367"/>
    </row>
    <row r="13" s="339" customFormat="1" ht="13.5" hidden="1" customHeight="1" spans="1:7">
      <c r="A13" s="377" t="s">
        <v>1008</v>
      </c>
      <c r="B13" s="363" t="s">
        <v>2324</v>
      </c>
      <c r="C13" s="359"/>
      <c r="D13" s="366"/>
      <c r="E13" s="366"/>
      <c r="F13" s="366"/>
      <c r="G13" s="367"/>
    </row>
    <row r="14" s="339" customFormat="1" ht="13.5" hidden="1" customHeight="1" spans="1:7">
      <c r="A14" s="377" t="s">
        <v>1010</v>
      </c>
      <c r="B14" s="363" t="s">
        <v>2318</v>
      </c>
      <c r="C14" s="359"/>
      <c r="D14" s="366"/>
      <c r="E14" s="366"/>
      <c r="F14" s="366"/>
      <c r="G14" s="367" t="s">
        <v>2325</v>
      </c>
    </row>
    <row r="15" s="339" customFormat="1" ht="13.5" hidden="1" customHeight="1" spans="1:7">
      <c r="A15" s="377" t="s">
        <v>1012</v>
      </c>
      <c r="B15" s="363" t="s">
        <v>2326</v>
      </c>
      <c r="C15" s="368"/>
      <c r="D15" s="366"/>
      <c r="E15" s="366"/>
      <c r="F15" s="366"/>
      <c r="G15" s="367" t="s">
        <v>2327</v>
      </c>
    </row>
    <row r="16" s="339" customFormat="1" ht="13.5" hidden="1" customHeight="1" spans="1:7">
      <c r="A16" s="377" t="s">
        <v>1015</v>
      </c>
      <c r="B16" s="363" t="s">
        <v>2318</v>
      </c>
      <c r="C16" s="368"/>
      <c r="D16" s="366"/>
      <c r="E16" s="366"/>
      <c r="F16" s="366"/>
      <c r="G16" s="367"/>
    </row>
    <row r="17" s="339" customFormat="1" ht="13.5" hidden="1" customHeight="1" spans="1:7">
      <c r="A17" s="377" t="s">
        <v>1016</v>
      </c>
      <c r="B17" s="363" t="s">
        <v>2328</v>
      </c>
      <c r="C17" s="379"/>
      <c r="D17" s="379"/>
      <c r="E17" s="379"/>
      <c r="F17" s="379"/>
      <c r="G17" s="367" t="s">
        <v>2327</v>
      </c>
    </row>
    <row r="18" s="339" customFormat="1" ht="13.5" hidden="1" customHeight="1" spans="1:7">
      <c r="A18" s="377" t="s">
        <v>1018</v>
      </c>
      <c r="B18" s="363" t="s">
        <v>2329</v>
      </c>
      <c r="C18" s="368">
        <v>0</v>
      </c>
      <c r="D18" s="366"/>
      <c r="E18" s="366"/>
      <c r="F18" s="369">
        <v>0.0305</v>
      </c>
      <c r="G18" s="367" t="s">
        <v>2330</v>
      </c>
    </row>
    <row r="19" s="340" customFormat="1" ht="13.5" customHeight="1" spans="1:7">
      <c r="A19" s="380" t="s">
        <v>1886</v>
      </c>
      <c r="B19" s="358" t="s">
        <v>2331</v>
      </c>
      <c r="C19" s="359">
        <f>IF(G19="已包含在土地取得成本中","0",ROUND(D19*E19/10000,0))</f>
        <v>7</v>
      </c>
      <c r="D19" s="360">
        <f>'数据-汇总表'!E3</f>
        <v>349.48</v>
      </c>
      <c r="E19" s="359">
        <f>'数据-取费表'!B31</f>
        <v>200</v>
      </c>
      <c r="F19" s="381"/>
      <c r="G19" s="371" t="s">
        <v>2332</v>
      </c>
    </row>
    <row r="20" s="339" customFormat="1" ht="13.5" customHeight="1" spans="1:7">
      <c r="A20" s="380" t="s">
        <v>1922</v>
      </c>
      <c r="B20" s="358" t="s">
        <v>2333</v>
      </c>
      <c r="C20" s="382">
        <f>ROUND((C5+C19)*F20,0)</f>
        <v>619</v>
      </c>
      <c r="D20" s="382"/>
      <c r="E20" s="382"/>
      <c r="F20" s="383">
        <f>'数据-取费表'!B37</f>
        <v>0.03</v>
      </c>
      <c r="G20" s="384" t="s">
        <v>2334</v>
      </c>
    </row>
    <row r="21" s="339" customFormat="1" ht="13.5" customHeight="1" spans="1:7">
      <c r="A21" s="380" t="s">
        <v>1927</v>
      </c>
      <c r="B21" s="358" t="s">
        <v>2335</v>
      </c>
      <c r="C21" s="385">
        <f>F21</f>
        <v>0.03</v>
      </c>
      <c r="D21" s="386" t="s">
        <v>2336</v>
      </c>
      <c r="E21" s="382"/>
      <c r="F21" s="383">
        <f>'数据-取费表'!B38</f>
        <v>0.03</v>
      </c>
      <c r="G21" s="387" t="s">
        <v>2337</v>
      </c>
    </row>
    <row r="22" s="339" customFormat="1" ht="13.5" customHeight="1" spans="1:7">
      <c r="A22" s="380" t="s">
        <v>1936</v>
      </c>
      <c r="B22" s="358" t="s">
        <v>2338</v>
      </c>
      <c r="C22" s="388">
        <f ca="1">ROUND(SUM(C23:C25),0)</f>
        <v>1468</v>
      </c>
      <c r="D22" s="385">
        <f ca="1">C26</f>
        <v>0.001</v>
      </c>
      <c r="E22" s="386" t="s">
        <v>2336</v>
      </c>
      <c r="F22" s="389">
        <f ca="1">'数据-取费表'!B40</f>
        <v>0.0345</v>
      </c>
      <c r="G22" s="384" t="str">
        <f>IF('数据-取费表'!B22&lt;=1,"单利计息","复利计息")</f>
        <v>复利计息</v>
      </c>
    </row>
    <row r="23" s="339" customFormat="1" ht="13.5" customHeight="1" spans="1:7">
      <c r="A23" s="390" t="s">
        <v>994</v>
      </c>
      <c r="B23" s="363" t="s">
        <v>2339</v>
      </c>
      <c r="C23" s="391">
        <f ca="1">ROUND(IF('数据-取费表'!B22&lt;=1,C5*F22*'数据-取费表'!B23,C5*(POWER((1+F22),'数据-取费表'!B23)-1)),0)</f>
        <v>1447</v>
      </c>
      <c r="D23" s="392"/>
      <c r="E23" s="392"/>
      <c r="F23" s="393"/>
      <c r="G23" s="394" t="s">
        <v>2340</v>
      </c>
    </row>
    <row r="24" s="339" customFormat="1" ht="13.5" customHeight="1" spans="1:7">
      <c r="A24" s="390" t="s">
        <v>996</v>
      </c>
      <c r="B24" s="363" t="s">
        <v>2341</v>
      </c>
      <c r="C24" s="391">
        <f ca="1">ROUND(IF('数据-取费表'!B22&lt;=1,C19*F22*('数据-取费表'!B19/2+'数据-取费表'!B21),C19*(POWER((1+F22),('数据-取费表'!B19/2+'数据-取费表'!B21))-1)),0)</f>
        <v>0</v>
      </c>
      <c r="D24" s="392"/>
      <c r="E24" s="392"/>
      <c r="F24" s="393"/>
      <c r="G24" s="394" t="s">
        <v>2342</v>
      </c>
    </row>
    <row r="25" s="339" customFormat="1" ht="24" spans="1:7">
      <c r="A25" s="390" t="s">
        <v>998</v>
      </c>
      <c r="B25" s="363" t="s">
        <v>2343</v>
      </c>
      <c r="C25" s="391">
        <f ca="1">ROUND(IF('数据-取费表'!B22&lt;=1,C20*F22*'数据-取费表'!B23/2,C20*(POWER((1+F22),'数据-取费表'!B23/2)-1)),0)</f>
        <v>21</v>
      </c>
      <c r="D25" s="392"/>
      <c r="E25" s="395"/>
      <c r="F25" s="393"/>
      <c r="G25" s="396" t="s">
        <v>2344</v>
      </c>
    </row>
    <row r="26" s="339" customFormat="1" spans="1:7">
      <c r="A26" s="390" t="s">
        <v>1038</v>
      </c>
      <c r="B26" s="363" t="s">
        <v>2345</v>
      </c>
      <c r="C26" s="392">
        <f ca="1">ROUND(IF('数据-取费表'!B22&lt;=1,F21*F22*'数据-取费表'!B23/2,F21*(POWER((1+F22),'数据-取费表'!B23/2)-1)),4)</f>
        <v>0.001</v>
      </c>
      <c r="D26" s="392"/>
      <c r="E26" s="395"/>
      <c r="F26" s="393"/>
      <c r="G26" s="397"/>
    </row>
    <row r="27" s="339" customFormat="1" ht="24.75" spans="1:7">
      <c r="A27" s="380" t="s">
        <v>1945</v>
      </c>
      <c r="B27" s="398" t="s">
        <v>2346</v>
      </c>
      <c r="C27" s="399">
        <f>C28</f>
        <v>4247</v>
      </c>
      <c r="D27" s="385">
        <f>C29</f>
        <v>0.006</v>
      </c>
      <c r="E27" s="386" t="s">
        <v>2336</v>
      </c>
      <c r="F27" s="400">
        <f>'数据-取费表'!Q16</f>
        <v>0.2</v>
      </c>
      <c r="G27" s="401" t="s">
        <v>2347</v>
      </c>
    </row>
    <row r="28" s="339" customFormat="1" ht="13.5" customHeight="1" spans="1:7">
      <c r="A28" s="390" t="s">
        <v>994</v>
      </c>
      <c r="B28" s="402" t="s">
        <v>2348</v>
      </c>
      <c r="C28" s="403">
        <f>ROUND((C5+C19+C20)*F27*'数据-取费表'!B21/'数据-取费表'!B20,0)</f>
        <v>4247</v>
      </c>
      <c r="D28" s="385"/>
      <c r="E28" s="386"/>
      <c r="F28" s="400"/>
      <c r="G28" s="401"/>
    </row>
    <row r="29" s="339" customFormat="1" ht="13.5" customHeight="1" spans="1:7">
      <c r="A29" s="390" t="s">
        <v>996</v>
      </c>
      <c r="B29" s="402" t="s">
        <v>2349</v>
      </c>
      <c r="C29" s="392">
        <f>ROUND(C21*F27*'数据-取费表'!B21/'数据-取费表'!B20,4)</f>
        <v>0.006</v>
      </c>
      <c r="D29" s="385"/>
      <c r="E29" s="386"/>
      <c r="F29" s="400"/>
      <c r="G29" s="401"/>
    </row>
    <row r="30" s="339" customFormat="1" ht="13.5" customHeight="1" spans="1:7">
      <c r="A30" s="380" t="s">
        <v>2350</v>
      </c>
      <c r="B30" s="358" t="s">
        <v>2351</v>
      </c>
      <c r="C30" s="385">
        <f>F30</f>
        <v>0.056</v>
      </c>
      <c r="D30" s="386" t="s">
        <v>2352</v>
      </c>
      <c r="E30" s="395"/>
      <c r="F30" s="389">
        <f>'数据-取费表'!B41</f>
        <v>0.056</v>
      </c>
      <c r="G30" s="387" t="s">
        <v>2353</v>
      </c>
    </row>
    <row r="31" ht="16.5" customHeight="1" spans="1:7">
      <c r="A31" s="404">
        <v>1</v>
      </c>
      <c r="B31" s="358" t="s">
        <v>2354</v>
      </c>
      <c r="C31" s="359">
        <f ca="1">ROUND((C5+C19+C20+C22+C27)/(1-C21-D22-D27-C30/(1+'数据-取费表'!B42)),0)</f>
        <v>29627</v>
      </c>
      <c r="D31" s="405"/>
      <c r="E31" s="359"/>
      <c r="F31" s="406"/>
      <c r="G31" s="387" t="s">
        <v>2355</v>
      </c>
    </row>
    <row r="32" s="338" customFormat="1" ht="15.75" spans="1:7">
      <c r="A32" s="407" t="s">
        <v>2356</v>
      </c>
      <c r="B32" s="408"/>
      <c r="C32" s="408"/>
      <c r="D32" s="408"/>
      <c r="E32" s="408"/>
      <c r="F32" s="408"/>
      <c r="G32" s="409"/>
    </row>
    <row r="33" s="339" customFormat="1" ht="13.5" customHeight="1" spans="1:7">
      <c r="A33" s="357" t="s">
        <v>990</v>
      </c>
      <c r="B33" s="358" t="s">
        <v>2357</v>
      </c>
      <c r="C33" s="410">
        <f>SUM(C34:C38)</f>
        <v>7</v>
      </c>
      <c r="D33" s="382"/>
      <c r="E33" s="360"/>
      <c r="F33" s="395"/>
      <c r="G33" s="387"/>
    </row>
    <row r="34" s="341" customFormat="1" ht="13.5" customHeight="1" spans="1:7">
      <c r="A34" s="390" t="s">
        <v>994</v>
      </c>
      <c r="B34" s="363" t="s">
        <v>2358</v>
      </c>
      <c r="C34" s="368">
        <f>IF(F34=100%,'数据-取费表'!M16-SUMIF('数据-取费表'!C:C,"公共配套",'数据-取费表'!M:M),'数据-取费表'!O16-SUMIF('数据-取费表'!C:C,"公共配套",'数据-取费表'!O:O))</f>
        <v>0</v>
      </c>
      <c r="D34" s="365"/>
      <c r="E34" s="368"/>
      <c r="F34" s="411">
        <f>IF('数据-取费表'!B24=0,1,'数据-取费表'!N16)</f>
        <v>1</v>
      </c>
      <c r="G34" s="367" t="s">
        <v>2359</v>
      </c>
    </row>
    <row r="35" ht="13.5" customHeight="1" spans="1:7">
      <c r="A35" s="390" t="s">
        <v>996</v>
      </c>
      <c r="B35" s="363" t="s">
        <v>2360</v>
      </c>
      <c r="C35" s="368">
        <f>ROUND(C34*F35,0)</f>
        <v>0</v>
      </c>
      <c r="D35" s="368"/>
      <c r="E35" s="368"/>
      <c r="F35" s="412">
        <f>'数据-取费表'!B33</f>
        <v>0.05</v>
      </c>
      <c r="G35" s="367" t="s">
        <v>2361</v>
      </c>
    </row>
    <row r="36" ht="24" spans="1:7">
      <c r="A36" s="390" t="s">
        <v>998</v>
      </c>
      <c r="B36" s="363" t="s">
        <v>2362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2363</v>
      </c>
    </row>
    <row r="37" s="341" customFormat="1" ht="13.5" customHeight="1" spans="1:7">
      <c r="A37" s="390" t="s">
        <v>1038</v>
      </c>
      <c r="B37" s="363" t="s">
        <v>2364</v>
      </c>
      <c r="C37" s="403">
        <f>ROUND(E37*D37*F34/10000,0)</f>
        <v>7</v>
      </c>
      <c r="D37" s="365">
        <f>'数据-汇总表'!E3</f>
        <v>349.48</v>
      </c>
      <c r="E37" s="403">
        <f>'数据-取费表'!B35</f>
        <v>200</v>
      </c>
      <c r="F37" s="412"/>
      <c r="G37" s="414" t="s">
        <v>2365</v>
      </c>
    </row>
    <row r="38" ht="13.5" customHeight="1" spans="1:7">
      <c r="A38" s="390" t="s">
        <v>1060</v>
      </c>
      <c r="B38" s="363" t="s">
        <v>2323</v>
      </c>
      <c r="C38" s="368">
        <f>ROUND(C34*F38,0)</f>
        <v>0</v>
      </c>
      <c r="D38" s="368"/>
      <c r="E38" s="368"/>
      <c r="F38" s="412">
        <f>'数据-取费表'!B36</f>
        <v>0.02</v>
      </c>
      <c r="G38" s="367" t="s">
        <v>2361</v>
      </c>
    </row>
    <row r="39" s="339" customFormat="1" ht="13.5" customHeight="1" spans="1:7">
      <c r="A39" s="380" t="s">
        <v>1886</v>
      </c>
      <c r="B39" s="358" t="s">
        <v>2333</v>
      </c>
      <c r="C39" s="382">
        <f>ROUND(C33*F20,0)</f>
        <v>0</v>
      </c>
      <c r="D39" s="382"/>
      <c r="E39" s="382"/>
      <c r="F39" s="383"/>
      <c r="G39" s="384" t="s">
        <v>2366</v>
      </c>
    </row>
    <row r="40" s="339" customFormat="1" ht="13.5" customHeight="1" spans="1:7">
      <c r="A40" s="380" t="s">
        <v>1922</v>
      </c>
      <c r="B40" s="358" t="s">
        <v>2335</v>
      </c>
      <c r="C40" s="415">
        <f>F21</f>
        <v>0.03</v>
      </c>
      <c r="D40" s="386" t="s">
        <v>2367</v>
      </c>
      <c r="E40" s="382"/>
      <c r="F40" s="383"/>
      <c r="G40" s="387" t="s">
        <v>2368</v>
      </c>
    </row>
    <row r="41" s="339" customFormat="1" ht="13.5" customHeight="1" spans="1:7">
      <c r="A41" s="380" t="s">
        <v>1927</v>
      </c>
      <c r="B41" s="358" t="s">
        <v>2338</v>
      </c>
      <c r="C41" s="382">
        <f ca="1">ROUND(SUM(C42:C43),0)</f>
        <v>0</v>
      </c>
      <c r="D41" s="385">
        <f ca="1">C44</f>
        <v>0.001</v>
      </c>
      <c r="E41" s="386" t="s">
        <v>2367</v>
      </c>
      <c r="F41" s="389"/>
      <c r="G41" s="384" t="str">
        <f>IF('数据-取费表'!B22&lt;=1,"单利计息","复利计息")</f>
        <v>复利计息</v>
      </c>
    </row>
    <row r="42" ht="13.5" customHeight="1" spans="1:7">
      <c r="A42" s="390" t="s">
        <v>994</v>
      </c>
      <c r="B42" s="363" t="s">
        <v>2339</v>
      </c>
      <c r="C42" s="392">
        <f ca="1">ROUND(IF('数据-取费表'!B22&lt;=1,C33*F22*'数据-取费表'!B21/2,C33*(POWER((1+F22),'数据-取费表'!B21/2)-1)),0)</f>
        <v>0</v>
      </c>
      <c r="D42" s="392"/>
      <c r="E42" s="392"/>
      <c r="F42" s="393"/>
      <c r="G42" s="416" t="s">
        <v>2369</v>
      </c>
    </row>
    <row r="43" ht="13.5" customHeight="1" spans="1:7">
      <c r="A43" s="390" t="s">
        <v>996</v>
      </c>
      <c r="B43" s="363" t="s">
        <v>2341</v>
      </c>
      <c r="C43" s="392">
        <f ca="1">ROUND(IF('数据-取费表'!B22&lt;=1,C39*F22*'数据-取费表'!B21/2,C39*(POWER((1+F22),'数据-取费表'!B21/2)-1)),0)</f>
        <v>0</v>
      </c>
      <c r="D43" s="392"/>
      <c r="E43" s="392"/>
      <c r="F43" s="393"/>
      <c r="G43" s="417"/>
    </row>
    <row r="44" ht="13.5" customHeight="1" spans="1:7">
      <c r="A44" s="390" t="s">
        <v>998</v>
      </c>
      <c r="B44" s="363" t="s">
        <v>2343</v>
      </c>
      <c r="C44" s="392">
        <f ca="1">ROUND(IF('数据-取费表'!B22&lt;=1,C40*F22*'数据-取费表'!B21/2,C40*(POWER((1+F22),'数据-取费表'!B21/2)-1)),4)</f>
        <v>0.001</v>
      </c>
      <c r="D44" s="392"/>
      <c r="E44" s="392"/>
      <c r="F44" s="393"/>
      <c r="G44" s="418"/>
    </row>
    <row r="45" s="339" customFormat="1" ht="13.5" customHeight="1" spans="1:7">
      <c r="A45" s="380" t="s">
        <v>1936</v>
      </c>
      <c r="B45" s="398" t="s">
        <v>2346</v>
      </c>
      <c r="C45" s="399">
        <f>C46</f>
        <v>1</v>
      </c>
      <c r="D45" s="385">
        <f>C47</f>
        <v>0.006</v>
      </c>
      <c r="E45" s="386" t="s">
        <v>2367</v>
      </c>
      <c r="F45" s="400"/>
      <c r="G45" s="401" t="s">
        <v>2370</v>
      </c>
    </row>
    <row r="46" s="339" customFormat="1" ht="13.5" customHeight="1" spans="1:7">
      <c r="A46" s="390" t="s">
        <v>994</v>
      </c>
      <c r="B46" s="402" t="s">
        <v>2371</v>
      </c>
      <c r="C46" s="403">
        <f>ROUND((C33+C39)*F27,0)</f>
        <v>1</v>
      </c>
      <c r="D46" s="419"/>
      <c r="E46" s="386"/>
      <c r="F46" s="400"/>
      <c r="G46" s="401"/>
    </row>
    <row r="47" s="339" customFormat="1" ht="13.5" customHeight="1" spans="1:7">
      <c r="A47" s="390" t="s">
        <v>996</v>
      </c>
      <c r="B47" s="402" t="s">
        <v>2372</v>
      </c>
      <c r="C47" s="392">
        <f>ROUND(C40*F27,4)</f>
        <v>0.006</v>
      </c>
      <c r="D47" s="419"/>
      <c r="E47" s="386"/>
      <c r="F47" s="400"/>
      <c r="G47" s="401"/>
    </row>
    <row r="48" s="339" customFormat="1" ht="13.5" customHeight="1" spans="1:7">
      <c r="A48" s="380" t="s">
        <v>1945</v>
      </c>
      <c r="B48" s="358" t="s">
        <v>2351</v>
      </c>
      <c r="C48" s="415">
        <f>F30</f>
        <v>0.056</v>
      </c>
      <c r="D48" s="386" t="s">
        <v>2373</v>
      </c>
      <c r="E48" s="382"/>
      <c r="F48" s="389"/>
      <c r="G48" s="387" t="s">
        <v>2374</v>
      </c>
    </row>
    <row r="49" ht="16.5" customHeight="1" spans="1:7">
      <c r="A49" s="380" t="s">
        <v>2350</v>
      </c>
      <c r="B49" s="358" t="s">
        <v>2375</v>
      </c>
      <c r="C49" s="382">
        <f ca="1">ROUND((C33+C39+C41+C45)/(1-C40-D41-D45-C48/(1+'数据-取费表'!B42)),0)</f>
        <v>9</v>
      </c>
      <c r="D49" s="382"/>
      <c r="E49" s="382"/>
      <c r="F49" s="420"/>
      <c r="G49" s="387" t="s">
        <v>2376</v>
      </c>
    </row>
    <row r="50" s="341" customFormat="1" ht="24" spans="1:7">
      <c r="A50" s="380" t="s">
        <v>2377</v>
      </c>
      <c r="B50" s="358" t="s">
        <v>2378</v>
      </c>
      <c r="C50" s="382"/>
      <c r="D50" s="382"/>
      <c r="E50" s="382"/>
      <c r="F50" s="420" t="e">
        <f>IF('数据-取费表'!B24=0,'数据-取费表'!N16,1)</f>
        <v>#DIV/0!</v>
      </c>
      <c r="G50" s="401" t="s">
        <v>2379</v>
      </c>
    </row>
    <row r="51" ht="16.5" customHeight="1" spans="1:7">
      <c r="A51" s="380" t="s">
        <v>2380</v>
      </c>
      <c r="B51" s="358" t="s">
        <v>2381</v>
      </c>
      <c r="C51" s="382" t="e">
        <f ca="1">ROUND(C49*F50,0)</f>
        <v>#DIV/0!</v>
      </c>
      <c r="D51" s="382"/>
      <c r="E51" s="382"/>
      <c r="F51" s="420"/>
      <c r="G51" s="387" t="s">
        <v>2382</v>
      </c>
    </row>
    <row r="52" s="338" customFormat="1" ht="16.5" spans="1:7">
      <c r="A52" s="421" t="s">
        <v>2383</v>
      </c>
      <c r="B52" s="422"/>
      <c r="C52" s="423" t="e">
        <f ca="1">C31+C51</f>
        <v>#DIV/0!</v>
      </c>
      <c r="D52" s="422"/>
      <c r="E52" s="422"/>
      <c r="F52" s="422"/>
      <c r="G52" s="424"/>
    </row>
    <row r="55" ht="15" spans="2:3">
      <c r="B55" s="425" t="s">
        <v>2384</v>
      </c>
      <c r="C55" s="426"/>
    </row>
    <row r="56" spans="2:3">
      <c r="B56" s="427" t="s">
        <v>2385</v>
      </c>
      <c r="C56" s="428" t="e">
        <f ca="1">ROUND(C51/C52,3)</f>
        <v>#DIV/0!</v>
      </c>
    </row>
    <row r="57" spans="2:3">
      <c r="B57" s="427" t="s">
        <v>2386</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2388</v>
      </c>
      <c r="B2" s="307"/>
      <c r="C2" s="307"/>
      <c r="D2" s="307"/>
      <c r="E2" s="307"/>
      <c r="F2" s="307"/>
      <c r="G2" s="308" t="s">
        <v>2389</v>
      </c>
      <c r="I2" s="317" t="s">
        <v>2390</v>
      </c>
      <c r="J2" s="317" t="s">
        <v>2391</v>
      </c>
      <c r="K2" s="317" t="s">
        <v>2392</v>
      </c>
      <c r="L2" s="317" t="s">
        <v>2393</v>
      </c>
      <c r="M2" s="317" t="s">
        <v>2394</v>
      </c>
      <c r="N2" s="317" t="s">
        <v>2395</v>
      </c>
      <c r="O2" s="317" t="s">
        <v>2396</v>
      </c>
      <c r="P2" s="317" t="s">
        <v>2397</v>
      </c>
      <c r="Q2" s="317" t="s">
        <v>2398</v>
      </c>
      <c r="R2" s="317" t="s">
        <v>2399</v>
      </c>
      <c r="S2" s="317" t="s">
        <v>2400</v>
      </c>
      <c r="T2" s="317" t="s">
        <v>2401</v>
      </c>
    </row>
    <row r="3" s="302" customFormat="1" spans="1:20">
      <c r="A3" s="309" t="s">
        <v>2402</v>
      </c>
      <c r="B3" s="310"/>
      <c r="C3" s="311" t="s">
        <v>546</v>
      </c>
      <c r="D3" s="311" t="s">
        <v>2065</v>
      </c>
      <c r="E3" s="311" t="s">
        <v>412</v>
      </c>
      <c r="F3" s="311" t="s">
        <v>408</v>
      </c>
      <c r="G3" s="311" t="s">
        <v>280</v>
      </c>
      <c r="H3" s="312"/>
      <c r="I3" s="318" t="s">
        <v>2403</v>
      </c>
      <c r="J3" s="319" t="s">
        <v>2404</v>
      </c>
      <c r="K3" s="319" t="s">
        <v>2405</v>
      </c>
      <c r="L3" s="318" t="s">
        <v>2406</v>
      </c>
      <c r="M3" s="318" t="s">
        <v>2407</v>
      </c>
      <c r="N3" s="318" t="s">
        <v>2408</v>
      </c>
      <c r="O3" s="318" t="s">
        <v>2409</v>
      </c>
      <c r="P3" s="318" t="s">
        <v>2410</v>
      </c>
      <c r="Q3" s="318" t="s">
        <v>2411</v>
      </c>
      <c r="R3" s="318" t="s">
        <v>2412</v>
      </c>
      <c r="S3" s="318" t="s">
        <v>2413</v>
      </c>
      <c r="T3" s="318" t="s">
        <v>2414</v>
      </c>
    </row>
    <row r="4" s="302" customFormat="1" ht="12" spans="1:20">
      <c r="A4" s="313"/>
      <c r="B4" s="314" t="s">
        <v>2415</v>
      </c>
      <c r="C4" s="314" t="s">
        <v>2416</v>
      </c>
      <c r="D4" s="314" t="s">
        <v>2416</v>
      </c>
      <c r="E4" s="314" t="s">
        <v>2416</v>
      </c>
      <c r="F4" s="315" t="s">
        <v>2416</v>
      </c>
      <c r="G4" s="315" t="s">
        <v>2416</v>
      </c>
      <c r="H4" s="312"/>
      <c r="I4" s="319" t="s">
        <v>2417</v>
      </c>
      <c r="J4" s="319" t="s">
        <v>2418</v>
      </c>
      <c r="K4" s="319" t="s">
        <v>2419</v>
      </c>
      <c r="L4" s="318" t="s">
        <v>2420</v>
      </c>
      <c r="M4" s="318" t="s">
        <v>2421</v>
      </c>
      <c r="N4" s="318" t="s">
        <v>2422</v>
      </c>
      <c r="O4" s="318" t="s">
        <v>2423</v>
      </c>
      <c r="P4" s="318" t="s">
        <v>2424</v>
      </c>
      <c r="Q4" s="318" t="s">
        <v>2425</v>
      </c>
      <c r="R4" s="318" t="s">
        <v>2426</v>
      </c>
      <c r="S4" s="318" t="s">
        <v>2427</v>
      </c>
      <c r="T4" s="318" t="s">
        <v>2428</v>
      </c>
    </row>
    <row r="5" spans="1:20">
      <c r="A5" s="316" t="s">
        <v>230</v>
      </c>
      <c r="B5" s="317" t="s">
        <v>2390</v>
      </c>
      <c r="C5" s="317">
        <v>34550</v>
      </c>
      <c r="D5" s="317">
        <v>34470</v>
      </c>
      <c r="E5" s="317">
        <v>34330</v>
      </c>
      <c r="F5" s="317">
        <v>13400</v>
      </c>
      <c r="G5" s="317">
        <v>25450</v>
      </c>
      <c r="H5" s="312"/>
      <c r="I5" s="318" t="s">
        <v>2429</v>
      </c>
      <c r="J5" s="319" t="s">
        <v>2430</v>
      </c>
      <c r="K5" s="319" t="s">
        <v>2431</v>
      </c>
      <c r="L5" s="318" t="s">
        <v>2432</v>
      </c>
      <c r="M5" s="318" t="s">
        <v>2433</v>
      </c>
      <c r="N5" s="318" t="s">
        <v>2434</v>
      </c>
      <c r="O5" s="318" t="s">
        <v>2435</v>
      </c>
      <c r="P5" s="318" t="s">
        <v>2436</v>
      </c>
      <c r="Q5" s="318" t="s">
        <v>2437</v>
      </c>
      <c r="R5" s="318" t="s">
        <v>2438</v>
      </c>
      <c r="S5" s="318" t="s">
        <v>2439</v>
      </c>
      <c r="T5" s="318" t="s">
        <v>2440</v>
      </c>
    </row>
    <row r="6" ht="12" spans="1:20">
      <c r="A6" s="318" t="s">
        <v>230</v>
      </c>
      <c r="B6" s="318" t="s">
        <v>2403</v>
      </c>
      <c r="C6" s="318">
        <v>36990</v>
      </c>
      <c r="D6" s="318">
        <v>36850</v>
      </c>
      <c r="E6" s="318">
        <v>36700</v>
      </c>
      <c r="F6" s="318">
        <v>14590</v>
      </c>
      <c r="G6" s="318">
        <v>27450</v>
      </c>
      <c r="H6" s="312"/>
      <c r="I6" s="321" t="s">
        <v>2441</v>
      </c>
      <c r="J6" s="319" t="s">
        <v>2442</v>
      </c>
      <c r="K6" s="319" t="s">
        <v>2443</v>
      </c>
      <c r="L6" s="318" t="s">
        <v>2444</v>
      </c>
      <c r="M6" s="318" t="s">
        <v>2445</v>
      </c>
      <c r="N6" s="318" t="s">
        <v>2446</v>
      </c>
      <c r="O6" s="318" t="s">
        <v>2447</v>
      </c>
      <c r="P6" s="318" t="s">
        <v>2448</v>
      </c>
      <c r="Q6" s="318" t="s">
        <v>2449</v>
      </c>
      <c r="R6" s="318" t="s">
        <v>2450</v>
      </c>
      <c r="S6" s="318" t="s">
        <v>2451</v>
      </c>
      <c r="T6" s="318" t="s">
        <v>2452</v>
      </c>
    </row>
    <row r="7" spans="1:20">
      <c r="A7" s="318" t="s">
        <v>230</v>
      </c>
      <c r="B7" s="319" t="s">
        <v>2417</v>
      </c>
      <c r="C7" s="318">
        <v>34850</v>
      </c>
      <c r="D7" s="318">
        <v>34690</v>
      </c>
      <c r="E7" s="318">
        <v>34550</v>
      </c>
      <c r="F7" s="318">
        <v>14360</v>
      </c>
      <c r="G7" s="318">
        <v>25620</v>
      </c>
      <c r="H7" s="312"/>
      <c r="J7" s="319" t="s">
        <v>2453</v>
      </c>
      <c r="K7" s="319" t="s">
        <v>2454</v>
      </c>
      <c r="L7" s="318" t="s">
        <v>2455</v>
      </c>
      <c r="M7" s="318" t="s">
        <v>2456</v>
      </c>
      <c r="N7" s="318" t="s">
        <v>2457</v>
      </c>
      <c r="O7" s="318" t="s">
        <v>2458</v>
      </c>
      <c r="P7" s="318" t="s">
        <v>2459</v>
      </c>
      <c r="Q7" s="318" t="s">
        <v>2460</v>
      </c>
      <c r="R7" s="318" t="s">
        <v>2461</v>
      </c>
      <c r="S7" s="318" t="s">
        <v>2462</v>
      </c>
      <c r="T7" s="318" t="s">
        <v>2463</v>
      </c>
    </row>
    <row r="8" ht="12" spans="1:20">
      <c r="A8" s="318" t="s">
        <v>230</v>
      </c>
      <c r="B8" s="318" t="s">
        <v>2429</v>
      </c>
      <c r="C8" s="318">
        <v>32630</v>
      </c>
      <c r="D8" s="318">
        <v>32510</v>
      </c>
      <c r="E8" s="318">
        <v>32420</v>
      </c>
      <c r="F8" s="318">
        <v>13300</v>
      </c>
      <c r="G8" s="318">
        <v>24010</v>
      </c>
      <c r="H8" s="312"/>
      <c r="J8" s="319" t="s">
        <v>2464</v>
      </c>
      <c r="K8" s="319" t="s">
        <v>2465</v>
      </c>
      <c r="L8" s="318" t="s">
        <v>2466</v>
      </c>
      <c r="M8" s="318" t="s">
        <v>2467</v>
      </c>
      <c r="N8" s="318" t="s">
        <v>2468</v>
      </c>
      <c r="O8" s="318" t="s">
        <v>2469</v>
      </c>
      <c r="P8" s="318" t="s">
        <v>2470</v>
      </c>
      <c r="Q8" s="318" t="s">
        <v>2471</v>
      </c>
      <c r="R8" s="318" t="s">
        <v>2472</v>
      </c>
      <c r="S8" s="318" t="s">
        <v>2473</v>
      </c>
      <c r="T8" s="322" t="s">
        <v>2474</v>
      </c>
    </row>
    <row r="9" ht="12" spans="1:19">
      <c r="A9" s="320" t="s">
        <v>230</v>
      </c>
      <c r="B9" s="321" t="s">
        <v>2441</v>
      </c>
      <c r="C9" s="322">
        <v>36370</v>
      </c>
      <c r="D9" s="322">
        <v>36210</v>
      </c>
      <c r="E9" s="322">
        <v>36050</v>
      </c>
      <c r="F9" s="322"/>
      <c r="G9" s="322">
        <v>26740</v>
      </c>
      <c r="H9" s="312"/>
      <c r="J9" s="319" t="s">
        <v>2475</v>
      </c>
      <c r="K9" s="319" t="s">
        <v>2476</v>
      </c>
      <c r="L9" s="318" t="s">
        <v>2477</v>
      </c>
      <c r="M9" s="318" t="s">
        <v>2478</v>
      </c>
      <c r="N9" s="318" t="s">
        <v>2479</v>
      </c>
      <c r="O9" s="318" t="s">
        <v>2480</v>
      </c>
      <c r="P9" s="318" t="s">
        <v>2481</v>
      </c>
      <c r="Q9" s="318" t="s">
        <v>2482</v>
      </c>
      <c r="R9" s="318" t="s">
        <v>2483</v>
      </c>
      <c r="S9" s="318" t="s">
        <v>2484</v>
      </c>
    </row>
    <row r="10" spans="1:19">
      <c r="A10" s="316" t="s">
        <v>241</v>
      </c>
      <c r="B10" s="317" t="s">
        <v>2391</v>
      </c>
      <c r="C10" s="318">
        <v>32350</v>
      </c>
      <c r="D10" s="318">
        <v>31430</v>
      </c>
      <c r="E10" s="318">
        <v>31320</v>
      </c>
      <c r="F10" s="318">
        <v>10850</v>
      </c>
      <c r="G10" s="318">
        <v>22860</v>
      </c>
      <c r="H10" s="312"/>
      <c r="J10" s="319" t="s">
        <v>2485</v>
      </c>
      <c r="K10" s="319" t="s">
        <v>2486</v>
      </c>
      <c r="L10" s="318" t="s">
        <v>2487</v>
      </c>
      <c r="M10" s="318" t="s">
        <v>2488</v>
      </c>
      <c r="N10" s="318" t="s">
        <v>2489</v>
      </c>
      <c r="O10" s="318" t="s">
        <v>2490</v>
      </c>
      <c r="P10" s="318" t="s">
        <v>2491</v>
      </c>
      <c r="Q10" s="318" t="s">
        <v>2492</v>
      </c>
      <c r="R10" s="318" t="s">
        <v>2493</v>
      </c>
      <c r="S10" s="318" t="s">
        <v>2494</v>
      </c>
    </row>
    <row r="11" spans="1:19">
      <c r="A11" s="318" t="s">
        <v>241</v>
      </c>
      <c r="B11" s="319" t="s">
        <v>2404</v>
      </c>
      <c r="C11" s="318">
        <v>31590</v>
      </c>
      <c r="D11" s="318">
        <v>29490</v>
      </c>
      <c r="E11" s="318">
        <v>28700</v>
      </c>
      <c r="F11" s="318">
        <v>10410</v>
      </c>
      <c r="G11" s="318">
        <v>21460</v>
      </c>
      <c r="H11" s="312"/>
      <c r="J11" s="319" t="s">
        <v>2495</v>
      </c>
      <c r="K11" s="319" t="s">
        <v>2496</v>
      </c>
      <c r="L11" s="318" t="s">
        <v>2497</v>
      </c>
      <c r="M11" s="318" t="s">
        <v>2498</v>
      </c>
      <c r="N11" s="318" t="s">
        <v>2499</v>
      </c>
      <c r="O11" s="318" t="s">
        <v>2500</v>
      </c>
      <c r="P11" s="318" t="s">
        <v>2501</v>
      </c>
      <c r="Q11" s="318" t="s">
        <v>2502</v>
      </c>
      <c r="R11" s="318" t="s">
        <v>2503</v>
      </c>
      <c r="S11" s="318" t="s">
        <v>2504</v>
      </c>
    </row>
    <row r="12" spans="1:19">
      <c r="A12" s="318" t="s">
        <v>241</v>
      </c>
      <c r="B12" s="319" t="s">
        <v>2418</v>
      </c>
      <c r="C12" s="318">
        <v>29640</v>
      </c>
      <c r="D12" s="318">
        <v>27550</v>
      </c>
      <c r="E12" s="318">
        <v>28010</v>
      </c>
      <c r="F12" s="318">
        <v>8730</v>
      </c>
      <c r="G12" s="318">
        <v>20050</v>
      </c>
      <c r="H12" s="312"/>
      <c r="J12" s="319" t="s">
        <v>2505</v>
      </c>
      <c r="K12" s="319" t="s">
        <v>2506</v>
      </c>
      <c r="L12" s="318" t="s">
        <v>2507</v>
      </c>
      <c r="M12" s="318" t="s">
        <v>2508</v>
      </c>
      <c r="N12" s="318" t="s">
        <v>2509</v>
      </c>
      <c r="O12" s="318" t="s">
        <v>2510</v>
      </c>
      <c r="P12" s="318" t="s">
        <v>2511</v>
      </c>
      <c r="Q12" s="318" t="s">
        <v>2512</v>
      </c>
      <c r="R12" s="318" t="s">
        <v>2513</v>
      </c>
      <c r="S12" s="318" t="s">
        <v>2514</v>
      </c>
    </row>
    <row r="13" spans="1:19">
      <c r="A13" s="318" t="s">
        <v>241</v>
      </c>
      <c r="B13" s="319" t="s">
        <v>2430</v>
      </c>
      <c r="C13" s="318">
        <v>29680</v>
      </c>
      <c r="D13" s="318">
        <v>27660</v>
      </c>
      <c r="E13" s="318">
        <v>28210</v>
      </c>
      <c r="F13" s="318">
        <v>9590</v>
      </c>
      <c r="G13" s="318">
        <v>20120</v>
      </c>
      <c r="H13" s="312"/>
      <c r="J13" s="319" t="s">
        <v>2515</v>
      </c>
      <c r="K13" s="319" t="s">
        <v>2516</v>
      </c>
      <c r="L13" s="318" t="s">
        <v>2517</v>
      </c>
      <c r="M13" s="318" t="s">
        <v>2518</v>
      </c>
      <c r="N13" s="318" t="s">
        <v>2519</v>
      </c>
      <c r="O13" s="318" t="s">
        <v>2520</v>
      </c>
      <c r="P13" s="318" t="s">
        <v>2521</v>
      </c>
      <c r="Q13" s="318" t="s">
        <v>2522</v>
      </c>
      <c r="R13" s="318" t="s">
        <v>2523</v>
      </c>
      <c r="S13" s="318" t="s">
        <v>2524</v>
      </c>
    </row>
    <row r="14" spans="1:19">
      <c r="A14" s="318" t="s">
        <v>241</v>
      </c>
      <c r="B14" s="319" t="s">
        <v>2442</v>
      </c>
      <c r="C14" s="318">
        <v>30520</v>
      </c>
      <c r="D14" s="318">
        <v>29510</v>
      </c>
      <c r="E14" s="318">
        <v>29400</v>
      </c>
      <c r="F14" s="318">
        <v>9630</v>
      </c>
      <c r="G14" s="318">
        <v>21480</v>
      </c>
      <c r="H14" s="312"/>
      <c r="J14" s="319" t="s">
        <v>2525</v>
      </c>
      <c r="K14" s="319" t="s">
        <v>2526</v>
      </c>
      <c r="L14" s="318" t="s">
        <v>2527</v>
      </c>
      <c r="M14" s="318" t="s">
        <v>2528</v>
      </c>
      <c r="N14" s="318" t="s">
        <v>2529</v>
      </c>
      <c r="O14" s="318" t="s">
        <v>2530</v>
      </c>
      <c r="P14" s="318" t="s">
        <v>2531</v>
      </c>
      <c r="Q14" s="318" t="s">
        <v>2532</v>
      </c>
      <c r="R14" s="318" t="s">
        <v>2533</v>
      </c>
      <c r="S14" s="318" t="s">
        <v>2534</v>
      </c>
    </row>
    <row r="15" spans="1:19">
      <c r="A15" s="318" t="s">
        <v>241</v>
      </c>
      <c r="B15" s="319" t="s">
        <v>2453</v>
      </c>
      <c r="C15" s="318">
        <v>29090</v>
      </c>
      <c r="D15" s="318">
        <v>27590</v>
      </c>
      <c r="E15" s="318">
        <v>28120</v>
      </c>
      <c r="F15" s="318">
        <v>9110</v>
      </c>
      <c r="G15" s="318">
        <v>20070</v>
      </c>
      <c r="H15" s="312"/>
      <c r="J15" s="319" t="s">
        <v>2535</v>
      </c>
      <c r="K15" s="319" t="s">
        <v>2536</v>
      </c>
      <c r="L15" s="318" t="s">
        <v>2537</v>
      </c>
      <c r="M15" s="318" t="s">
        <v>2538</v>
      </c>
      <c r="N15" s="318" t="s">
        <v>2539</v>
      </c>
      <c r="O15" s="318" t="s">
        <v>2540</v>
      </c>
      <c r="P15" s="318" t="s">
        <v>2541</v>
      </c>
      <c r="Q15" s="318" t="s">
        <v>2542</v>
      </c>
      <c r="R15" s="318" t="s">
        <v>2543</v>
      </c>
      <c r="S15" s="318" t="s">
        <v>2544</v>
      </c>
    </row>
    <row r="16" spans="1:19">
      <c r="A16" s="318" t="s">
        <v>241</v>
      </c>
      <c r="B16" s="319" t="s">
        <v>2464</v>
      </c>
      <c r="C16" s="318">
        <v>26790</v>
      </c>
      <c r="D16" s="318">
        <v>30370</v>
      </c>
      <c r="E16" s="318">
        <v>30240</v>
      </c>
      <c r="F16" s="318">
        <v>11590</v>
      </c>
      <c r="G16" s="318">
        <v>22090</v>
      </c>
      <c r="H16" s="312"/>
      <c r="J16" s="319" t="s">
        <v>2545</v>
      </c>
      <c r="K16" s="319" t="s">
        <v>2546</v>
      </c>
      <c r="L16" s="318" t="s">
        <v>2547</v>
      </c>
      <c r="M16" s="318" t="s">
        <v>2548</v>
      </c>
      <c r="N16" s="318" t="s">
        <v>2549</v>
      </c>
      <c r="O16" s="318" t="s">
        <v>2550</v>
      </c>
      <c r="P16" s="318" t="s">
        <v>2551</v>
      </c>
      <c r="Q16" s="318" t="s">
        <v>2552</v>
      </c>
      <c r="R16" s="318" t="s">
        <v>2553</v>
      </c>
      <c r="S16" s="318" t="s">
        <v>2554</v>
      </c>
    </row>
    <row r="17" ht="14.25" customHeight="1" spans="1:19">
      <c r="A17" s="318" t="s">
        <v>241</v>
      </c>
      <c r="B17" s="319" t="s">
        <v>2475</v>
      </c>
      <c r="C17" s="318">
        <v>29180</v>
      </c>
      <c r="D17" s="318">
        <v>27620</v>
      </c>
      <c r="E17" s="318">
        <v>28180</v>
      </c>
      <c r="F17" s="318">
        <v>10790</v>
      </c>
      <c r="G17" s="318">
        <v>20090</v>
      </c>
      <c r="H17" s="312"/>
      <c r="J17" s="319" t="s">
        <v>2555</v>
      </c>
      <c r="K17" s="319" t="s">
        <v>2556</v>
      </c>
      <c r="L17" s="318" t="s">
        <v>2557</v>
      </c>
      <c r="M17" s="318" t="s">
        <v>2558</v>
      </c>
      <c r="N17" s="318" t="s">
        <v>2559</v>
      </c>
      <c r="O17" s="318" t="s">
        <v>2560</v>
      </c>
      <c r="P17" s="318" t="s">
        <v>2561</v>
      </c>
      <c r="Q17" s="318" t="s">
        <v>2562</v>
      </c>
      <c r="R17" s="318" t="s">
        <v>2563</v>
      </c>
      <c r="S17" s="318" t="s">
        <v>2564</v>
      </c>
    </row>
    <row r="18" ht="14.25" customHeight="1" spans="1:19">
      <c r="A18" s="318" t="s">
        <v>241</v>
      </c>
      <c r="B18" s="319" t="s">
        <v>2485</v>
      </c>
      <c r="C18" s="318">
        <v>26840</v>
      </c>
      <c r="D18" s="318">
        <v>28930</v>
      </c>
      <c r="E18" s="318">
        <v>28820</v>
      </c>
      <c r="F18" s="318"/>
      <c r="G18" s="318">
        <v>21050</v>
      </c>
      <c r="H18" s="312"/>
      <c r="J18" s="319" t="s">
        <v>2565</v>
      </c>
      <c r="K18" s="319" t="s">
        <v>2566</v>
      </c>
      <c r="L18" s="318" t="s">
        <v>2567</v>
      </c>
      <c r="M18" s="318" t="s">
        <v>2568</v>
      </c>
      <c r="N18" s="318" t="s">
        <v>2569</v>
      </c>
      <c r="O18" s="318" t="s">
        <v>2570</v>
      </c>
      <c r="P18" s="318" t="s">
        <v>2571</v>
      </c>
      <c r="Q18" s="318" t="s">
        <v>2572</v>
      </c>
      <c r="R18" s="318" t="s">
        <v>2573</v>
      </c>
      <c r="S18" s="318" t="s">
        <v>2574</v>
      </c>
    </row>
    <row r="19" ht="14.25" customHeight="1" spans="1:19">
      <c r="A19" s="318" t="s">
        <v>241</v>
      </c>
      <c r="B19" s="319" t="s">
        <v>2495</v>
      </c>
      <c r="C19" s="318">
        <v>27750</v>
      </c>
      <c r="D19" s="318">
        <v>26680</v>
      </c>
      <c r="E19" s="318">
        <v>26590</v>
      </c>
      <c r="F19" s="318"/>
      <c r="G19" s="318">
        <v>19420</v>
      </c>
      <c r="H19" s="312"/>
      <c r="J19" s="319" t="s">
        <v>2575</v>
      </c>
      <c r="K19" s="319" t="s">
        <v>2576</v>
      </c>
      <c r="L19" s="318" t="s">
        <v>2577</v>
      </c>
      <c r="M19" s="318" t="s">
        <v>2578</v>
      </c>
      <c r="N19" s="318" t="s">
        <v>2579</v>
      </c>
      <c r="O19" s="318" t="s">
        <v>2580</v>
      </c>
      <c r="P19" s="318" t="s">
        <v>2581</v>
      </c>
      <c r="Q19" s="318" t="s">
        <v>2582</v>
      </c>
      <c r="R19" s="318" t="s">
        <v>2583</v>
      </c>
      <c r="S19" s="318" t="s">
        <v>2584</v>
      </c>
    </row>
    <row r="20" ht="14.25" customHeight="1" spans="1:19">
      <c r="A20" s="318" t="s">
        <v>241</v>
      </c>
      <c r="B20" s="319" t="s">
        <v>2505</v>
      </c>
      <c r="C20" s="318">
        <v>27050</v>
      </c>
      <c r="D20" s="318">
        <v>29010</v>
      </c>
      <c r="E20" s="318">
        <v>28910</v>
      </c>
      <c r="F20" s="318"/>
      <c r="G20" s="318">
        <v>21110</v>
      </c>
      <c r="J20" s="319" t="s">
        <v>2585</v>
      </c>
      <c r="K20" s="319" t="s">
        <v>2586</v>
      </c>
      <c r="L20" s="318" t="s">
        <v>2587</v>
      </c>
      <c r="M20" s="318" t="s">
        <v>2588</v>
      </c>
      <c r="N20" s="318" t="s">
        <v>2589</v>
      </c>
      <c r="O20" s="318" t="s">
        <v>2590</v>
      </c>
      <c r="P20" s="318" t="s">
        <v>2591</v>
      </c>
      <c r="Q20" s="318" t="s">
        <v>2592</v>
      </c>
      <c r="R20" s="318" t="s">
        <v>2593</v>
      </c>
      <c r="S20" s="318" t="s">
        <v>2594</v>
      </c>
    </row>
    <row r="21" ht="14.25" customHeight="1" spans="1:19">
      <c r="A21" s="318" t="s">
        <v>241</v>
      </c>
      <c r="B21" s="319" t="s">
        <v>2515</v>
      </c>
      <c r="C21" s="318">
        <v>32370</v>
      </c>
      <c r="D21" s="318">
        <v>26730</v>
      </c>
      <c r="E21" s="318">
        <v>26640</v>
      </c>
      <c r="F21" s="318"/>
      <c r="G21" s="318">
        <v>19440</v>
      </c>
      <c r="J21" s="322" t="s">
        <v>2595</v>
      </c>
      <c r="K21" s="319" t="s">
        <v>2596</v>
      </c>
      <c r="L21" s="318" t="s">
        <v>2597</v>
      </c>
      <c r="M21" s="318" t="s">
        <v>2598</v>
      </c>
      <c r="N21" s="318" t="s">
        <v>2599</v>
      </c>
      <c r="O21" s="318" t="s">
        <v>2600</v>
      </c>
      <c r="P21" s="318" t="s">
        <v>2601</v>
      </c>
      <c r="Q21" s="318" t="s">
        <v>2602</v>
      </c>
      <c r="R21" s="318" t="s">
        <v>2603</v>
      </c>
      <c r="S21" s="322" t="s">
        <v>2604</v>
      </c>
    </row>
    <row r="22" ht="14.25" customHeight="1" spans="1:18">
      <c r="A22" s="318" t="s">
        <v>241</v>
      </c>
      <c r="B22" s="319" t="s">
        <v>2525</v>
      </c>
      <c r="C22" s="318">
        <v>29830</v>
      </c>
      <c r="D22" s="318">
        <v>27600</v>
      </c>
      <c r="E22" s="318">
        <v>28150</v>
      </c>
      <c r="F22" s="318"/>
      <c r="G22" s="318">
        <v>20080</v>
      </c>
      <c r="K22" s="319" t="s">
        <v>2605</v>
      </c>
      <c r="L22" s="318" t="s">
        <v>2606</v>
      </c>
      <c r="M22" s="318" t="s">
        <v>2607</v>
      </c>
      <c r="N22" s="318" t="s">
        <v>2608</v>
      </c>
      <c r="O22" s="318" t="s">
        <v>2609</v>
      </c>
      <c r="P22" s="318" t="s">
        <v>2610</v>
      </c>
      <c r="Q22" s="318" t="s">
        <v>2611</v>
      </c>
      <c r="R22" s="318" t="s">
        <v>2612</v>
      </c>
    </row>
    <row r="23" ht="14.25" customHeight="1" spans="1:18">
      <c r="A23" s="318" t="s">
        <v>241</v>
      </c>
      <c r="B23" s="319" t="s">
        <v>2535</v>
      </c>
      <c r="C23" s="318">
        <v>27800</v>
      </c>
      <c r="D23" s="318">
        <v>26900</v>
      </c>
      <c r="E23" s="318">
        <v>27170</v>
      </c>
      <c r="F23" s="318"/>
      <c r="G23" s="318">
        <v>19570</v>
      </c>
      <c r="K23" s="319" t="s">
        <v>2613</v>
      </c>
      <c r="L23" s="318" t="s">
        <v>2614</v>
      </c>
      <c r="M23" s="318" t="s">
        <v>2615</v>
      </c>
      <c r="N23" s="318" t="s">
        <v>2616</v>
      </c>
      <c r="O23" s="318" t="s">
        <v>2617</v>
      </c>
      <c r="P23" s="318" t="s">
        <v>2618</v>
      </c>
      <c r="Q23" s="318" t="s">
        <v>2619</v>
      </c>
      <c r="R23" s="318" t="s">
        <v>2620</v>
      </c>
    </row>
    <row r="24" ht="14.25" customHeight="1" spans="1:18">
      <c r="A24" s="318" t="s">
        <v>241</v>
      </c>
      <c r="B24" s="319" t="s">
        <v>2545</v>
      </c>
      <c r="C24" s="318">
        <v>27930</v>
      </c>
      <c r="D24" s="318">
        <v>32260</v>
      </c>
      <c r="E24" s="318">
        <v>32120</v>
      </c>
      <c r="F24" s="318"/>
      <c r="G24" s="318">
        <v>23470</v>
      </c>
      <c r="K24" s="319" t="s">
        <v>2621</v>
      </c>
      <c r="L24" s="318" t="s">
        <v>2622</v>
      </c>
      <c r="M24" s="318" t="s">
        <v>2623</v>
      </c>
      <c r="N24" s="318" t="s">
        <v>2624</v>
      </c>
      <c r="O24" s="318" t="s">
        <v>2625</v>
      </c>
      <c r="P24" s="318" t="s">
        <v>2626</v>
      </c>
      <c r="Q24" s="332" t="s">
        <v>2627</v>
      </c>
      <c r="R24" s="318" t="s">
        <v>2628</v>
      </c>
    </row>
    <row r="25" ht="14.25" customHeight="1" spans="1:18">
      <c r="A25" s="318" t="s">
        <v>241</v>
      </c>
      <c r="B25" s="319" t="s">
        <v>2555</v>
      </c>
      <c r="C25" s="318">
        <v>32230</v>
      </c>
      <c r="D25" s="318">
        <v>29640</v>
      </c>
      <c r="E25" s="318">
        <v>29510</v>
      </c>
      <c r="F25" s="318"/>
      <c r="G25" s="318">
        <v>21560</v>
      </c>
      <c r="K25" s="319" t="s">
        <v>2629</v>
      </c>
      <c r="L25" s="318" t="s">
        <v>2630</v>
      </c>
      <c r="M25" s="318" t="s">
        <v>2631</v>
      </c>
      <c r="N25" s="318" t="s">
        <v>2632</v>
      </c>
      <c r="O25" s="318" t="s">
        <v>2633</v>
      </c>
      <c r="P25" s="318" t="s">
        <v>2634</v>
      </c>
      <c r="Q25" s="332" t="s">
        <v>2635</v>
      </c>
      <c r="R25" s="318" t="s">
        <v>2636</v>
      </c>
    </row>
    <row r="26" ht="14.25" customHeight="1" spans="1:18">
      <c r="A26" s="318" t="s">
        <v>241</v>
      </c>
      <c r="B26" s="319" t="s">
        <v>2565</v>
      </c>
      <c r="C26" s="318">
        <v>31690</v>
      </c>
      <c r="D26" s="318">
        <v>27650</v>
      </c>
      <c r="E26" s="318">
        <v>28200</v>
      </c>
      <c r="F26" s="318"/>
      <c r="G26" s="318">
        <v>20110</v>
      </c>
      <c r="K26" s="321" t="s">
        <v>2637</v>
      </c>
      <c r="L26" s="318" t="s">
        <v>2638</v>
      </c>
      <c r="M26" s="318" t="s">
        <v>2639</v>
      </c>
      <c r="N26" s="318" t="s">
        <v>2640</v>
      </c>
      <c r="O26" s="318" t="s">
        <v>2641</v>
      </c>
      <c r="P26" s="318" t="s">
        <v>2642</v>
      </c>
      <c r="Q26" s="332" t="s">
        <v>2643</v>
      </c>
      <c r="R26" s="318" t="s">
        <v>2644</v>
      </c>
    </row>
    <row r="27" ht="14.25" customHeight="1" spans="1:18">
      <c r="A27" s="318" t="s">
        <v>241</v>
      </c>
      <c r="B27" s="319" t="s">
        <v>2575</v>
      </c>
      <c r="C27" s="318">
        <v>29610</v>
      </c>
      <c r="D27" s="318">
        <v>27770</v>
      </c>
      <c r="E27" s="318">
        <v>28300</v>
      </c>
      <c r="F27" s="318"/>
      <c r="G27" s="318">
        <v>20210</v>
      </c>
      <c r="L27" s="318" t="s">
        <v>2645</v>
      </c>
      <c r="M27" s="318" t="s">
        <v>2646</v>
      </c>
      <c r="N27" s="318" t="s">
        <v>2647</v>
      </c>
      <c r="O27" s="318" t="s">
        <v>2648</v>
      </c>
      <c r="P27" s="318" t="s">
        <v>2649</v>
      </c>
      <c r="Q27" s="318" t="s">
        <v>2650</v>
      </c>
      <c r="R27" s="318" t="s">
        <v>2651</v>
      </c>
    </row>
    <row r="28" ht="14.25" customHeight="1" spans="1:18">
      <c r="A28" s="318" t="s">
        <v>241</v>
      </c>
      <c r="B28" s="319" t="s">
        <v>2585</v>
      </c>
      <c r="C28" s="318"/>
      <c r="D28" s="318">
        <v>31520</v>
      </c>
      <c r="E28" s="318">
        <v>31410</v>
      </c>
      <c r="F28" s="318"/>
      <c r="G28" s="318">
        <v>22940</v>
      </c>
      <c r="L28" s="318" t="s">
        <v>2652</v>
      </c>
      <c r="M28" s="318" t="s">
        <v>2653</v>
      </c>
      <c r="N28" s="318" t="s">
        <v>2654</v>
      </c>
      <c r="O28" s="318" t="s">
        <v>2655</v>
      </c>
      <c r="P28" s="318" t="s">
        <v>2656</v>
      </c>
      <c r="Q28" s="318" t="s">
        <v>2657</v>
      </c>
      <c r="R28" s="318" t="s">
        <v>2658</v>
      </c>
    </row>
    <row r="29" ht="14.25" customHeight="1" spans="1:18">
      <c r="A29" s="320" t="s">
        <v>241</v>
      </c>
      <c r="B29" s="323" t="s">
        <v>2595</v>
      </c>
      <c r="C29" s="324"/>
      <c r="D29" s="324">
        <v>29460</v>
      </c>
      <c r="E29" s="324">
        <v>28640</v>
      </c>
      <c r="F29" s="324"/>
      <c r="G29" s="324">
        <v>21430</v>
      </c>
      <c r="L29" s="318" t="s">
        <v>2659</v>
      </c>
      <c r="M29" s="318" t="s">
        <v>2660</v>
      </c>
      <c r="N29" s="318" t="s">
        <v>2661</v>
      </c>
      <c r="O29" s="318" t="s">
        <v>2662</v>
      </c>
      <c r="P29" s="318" t="s">
        <v>2663</v>
      </c>
      <c r="Q29" s="318" t="s">
        <v>2664</v>
      </c>
      <c r="R29" s="318" t="s">
        <v>2665</v>
      </c>
    </row>
    <row r="30" ht="14.25" customHeight="1" spans="1:18">
      <c r="A30" s="316" t="s">
        <v>251</v>
      </c>
      <c r="B30" s="317" t="s">
        <v>2392</v>
      </c>
      <c r="C30" s="317">
        <v>26890</v>
      </c>
      <c r="D30" s="317">
        <v>26770</v>
      </c>
      <c r="E30" s="317">
        <v>25700</v>
      </c>
      <c r="F30" s="317">
        <v>8180</v>
      </c>
      <c r="G30" s="325">
        <v>18740</v>
      </c>
      <c r="L30" s="318" t="s">
        <v>2666</v>
      </c>
      <c r="M30" s="318" t="s">
        <v>2667</v>
      </c>
      <c r="N30" s="318" t="s">
        <v>2668</v>
      </c>
      <c r="O30" s="318" t="s">
        <v>2669</v>
      </c>
      <c r="P30" s="318" t="s">
        <v>2670</v>
      </c>
      <c r="Q30" s="318" t="s">
        <v>2671</v>
      </c>
      <c r="R30" s="318" t="s">
        <v>2672</v>
      </c>
    </row>
    <row r="31" ht="14.25" customHeight="1" spans="1:18">
      <c r="A31" s="318" t="s">
        <v>251</v>
      </c>
      <c r="B31" s="319" t="s">
        <v>2405</v>
      </c>
      <c r="C31" s="318">
        <v>24550</v>
      </c>
      <c r="D31" s="318">
        <v>23990</v>
      </c>
      <c r="E31" s="318">
        <v>22930</v>
      </c>
      <c r="F31" s="318">
        <v>7470</v>
      </c>
      <c r="G31" s="326">
        <v>16790</v>
      </c>
      <c r="L31" s="318" t="s">
        <v>2673</v>
      </c>
      <c r="M31" s="318" t="s">
        <v>2674</v>
      </c>
      <c r="N31" s="318" t="s">
        <v>2675</v>
      </c>
      <c r="O31" s="318" t="s">
        <v>2676</v>
      </c>
      <c r="P31" s="318" t="s">
        <v>2677</v>
      </c>
      <c r="Q31" s="318" t="s">
        <v>2678</v>
      </c>
      <c r="R31" s="318" t="s">
        <v>2679</v>
      </c>
    </row>
    <row r="32" ht="14.25" customHeight="1" spans="1:18">
      <c r="A32" s="318" t="s">
        <v>251</v>
      </c>
      <c r="B32" s="319" t="s">
        <v>2419</v>
      </c>
      <c r="C32" s="318">
        <v>27210</v>
      </c>
      <c r="D32" s="318">
        <v>23240</v>
      </c>
      <c r="E32" s="318">
        <v>23260</v>
      </c>
      <c r="F32" s="318">
        <v>7130</v>
      </c>
      <c r="G32" s="326">
        <v>16270</v>
      </c>
      <c r="L32" s="318" t="s">
        <v>2680</v>
      </c>
      <c r="M32" s="318" t="s">
        <v>2681</v>
      </c>
      <c r="N32" s="318" t="s">
        <v>2682</v>
      </c>
      <c r="O32" s="318" t="s">
        <v>2683</v>
      </c>
      <c r="P32" s="318" t="s">
        <v>2684</v>
      </c>
      <c r="Q32" s="318" t="s">
        <v>2685</v>
      </c>
      <c r="R32" s="322" t="s">
        <v>2686</v>
      </c>
    </row>
    <row r="33" ht="14.25" customHeight="1" spans="1:17">
      <c r="A33" s="318" t="s">
        <v>251</v>
      </c>
      <c r="B33" s="319" t="s">
        <v>2431</v>
      </c>
      <c r="C33" s="318">
        <v>27300</v>
      </c>
      <c r="D33" s="318">
        <v>22980</v>
      </c>
      <c r="E33" s="318">
        <v>24260</v>
      </c>
      <c r="F33" s="318">
        <v>5860</v>
      </c>
      <c r="G33" s="326">
        <v>16090</v>
      </c>
      <c r="L33" s="322" t="s">
        <v>2687</v>
      </c>
      <c r="M33" s="318" t="s">
        <v>2688</v>
      </c>
      <c r="N33" s="318" t="s">
        <v>2689</v>
      </c>
      <c r="O33" s="318" t="s">
        <v>2690</v>
      </c>
      <c r="P33" s="318" t="s">
        <v>2691</v>
      </c>
      <c r="Q33" s="318" t="s">
        <v>2692</v>
      </c>
    </row>
    <row r="34" ht="14.25" customHeight="1" spans="1:17">
      <c r="A34" s="318" t="s">
        <v>251</v>
      </c>
      <c r="B34" s="319" t="s">
        <v>2443</v>
      </c>
      <c r="C34" s="318">
        <v>23090</v>
      </c>
      <c r="D34" s="318">
        <v>23390</v>
      </c>
      <c r="E34" s="318">
        <v>23510</v>
      </c>
      <c r="F34" s="318">
        <v>6700</v>
      </c>
      <c r="G34" s="326">
        <v>16370</v>
      </c>
      <c r="M34" s="318" t="s">
        <v>2693</v>
      </c>
      <c r="N34" s="318" t="s">
        <v>2694</v>
      </c>
      <c r="O34" s="318" t="s">
        <v>2695</v>
      </c>
      <c r="P34" s="318" t="s">
        <v>2696</v>
      </c>
      <c r="Q34" s="318" t="s">
        <v>2697</v>
      </c>
    </row>
    <row r="35" ht="14.25" customHeight="1" spans="1:17">
      <c r="A35" s="318" t="s">
        <v>251</v>
      </c>
      <c r="B35" s="319" t="s">
        <v>2454</v>
      </c>
      <c r="C35" s="318">
        <v>27270</v>
      </c>
      <c r="D35" s="318">
        <v>24270</v>
      </c>
      <c r="E35" s="318">
        <v>24950</v>
      </c>
      <c r="F35" s="318">
        <v>6600</v>
      </c>
      <c r="G35" s="326">
        <v>16990</v>
      </c>
      <c r="M35" s="318" t="s">
        <v>2698</v>
      </c>
      <c r="N35" s="318" t="s">
        <v>2699</v>
      </c>
      <c r="O35" s="318" t="s">
        <v>2700</v>
      </c>
      <c r="P35" s="318" t="s">
        <v>2701</v>
      </c>
      <c r="Q35" s="318" t="s">
        <v>2702</v>
      </c>
    </row>
    <row r="36" ht="14.25" customHeight="1" spans="1:17">
      <c r="A36" s="318" t="s">
        <v>251</v>
      </c>
      <c r="B36" s="319" t="s">
        <v>2465</v>
      </c>
      <c r="C36" s="318">
        <v>23490</v>
      </c>
      <c r="D36" s="318">
        <v>23020</v>
      </c>
      <c r="E36" s="318">
        <v>25230</v>
      </c>
      <c r="F36" s="318">
        <v>6780</v>
      </c>
      <c r="G36" s="326">
        <v>16120</v>
      </c>
      <c r="M36" s="318" t="s">
        <v>2703</v>
      </c>
      <c r="N36" s="318" t="s">
        <v>2704</v>
      </c>
      <c r="O36" s="318" t="s">
        <v>2705</v>
      </c>
      <c r="P36" s="318" t="s">
        <v>2706</v>
      </c>
      <c r="Q36" s="318" t="s">
        <v>2707</v>
      </c>
    </row>
    <row r="37" ht="14.25" customHeight="1" spans="1:17">
      <c r="A37" s="318" t="s">
        <v>251</v>
      </c>
      <c r="B37" s="319" t="s">
        <v>2476</v>
      </c>
      <c r="C37" s="318">
        <v>24380</v>
      </c>
      <c r="D37" s="318">
        <v>22240</v>
      </c>
      <c r="E37" s="318">
        <v>25980</v>
      </c>
      <c r="F37" s="318">
        <v>8160</v>
      </c>
      <c r="G37" s="326">
        <v>15570</v>
      </c>
      <c r="M37" s="318" t="s">
        <v>2708</v>
      </c>
      <c r="N37" s="318" t="s">
        <v>2709</v>
      </c>
      <c r="O37" s="318" t="s">
        <v>2710</v>
      </c>
      <c r="P37" s="318" t="s">
        <v>2711</v>
      </c>
      <c r="Q37" s="318" t="s">
        <v>2712</v>
      </c>
    </row>
    <row r="38" ht="14.25" customHeight="1" spans="1:17">
      <c r="A38" s="318" t="s">
        <v>251</v>
      </c>
      <c r="B38" s="319" t="s">
        <v>2486</v>
      </c>
      <c r="C38" s="318">
        <v>23120</v>
      </c>
      <c r="D38" s="318">
        <v>24630</v>
      </c>
      <c r="E38" s="318">
        <v>25030</v>
      </c>
      <c r="F38" s="318">
        <v>7710</v>
      </c>
      <c r="G38" s="326">
        <v>17240</v>
      </c>
      <c r="M38" s="318" t="s">
        <v>2713</v>
      </c>
      <c r="N38" s="318" t="s">
        <v>2714</v>
      </c>
      <c r="O38" s="318" t="s">
        <v>2715</v>
      </c>
      <c r="P38" s="318" t="s">
        <v>2716</v>
      </c>
      <c r="Q38" s="318" t="s">
        <v>2717</v>
      </c>
    </row>
    <row r="39" ht="14.25" customHeight="1" spans="1:17">
      <c r="A39" s="318" t="s">
        <v>251</v>
      </c>
      <c r="B39" s="319" t="s">
        <v>2496</v>
      </c>
      <c r="C39" s="318">
        <v>22330</v>
      </c>
      <c r="D39" s="318">
        <v>21140</v>
      </c>
      <c r="E39" s="318">
        <v>23970</v>
      </c>
      <c r="F39" s="318">
        <v>7940</v>
      </c>
      <c r="G39" s="326">
        <v>14790</v>
      </c>
      <c r="M39" s="318" t="s">
        <v>2718</v>
      </c>
      <c r="N39" s="318" t="s">
        <v>2719</v>
      </c>
      <c r="O39" s="318" t="s">
        <v>2720</v>
      </c>
      <c r="P39" s="318" t="s">
        <v>2721</v>
      </c>
      <c r="Q39" s="318" t="s">
        <v>2722</v>
      </c>
    </row>
    <row r="40" ht="14.25" customHeight="1" spans="1:17">
      <c r="A40" s="318" t="s">
        <v>251</v>
      </c>
      <c r="B40" s="319" t="s">
        <v>2506</v>
      </c>
      <c r="C40" s="318">
        <v>24740</v>
      </c>
      <c r="D40" s="318">
        <v>24690</v>
      </c>
      <c r="E40" s="318">
        <v>22610</v>
      </c>
      <c r="F40" s="318"/>
      <c r="G40" s="326">
        <v>17280</v>
      </c>
      <c r="M40" s="318" t="s">
        <v>2723</v>
      </c>
      <c r="N40" s="318" t="s">
        <v>2724</v>
      </c>
      <c r="O40" s="318" t="s">
        <v>2725</v>
      </c>
      <c r="P40" s="318" t="s">
        <v>2726</v>
      </c>
      <c r="Q40" s="318" t="s">
        <v>2727</v>
      </c>
    </row>
    <row r="41" ht="14.25" customHeight="1" spans="1:17">
      <c r="A41" s="318" t="s">
        <v>251</v>
      </c>
      <c r="B41" s="319" t="s">
        <v>2516</v>
      </c>
      <c r="C41" s="318">
        <v>21220</v>
      </c>
      <c r="D41" s="318">
        <v>21120</v>
      </c>
      <c r="E41" s="318">
        <v>22590</v>
      </c>
      <c r="F41" s="318"/>
      <c r="G41" s="326">
        <v>14780</v>
      </c>
      <c r="M41" s="322" t="s">
        <v>2728</v>
      </c>
      <c r="N41" s="318" t="s">
        <v>2729</v>
      </c>
      <c r="O41" s="318" t="s">
        <v>2730</v>
      </c>
      <c r="P41" s="318" t="s">
        <v>2731</v>
      </c>
      <c r="Q41" s="318" t="s">
        <v>2732</v>
      </c>
    </row>
    <row r="42" ht="14.25" customHeight="1" spans="1:17">
      <c r="A42" s="318" t="s">
        <v>251</v>
      </c>
      <c r="B42" s="319" t="s">
        <v>2526</v>
      </c>
      <c r="C42" s="318">
        <v>24800</v>
      </c>
      <c r="D42" s="318">
        <v>22280</v>
      </c>
      <c r="E42" s="318">
        <v>24350</v>
      </c>
      <c r="F42" s="318"/>
      <c r="G42" s="326">
        <v>15590</v>
      </c>
      <c r="N42" s="318" t="s">
        <v>2733</v>
      </c>
      <c r="O42" s="318" t="s">
        <v>2734</v>
      </c>
      <c r="P42" s="318" t="s">
        <v>2735</v>
      </c>
      <c r="Q42" s="318" t="s">
        <v>2736</v>
      </c>
    </row>
    <row r="43" ht="14.25" customHeight="1" spans="1:17">
      <c r="A43" s="318" t="s">
        <v>251</v>
      </c>
      <c r="B43" s="319" t="s">
        <v>2536</v>
      </c>
      <c r="C43" s="318">
        <v>21210</v>
      </c>
      <c r="D43" s="318">
        <v>21160</v>
      </c>
      <c r="E43" s="318">
        <v>22650</v>
      </c>
      <c r="F43" s="318"/>
      <c r="G43" s="326">
        <v>14800</v>
      </c>
      <c r="N43" s="318" t="s">
        <v>2737</v>
      </c>
      <c r="O43" s="318" t="s">
        <v>2738</v>
      </c>
      <c r="P43" s="318" t="s">
        <v>2739</v>
      </c>
      <c r="Q43" s="318" t="s">
        <v>2740</v>
      </c>
    </row>
    <row r="44" ht="14.25" customHeight="1" spans="1:17">
      <c r="A44" s="318" t="s">
        <v>251</v>
      </c>
      <c r="B44" s="319" t="s">
        <v>2546</v>
      </c>
      <c r="C44" s="318">
        <v>22370</v>
      </c>
      <c r="D44" s="318">
        <v>23140</v>
      </c>
      <c r="E44" s="318">
        <v>25090</v>
      </c>
      <c r="F44" s="318"/>
      <c r="G44" s="326">
        <v>16190</v>
      </c>
      <c r="N44" s="318" t="s">
        <v>2741</v>
      </c>
      <c r="O44" s="318" t="s">
        <v>2742</v>
      </c>
      <c r="P44" s="322" t="s">
        <v>2743</v>
      </c>
      <c r="Q44" s="318" t="s">
        <v>2744</v>
      </c>
    </row>
    <row r="45" ht="14.25" customHeight="1" spans="1:17">
      <c r="A45" s="318" t="s">
        <v>251</v>
      </c>
      <c r="B45" s="319" t="s">
        <v>2556</v>
      </c>
      <c r="C45" s="318">
        <v>21240</v>
      </c>
      <c r="D45" s="318">
        <v>27050</v>
      </c>
      <c r="E45" s="318">
        <v>28000</v>
      </c>
      <c r="F45" s="318"/>
      <c r="G45" s="326">
        <v>18940</v>
      </c>
      <c r="N45" s="318" t="s">
        <v>2745</v>
      </c>
      <c r="O45" s="322" t="s">
        <v>2746</v>
      </c>
      <c r="Q45" s="318" t="s">
        <v>2747</v>
      </c>
    </row>
    <row r="46" ht="14.25" customHeight="1" spans="1:17">
      <c r="A46" s="318" t="s">
        <v>251</v>
      </c>
      <c r="B46" s="319" t="s">
        <v>2566</v>
      </c>
      <c r="C46" s="318">
        <v>23240</v>
      </c>
      <c r="D46" s="318">
        <v>23000</v>
      </c>
      <c r="E46" s="318">
        <v>24980</v>
      </c>
      <c r="F46" s="318"/>
      <c r="G46" s="326">
        <v>16100</v>
      </c>
      <c r="N46" s="318" t="s">
        <v>2748</v>
      </c>
      <c r="Q46" s="318" t="s">
        <v>2749</v>
      </c>
    </row>
    <row r="47" ht="14.25" customHeight="1" spans="1:17">
      <c r="A47" s="318" t="s">
        <v>251</v>
      </c>
      <c r="B47" s="319" t="s">
        <v>2576</v>
      </c>
      <c r="C47" s="318">
        <v>27150</v>
      </c>
      <c r="D47" s="318">
        <v>23310</v>
      </c>
      <c r="E47" s="318">
        <v>25150</v>
      </c>
      <c r="F47" s="318"/>
      <c r="G47" s="326">
        <v>16310</v>
      </c>
      <c r="N47" s="318" t="s">
        <v>2750</v>
      </c>
      <c r="Q47" s="318" t="s">
        <v>2751</v>
      </c>
    </row>
    <row r="48" ht="14.25" customHeight="1" spans="1:17">
      <c r="A48" s="318" t="s">
        <v>251</v>
      </c>
      <c r="B48" s="319" t="s">
        <v>2586</v>
      </c>
      <c r="C48" s="318">
        <v>23100</v>
      </c>
      <c r="D48" s="318">
        <v>21110</v>
      </c>
      <c r="E48" s="318">
        <v>23080</v>
      </c>
      <c r="F48" s="318"/>
      <c r="G48" s="326">
        <v>14780</v>
      </c>
      <c r="N48" s="318" t="s">
        <v>2752</v>
      </c>
      <c r="Q48" s="318" t="s">
        <v>2753</v>
      </c>
    </row>
    <row r="49" ht="14.25" customHeight="1" spans="1:17">
      <c r="A49" s="318" t="s">
        <v>251</v>
      </c>
      <c r="B49" s="319" t="s">
        <v>2596</v>
      </c>
      <c r="C49" s="318">
        <v>23400</v>
      </c>
      <c r="D49" s="318">
        <v>22920</v>
      </c>
      <c r="E49" s="318">
        <v>24900</v>
      </c>
      <c r="F49" s="318"/>
      <c r="G49" s="326">
        <v>16040</v>
      </c>
      <c r="N49" s="318" t="s">
        <v>2754</v>
      </c>
      <c r="Q49" s="318" t="s">
        <v>2755</v>
      </c>
    </row>
    <row r="50" ht="14.25" customHeight="1" spans="1:17">
      <c r="A50" s="318" t="s">
        <v>251</v>
      </c>
      <c r="B50" s="319" t="s">
        <v>2605</v>
      </c>
      <c r="C50" s="318">
        <v>21200</v>
      </c>
      <c r="D50" s="318">
        <v>26540</v>
      </c>
      <c r="E50" s="318">
        <v>23200</v>
      </c>
      <c r="F50" s="318"/>
      <c r="G50" s="326">
        <v>18580</v>
      </c>
      <c r="N50" s="318" t="s">
        <v>2756</v>
      </c>
      <c r="Q50" s="319" t="s">
        <v>2757</v>
      </c>
    </row>
    <row r="51" ht="14.25" customHeight="1" spans="1:17">
      <c r="A51" s="318" t="s">
        <v>251</v>
      </c>
      <c r="B51" s="319" t="s">
        <v>2613</v>
      </c>
      <c r="C51" s="318">
        <v>23000</v>
      </c>
      <c r="D51" s="318">
        <v>23460</v>
      </c>
      <c r="E51" s="318">
        <v>25290</v>
      </c>
      <c r="F51" s="318"/>
      <c r="G51" s="326">
        <v>16420</v>
      </c>
      <c r="N51" s="318" t="s">
        <v>2758</v>
      </c>
      <c r="Q51" s="322" t="s">
        <v>2759</v>
      </c>
    </row>
    <row r="52" ht="14.25" customHeight="1" spans="1:14">
      <c r="A52" s="318" t="s">
        <v>251</v>
      </c>
      <c r="B52" s="319" t="s">
        <v>2621</v>
      </c>
      <c r="C52" s="318">
        <v>26660</v>
      </c>
      <c r="D52" s="318">
        <v>22350</v>
      </c>
      <c r="E52" s="318">
        <v>22920</v>
      </c>
      <c r="F52" s="318"/>
      <c r="G52" s="326">
        <v>15640</v>
      </c>
      <c r="N52" s="318" t="s">
        <v>2760</v>
      </c>
    </row>
    <row r="53" ht="14.25" customHeight="1" spans="1:14">
      <c r="A53" s="318" t="s">
        <v>251</v>
      </c>
      <c r="B53" s="319" t="s">
        <v>2629</v>
      </c>
      <c r="C53" s="318">
        <v>23580</v>
      </c>
      <c r="D53" s="318"/>
      <c r="E53" s="318">
        <v>24280</v>
      </c>
      <c r="F53" s="318"/>
      <c r="G53" s="326"/>
      <c r="N53" s="318" t="s">
        <v>2761</v>
      </c>
    </row>
    <row r="54" ht="14.25" customHeight="1" spans="1:14">
      <c r="A54" s="327" t="s">
        <v>251</v>
      </c>
      <c r="B54" s="321" t="s">
        <v>2637</v>
      </c>
      <c r="C54" s="322">
        <v>22460</v>
      </c>
      <c r="D54" s="322"/>
      <c r="E54" s="322"/>
      <c r="F54" s="322"/>
      <c r="G54" s="328"/>
      <c r="N54" s="318" t="s">
        <v>2762</v>
      </c>
    </row>
    <row r="55" ht="14.25" customHeight="1" spans="1:14">
      <c r="A55" s="316" t="s">
        <v>259</v>
      </c>
      <c r="B55" s="317" t="s">
        <v>2393</v>
      </c>
      <c r="C55" s="318">
        <v>21970</v>
      </c>
      <c r="D55" s="318">
        <v>20370</v>
      </c>
      <c r="E55" s="318">
        <v>20180</v>
      </c>
      <c r="F55" s="318">
        <v>5730</v>
      </c>
      <c r="G55" s="318">
        <v>13820</v>
      </c>
      <c r="N55" s="318" t="s">
        <v>2763</v>
      </c>
    </row>
    <row r="56" ht="14.25" customHeight="1" spans="1:14">
      <c r="A56" s="318" t="s">
        <v>259</v>
      </c>
      <c r="B56" s="318" t="s">
        <v>2406</v>
      </c>
      <c r="C56" s="318">
        <v>20470</v>
      </c>
      <c r="D56" s="318">
        <v>20700</v>
      </c>
      <c r="E56" s="318">
        <v>20380</v>
      </c>
      <c r="F56" s="318">
        <v>4760</v>
      </c>
      <c r="G56" s="318">
        <v>14050</v>
      </c>
      <c r="N56" s="318" t="s">
        <v>2764</v>
      </c>
    </row>
    <row r="57" ht="14.25" customHeight="1" spans="1:14">
      <c r="A57" s="318" t="s">
        <v>259</v>
      </c>
      <c r="B57" s="318" t="s">
        <v>2420</v>
      </c>
      <c r="C57" s="318">
        <v>20790</v>
      </c>
      <c r="D57" s="318">
        <v>21370</v>
      </c>
      <c r="E57" s="318">
        <v>20890</v>
      </c>
      <c r="F57" s="318">
        <v>4910</v>
      </c>
      <c r="G57" s="318">
        <v>14510</v>
      </c>
      <c r="N57" s="318" t="s">
        <v>2765</v>
      </c>
    </row>
    <row r="58" ht="14.25" customHeight="1" spans="1:14">
      <c r="A58" s="318" t="s">
        <v>259</v>
      </c>
      <c r="B58" s="318" t="s">
        <v>2432</v>
      </c>
      <c r="C58" s="318">
        <v>21460</v>
      </c>
      <c r="D58" s="318">
        <v>20920</v>
      </c>
      <c r="E58" s="318">
        <v>23410</v>
      </c>
      <c r="F58" s="318">
        <v>5100</v>
      </c>
      <c r="G58" s="318">
        <v>14200</v>
      </c>
      <c r="N58" s="318" t="s">
        <v>2766</v>
      </c>
    </row>
    <row r="59" ht="14.25" customHeight="1" spans="1:14">
      <c r="A59" s="318" t="s">
        <v>259</v>
      </c>
      <c r="B59" s="318" t="s">
        <v>2444</v>
      </c>
      <c r="C59" s="318">
        <v>21000</v>
      </c>
      <c r="D59" s="318">
        <v>21550</v>
      </c>
      <c r="E59" s="318">
        <v>21150</v>
      </c>
      <c r="F59" s="318">
        <v>5250</v>
      </c>
      <c r="G59" s="318">
        <v>14630</v>
      </c>
      <c r="N59" s="318" t="s">
        <v>2767</v>
      </c>
    </row>
    <row r="60" ht="14.25" customHeight="1" spans="1:14">
      <c r="A60" s="318" t="s">
        <v>259</v>
      </c>
      <c r="B60" s="318" t="s">
        <v>2455</v>
      </c>
      <c r="C60" s="318">
        <v>21640</v>
      </c>
      <c r="D60" s="318">
        <v>21260</v>
      </c>
      <c r="E60" s="318">
        <v>24040</v>
      </c>
      <c r="F60" s="318">
        <v>4470</v>
      </c>
      <c r="G60" s="318">
        <v>14430</v>
      </c>
      <c r="N60" s="318" t="s">
        <v>2768</v>
      </c>
    </row>
    <row r="61" ht="14.25" customHeight="1" spans="1:14">
      <c r="A61" s="318" t="s">
        <v>259</v>
      </c>
      <c r="B61" s="318" t="s">
        <v>2466</v>
      </c>
      <c r="C61" s="318">
        <v>21330</v>
      </c>
      <c r="D61" s="318">
        <v>18640</v>
      </c>
      <c r="E61" s="318">
        <v>21190</v>
      </c>
      <c r="F61" s="318">
        <v>4180</v>
      </c>
      <c r="G61" s="318">
        <v>12650</v>
      </c>
      <c r="N61" s="318" t="s">
        <v>2769</v>
      </c>
    </row>
    <row r="62" ht="14.25" customHeight="1" spans="1:14">
      <c r="A62" s="318" t="s">
        <v>259</v>
      </c>
      <c r="B62" s="318" t="s">
        <v>2477</v>
      </c>
      <c r="C62" s="318">
        <v>18710</v>
      </c>
      <c r="D62" s="318">
        <v>19400</v>
      </c>
      <c r="E62" s="318">
        <v>23750</v>
      </c>
      <c r="F62" s="318">
        <v>4860</v>
      </c>
      <c r="G62" s="318">
        <v>13170</v>
      </c>
      <c r="N62" s="318" t="s">
        <v>2770</v>
      </c>
    </row>
    <row r="63" ht="14.25" customHeight="1" spans="1:14">
      <c r="A63" s="318" t="s">
        <v>259</v>
      </c>
      <c r="B63" s="318" t="s">
        <v>2487</v>
      </c>
      <c r="C63" s="318">
        <v>19480</v>
      </c>
      <c r="D63" s="318">
        <v>16830</v>
      </c>
      <c r="E63" s="318">
        <v>21590</v>
      </c>
      <c r="F63" s="318">
        <v>4560</v>
      </c>
      <c r="G63" s="318">
        <v>11420</v>
      </c>
      <c r="N63" s="318" t="s">
        <v>2771</v>
      </c>
    </row>
    <row r="64" ht="14.25" customHeight="1" spans="1:14">
      <c r="A64" s="318" t="s">
        <v>259</v>
      </c>
      <c r="B64" s="318" t="s">
        <v>2497</v>
      </c>
      <c r="C64" s="318">
        <v>16920</v>
      </c>
      <c r="D64" s="318">
        <v>19190</v>
      </c>
      <c r="E64" s="318">
        <v>22200</v>
      </c>
      <c r="F64" s="318">
        <v>4390</v>
      </c>
      <c r="G64" s="318">
        <v>13030</v>
      </c>
      <c r="N64" s="322" t="s">
        <v>2772</v>
      </c>
    </row>
    <row r="65" s="303" customFormat="1" ht="14.25" customHeight="1" spans="1:7">
      <c r="A65" s="318" t="s">
        <v>259</v>
      </c>
      <c r="B65" s="318" t="s">
        <v>2507</v>
      </c>
      <c r="C65" s="318">
        <v>19290</v>
      </c>
      <c r="D65" s="318">
        <v>17020</v>
      </c>
      <c r="E65" s="318">
        <v>19880</v>
      </c>
      <c r="F65" s="318">
        <v>4070</v>
      </c>
      <c r="G65" s="318">
        <v>11550</v>
      </c>
    </row>
    <row r="66" s="303" customFormat="1" ht="14.25" customHeight="1" spans="1:7">
      <c r="A66" s="318" t="s">
        <v>259</v>
      </c>
      <c r="B66" s="318" t="s">
        <v>2517</v>
      </c>
      <c r="C66" s="318">
        <v>17090</v>
      </c>
      <c r="D66" s="318">
        <v>18340</v>
      </c>
      <c r="E66" s="318">
        <v>21830</v>
      </c>
      <c r="F66" s="318">
        <v>4690</v>
      </c>
      <c r="G66" s="318">
        <v>12450</v>
      </c>
    </row>
    <row r="67" s="303" customFormat="1" ht="14.25" customHeight="1" spans="1:7">
      <c r="A67" s="318" t="s">
        <v>259</v>
      </c>
      <c r="B67" s="318" t="s">
        <v>2527</v>
      </c>
      <c r="C67" s="318">
        <v>18420</v>
      </c>
      <c r="D67" s="318">
        <v>16360</v>
      </c>
      <c r="E67" s="318">
        <v>20020</v>
      </c>
      <c r="F67" s="318">
        <v>5150</v>
      </c>
      <c r="G67" s="318">
        <v>11110</v>
      </c>
    </row>
    <row r="68" s="303" customFormat="1" ht="14.25" customHeight="1" spans="1:7">
      <c r="A68" s="318" t="s">
        <v>259</v>
      </c>
      <c r="B68" s="318" t="s">
        <v>2537</v>
      </c>
      <c r="C68" s="318">
        <v>16450</v>
      </c>
      <c r="D68" s="318">
        <v>18430</v>
      </c>
      <c r="E68" s="318">
        <v>21010</v>
      </c>
      <c r="F68" s="318">
        <v>4720</v>
      </c>
      <c r="G68" s="318">
        <v>12510</v>
      </c>
    </row>
    <row r="69" s="303" customFormat="1" ht="14.25" customHeight="1" spans="1:7">
      <c r="A69" s="318" t="s">
        <v>259</v>
      </c>
      <c r="B69" s="318" t="s">
        <v>2547</v>
      </c>
      <c r="C69" s="318">
        <v>18510</v>
      </c>
      <c r="D69" s="318">
        <v>16300</v>
      </c>
      <c r="E69" s="318">
        <v>18830</v>
      </c>
      <c r="F69" s="318">
        <v>5400</v>
      </c>
      <c r="G69" s="318">
        <v>11070</v>
      </c>
    </row>
    <row r="70" s="303" customFormat="1" ht="14.25" customHeight="1" spans="1:7">
      <c r="A70" s="318" t="s">
        <v>259</v>
      </c>
      <c r="B70" s="318" t="s">
        <v>2557</v>
      </c>
      <c r="C70" s="318">
        <v>16370</v>
      </c>
      <c r="D70" s="318">
        <v>18620</v>
      </c>
      <c r="E70" s="318">
        <v>21100</v>
      </c>
      <c r="F70" s="318">
        <v>5700</v>
      </c>
      <c r="G70" s="318">
        <v>12640</v>
      </c>
    </row>
    <row r="71" s="303" customFormat="1" ht="14.25" customHeight="1" spans="1:7">
      <c r="A71" s="318" t="s">
        <v>259</v>
      </c>
      <c r="B71" s="318" t="s">
        <v>2567</v>
      </c>
      <c r="C71" s="318">
        <v>18700</v>
      </c>
      <c r="D71" s="318">
        <v>16290</v>
      </c>
      <c r="E71" s="318">
        <v>18760</v>
      </c>
      <c r="F71" s="318">
        <v>4780</v>
      </c>
      <c r="G71" s="318">
        <v>11050</v>
      </c>
    </row>
    <row r="72" s="303" customFormat="1" ht="14.25" customHeight="1" spans="1:7">
      <c r="A72" s="318" t="s">
        <v>259</v>
      </c>
      <c r="B72" s="318" t="s">
        <v>2577</v>
      </c>
      <c r="C72" s="318">
        <v>16340</v>
      </c>
      <c r="D72" s="318">
        <v>17520</v>
      </c>
      <c r="E72" s="318">
        <v>21170</v>
      </c>
      <c r="F72" s="318"/>
      <c r="G72" s="318">
        <v>11900</v>
      </c>
    </row>
    <row r="73" s="303" customFormat="1" ht="14.25" customHeight="1" spans="1:7">
      <c r="A73" s="318" t="s">
        <v>259</v>
      </c>
      <c r="B73" s="318" t="s">
        <v>2587</v>
      </c>
      <c r="C73" s="318">
        <v>17610</v>
      </c>
      <c r="D73" s="318">
        <v>18520</v>
      </c>
      <c r="E73" s="318">
        <v>18720</v>
      </c>
      <c r="F73" s="318"/>
      <c r="G73" s="318">
        <v>12570</v>
      </c>
    </row>
    <row r="74" s="303" customFormat="1" ht="14.25" customHeight="1" spans="1:7">
      <c r="A74" s="318" t="s">
        <v>259</v>
      </c>
      <c r="B74" s="318" t="s">
        <v>2597</v>
      </c>
      <c r="C74" s="318">
        <v>18600</v>
      </c>
      <c r="D74" s="318">
        <v>16480</v>
      </c>
      <c r="E74" s="318">
        <v>20100</v>
      </c>
      <c r="F74" s="318"/>
      <c r="G74" s="318">
        <v>11190</v>
      </c>
    </row>
    <row r="75" s="303" customFormat="1" ht="14.25" customHeight="1" spans="1:7">
      <c r="A75" s="318" t="s">
        <v>259</v>
      </c>
      <c r="B75" s="318" t="s">
        <v>2606</v>
      </c>
      <c r="C75" s="318">
        <v>16570</v>
      </c>
      <c r="D75" s="318">
        <v>17530</v>
      </c>
      <c r="E75" s="318">
        <v>21030</v>
      </c>
      <c r="F75" s="318"/>
      <c r="G75" s="318">
        <v>11900</v>
      </c>
    </row>
    <row r="76" s="303" customFormat="1" ht="14.25" customHeight="1" spans="1:7">
      <c r="A76" s="318" t="s">
        <v>259</v>
      </c>
      <c r="B76" s="318" t="s">
        <v>2614</v>
      </c>
      <c r="C76" s="318">
        <v>17610</v>
      </c>
      <c r="D76" s="318">
        <v>20800</v>
      </c>
      <c r="E76" s="318">
        <v>18920</v>
      </c>
      <c r="F76" s="318"/>
      <c r="G76" s="318">
        <v>14120</v>
      </c>
    </row>
    <row r="77" s="303" customFormat="1" ht="14.25" customHeight="1" spans="1:7">
      <c r="A77" s="318" t="s">
        <v>259</v>
      </c>
      <c r="B77" s="318" t="s">
        <v>2622</v>
      </c>
      <c r="C77" s="318">
        <v>20890</v>
      </c>
      <c r="D77" s="318">
        <v>19740</v>
      </c>
      <c r="E77" s="318">
        <v>20110</v>
      </c>
      <c r="F77" s="318"/>
      <c r="G77" s="318">
        <v>13400</v>
      </c>
    </row>
    <row r="78" s="303" customFormat="1" ht="14.25" customHeight="1" spans="1:7">
      <c r="A78" s="318" t="s">
        <v>259</v>
      </c>
      <c r="B78" s="318" t="s">
        <v>2630</v>
      </c>
      <c r="C78" s="318">
        <v>19820</v>
      </c>
      <c r="D78" s="318">
        <v>19780</v>
      </c>
      <c r="E78" s="318">
        <v>18560</v>
      </c>
      <c r="F78" s="318"/>
      <c r="G78" s="318">
        <v>13430</v>
      </c>
    </row>
    <row r="79" s="303" customFormat="1" ht="14.25" customHeight="1" spans="1:7">
      <c r="A79" s="318" t="s">
        <v>259</v>
      </c>
      <c r="B79" s="318" t="s">
        <v>2638</v>
      </c>
      <c r="C79" s="318">
        <v>21660</v>
      </c>
      <c r="D79" s="318">
        <v>18000</v>
      </c>
      <c r="E79" s="318">
        <v>22570</v>
      </c>
      <c r="F79" s="318"/>
      <c r="G79" s="318">
        <v>12220</v>
      </c>
    </row>
    <row r="80" s="303" customFormat="1" ht="14.25" customHeight="1" spans="1:7">
      <c r="A80" s="318" t="s">
        <v>259</v>
      </c>
      <c r="B80" s="318" t="s">
        <v>2645</v>
      </c>
      <c r="C80" s="318">
        <v>19850</v>
      </c>
      <c r="D80" s="318"/>
      <c r="E80" s="318">
        <v>21700</v>
      </c>
      <c r="F80" s="318"/>
      <c r="G80" s="318"/>
    </row>
    <row r="81" s="303" customFormat="1" ht="14.25" customHeight="1" spans="1:7">
      <c r="A81" s="318" t="s">
        <v>259</v>
      </c>
      <c r="B81" s="318" t="s">
        <v>2652</v>
      </c>
      <c r="C81" s="318">
        <v>18080</v>
      </c>
      <c r="D81" s="318"/>
      <c r="E81" s="318">
        <v>20900</v>
      </c>
      <c r="F81" s="318"/>
      <c r="G81" s="318"/>
    </row>
    <row r="82" s="303" customFormat="1" ht="14.25" customHeight="1" spans="1:7">
      <c r="A82" s="318" t="s">
        <v>259</v>
      </c>
      <c r="B82" s="318" t="s">
        <v>2659</v>
      </c>
      <c r="C82" s="318"/>
      <c r="D82" s="318"/>
      <c r="E82" s="318">
        <v>20840</v>
      </c>
      <c r="F82" s="318"/>
      <c r="G82" s="318"/>
    </row>
    <row r="83" s="303" customFormat="1" ht="14.25" customHeight="1" spans="1:7">
      <c r="A83" s="318" t="s">
        <v>259</v>
      </c>
      <c r="B83" s="318" t="s">
        <v>2666</v>
      </c>
      <c r="C83" s="318"/>
      <c r="D83" s="318"/>
      <c r="E83" s="318"/>
      <c r="F83" s="318">
        <v>4770</v>
      </c>
      <c r="G83" s="318"/>
    </row>
    <row r="84" s="303" customFormat="1" ht="14.25" customHeight="1" spans="1:7">
      <c r="A84" s="318" t="s">
        <v>259</v>
      </c>
      <c r="B84" s="318" t="s">
        <v>2673</v>
      </c>
      <c r="C84" s="318"/>
      <c r="D84" s="318"/>
      <c r="E84" s="318"/>
      <c r="F84" s="318">
        <v>4600</v>
      </c>
      <c r="G84" s="318"/>
    </row>
    <row r="85" s="303" customFormat="1" ht="14.25" customHeight="1" spans="1:7">
      <c r="A85" s="318" t="s">
        <v>259</v>
      </c>
      <c r="B85" s="318" t="s">
        <v>2680</v>
      </c>
      <c r="C85" s="318"/>
      <c r="D85" s="318"/>
      <c r="E85" s="318"/>
      <c r="F85" s="318">
        <v>4680</v>
      </c>
      <c r="G85" s="318"/>
    </row>
    <row r="86" s="303" customFormat="1" ht="14.25" customHeight="1" spans="1:7">
      <c r="A86" s="320" t="s">
        <v>259</v>
      </c>
      <c r="B86" s="323" t="s">
        <v>2687</v>
      </c>
      <c r="C86" s="324">
        <v>16610</v>
      </c>
      <c r="D86" s="324">
        <v>16540</v>
      </c>
      <c r="E86" s="324">
        <v>18850</v>
      </c>
      <c r="F86" s="324"/>
      <c r="G86" s="324">
        <v>11220</v>
      </c>
    </row>
    <row r="87" s="303" customFormat="1" ht="14.25" customHeight="1" spans="1:7">
      <c r="A87" s="316" t="s">
        <v>267</v>
      </c>
      <c r="B87" s="317" t="s">
        <v>2394</v>
      </c>
      <c r="C87" s="317">
        <v>15240</v>
      </c>
      <c r="D87" s="317">
        <v>15170</v>
      </c>
      <c r="E87" s="317">
        <v>18260</v>
      </c>
      <c r="F87" s="317">
        <v>3830</v>
      </c>
      <c r="G87" s="325">
        <v>10020</v>
      </c>
    </row>
    <row r="88" s="303" customFormat="1" ht="14.25" customHeight="1" spans="1:7">
      <c r="A88" s="318" t="s">
        <v>267</v>
      </c>
      <c r="B88" s="318" t="s">
        <v>2407</v>
      </c>
      <c r="C88" s="318">
        <v>17310</v>
      </c>
      <c r="D88" s="318">
        <v>17220</v>
      </c>
      <c r="E88" s="318">
        <v>18610</v>
      </c>
      <c r="F88" s="318">
        <v>3990</v>
      </c>
      <c r="G88" s="326">
        <v>11380</v>
      </c>
    </row>
    <row r="89" s="303" customFormat="1" ht="14.25" customHeight="1" spans="1:7">
      <c r="A89" s="318" t="s">
        <v>267</v>
      </c>
      <c r="B89" s="318" t="s">
        <v>2421</v>
      </c>
      <c r="C89" s="318">
        <v>15600</v>
      </c>
      <c r="D89" s="318">
        <v>15550</v>
      </c>
      <c r="E89" s="318">
        <v>19200</v>
      </c>
      <c r="F89" s="318">
        <v>4110</v>
      </c>
      <c r="G89" s="326">
        <v>10270</v>
      </c>
    </row>
    <row r="90" s="303" customFormat="1" ht="14.25" customHeight="1" spans="1:7">
      <c r="A90" s="318" t="s">
        <v>267</v>
      </c>
      <c r="B90" s="318" t="s">
        <v>2433</v>
      </c>
      <c r="C90" s="318">
        <v>17330</v>
      </c>
      <c r="D90" s="318">
        <v>17240</v>
      </c>
      <c r="E90" s="318">
        <v>18570</v>
      </c>
      <c r="F90" s="318">
        <v>4070</v>
      </c>
      <c r="G90" s="326">
        <v>11390</v>
      </c>
    </row>
    <row r="91" s="303" customFormat="1" ht="14.25" customHeight="1" spans="1:7">
      <c r="A91" s="318" t="s">
        <v>267</v>
      </c>
      <c r="B91" s="318" t="s">
        <v>2445</v>
      </c>
      <c r="C91" s="318">
        <v>16330</v>
      </c>
      <c r="D91" s="318">
        <v>16260</v>
      </c>
      <c r="E91" s="318">
        <v>16800</v>
      </c>
      <c r="F91" s="318">
        <v>3410</v>
      </c>
      <c r="G91" s="326">
        <v>10740</v>
      </c>
    </row>
    <row r="92" s="303" customFormat="1" ht="14.25" customHeight="1" spans="1:7">
      <c r="A92" s="318" t="s">
        <v>267</v>
      </c>
      <c r="B92" s="318" t="s">
        <v>2456</v>
      </c>
      <c r="C92" s="318">
        <v>15570</v>
      </c>
      <c r="D92" s="318">
        <v>15500</v>
      </c>
      <c r="E92" s="318">
        <v>17360</v>
      </c>
      <c r="F92" s="318">
        <v>3510</v>
      </c>
      <c r="G92" s="326">
        <v>10240</v>
      </c>
    </row>
    <row r="93" s="303" customFormat="1" ht="14.25" customHeight="1" spans="1:7">
      <c r="A93" s="318" t="s">
        <v>267</v>
      </c>
      <c r="B93" s="318" t="s">
        <v>2467</v>
      </c>
      <c r="C93" s="318">
        <v>14000</v>
      </c>
      <c r="D93" s="318">
        <v>13930</v>
      </c>
      <c r="E93" s="318">
        <v>18200</v>
      </c>
      <c r="F93" s="318">
        <v>3640</v>
      </c>
      <c r="G93" s="326">
        <v>9210</v>
      </c>
    </row>
    <row r="94" s="303" customFormat="1" ht="14.25" customHeight="1" spans="1:7">
      <c r="A94" s="318" t="s">
        <v>267</v>
      </c>
      <c r="B94" s="318" t="s">
        <v>2478</v>
      </c>
      <c r="C94" s="318">
        <v>14530</v>
      </c>
      <c r="D94" s="318">
        <v>14470</v>
      </c>
      <c r="E94" s="318">
        <v>18240</v>
      </c>
      <c r="F94" s="318">
        <v>3180</v>
      </c>
      <c r="G94" s="326">
        <v>9560</v>
      </c>
    </row>
    <row r="95" s="303" customFormat="1" ht="14.25" customHeight="1" spans="1:7">
      <c r="A95" s="318" t="s">
        <v>267</v>
      </c>
      <c r="B95" s="318" t="s">
        <v>2488</v>
      </c>
      <c r="C95" s="318">
        <v>17330</v>
      </c>
      <c r="D95" s="318">
        <v>17260</v>
      </c>
      <c r="E95" s="318">
        <v>18420</v>
      </c>
      <c r="F95" s="318">
        <v>3060</v>
      </c>
      <c r="G95" s="326">
        <v>11410</v>
      </c>
    </row>
    <row r="96" s="303" customFormat="1" ht="14.25" customHeight="1" spans="1:7">
      <c r="A96" s="318" t="s">
        <v>267</v>
      </c>
      <c r="B96" s="318" t="s">
        <v>2498</v>
      </c>
      <c r="C96" s="318">
        <v>15030</v>
      </c>
      <c r="D96" s="318">
        <v>14970</v>
      </c>
      <c r="E96" s="318">
        <v>17580</v>
      </c>
      <c r="F96" s="318">
        <v>2970</v>
      </c>
      <c r="G96" s="326">
        <v>9890</v>
      </c>
    </row>
    <row r="97" s="303" customFormat="1" ht="14.25" customHeight="1" spans="1:7">
      <c r="A97" s="318" t="s">
        <v>267</v>
      </c>
      <c r="B97" s="318" t="s">
        <v>2508</v>
      </c>
      <c r="C97" s="318">
        <v>17400</v>
      </c>
      <c r="D97" s="318">
        <v>17330</v>
      </c>
      <c r="E97" s="318">
        <v>16430</v>
      </c>
      <c r="F97" s="318">
        <v>2950</v>
      </c>
      <c r="G97" s="326">
        <v>11450</v>
      </c>
    </row>
    <row r="98" s="303" customFormat="1" ht="14.25" customHeight="1" spans="1:7">
      <c r="A98" s="318" t="s">
        <v>267</v>
      </c>
      <c r="B98" s="318" t="s">
        <v>2518</v>
      </c>
      <c r="C98" s="318">
        <v>15200</v>
      </c>
      <c r="D98" s="318">
        <v>15120</v>
      </c>
      <c r="E98" s="318">
        <v>17550</v>
      </c>
      <c r="F98" s="318">
        <v>3080</v>
      </c>
      <c r="G98" s="326">
        <v>9990</v>
      </c>
    </row>
    <row r="99" s="303" customFormat="1" ht="14.25" customHeight="1" spans="1:7">
      <c r="A99" s="318" t="s">
        <v>267</v>
      </c>
      <c r="B99" s="318" t="s">
        <v>2528</v>
      </c>
      <c r="C99" s="318">
        <v>17520</v>
      </c>
      <c r="D99" s="318">
        <v>17430</v>
      </c>
      <c r="E99" s="318">
        <v>16350</v>
      </c>
      <c r="F99" s="318">
        <v>3260</v>
      </c>
      <c r="G99" s="326">
        <v>11510</v>
      </c>
    </row>
    <row r="100" s="303" customFormat="1" ht="14.25" customHeight="1" spans="1:7">
      <c r="A100" s="318" t="s">
        <v>267</v>
      </c>
      <c r="B100" s="318" t="s">
        <v>2538</v>
      </c>
      <c r="C100" s="318">
        <v>15340</v>
      </c>
      <c r="D100" s="318">
        <v>15260</v>
      </c>
      <c r="E100" s="318">
        <v>15930</v>
      </c>
      <c r="F100" s="318">
        <v>2740</v>
      </c>
      <c r="G100" s="326">
        <v>10080</v>
      </c>
    </row>
    <row r="101" s="303" customFormat="1" ht="14.25" customHeight="1" spans="1:7">
      <c r="A101" s="318" t="s">
        <v>267</v>
      </c>
      <c r="B101" s="318" t="s">
        <v>2548</v>
      </c>
      <c r="C101" s="318">
        <v>14620</v>
      </c>
      <c r="D101" s="318">
        <v>14560</v>
      </c>
      <c r="E101" s="318">
        <v>15570</v>
      </c>
      <c r="F101" s="318">
        <v>3500</v>
      </c>
      <c r="G101" s="326">
        <v>9630</v>
      </c>
    </row>
    <row r="102" s="303" customFormat="1" ht="14.25" customHeight="1" spans="1:7">
      <c r="A102" s="318" t="s">
        <v>267</v>
      </c>
      <c r="B102" s="318" t="s">
        <v>2558</v>
      </c>
      <c r="C102" s="318">
        <v>13680</v>
      </c>
      <c r="D102" s="318">
        <v>13610</v>
      </c>
      <c r="E102" s="318">
        <v>15690</v>
      </c>
      <c r="F102" s="318">
        <v>2870</v>
      </c>
      <c r="G102" s="326">
        <v>8990</v>
      </c>
    </row>
    <row r="103" s="303" customFormat="1" ht="14.25" customHeight="1" spans="1:7">
      <c r="A103" s="318" t="s">
        <v>267</v>
      </c>
      <c r="B103" s="318" t="s">
        <v>2568</v>
      </c>
      <c r="C103" s="318">
        <v>14620</v>
      </c>
      <c r="D103" s="318">
        <v>14540</v>
      </c>
      <c r="E103" s="318">
        <v>15240</v>
      </c>
      <c r="F103" s="318">
        <v>2840</v>
      </c>
      <c r="G103" s="326">
        <v>9610</v>
      </c>
    </row>
    <row r="104" s="303" customFormat="1" ht="14.25" customHeight="1" spans="1:7">
      <c r="A104" s="318" t="s">
        <v>267</v>
      </c>
      <c r="B104" s="318" t="s">
        <v>2578</v>
      </c>
      <c r="C104" s="318">
        <v>13610</v>
      </c>
      <c r="D104" s="318">
        <v>13540</v>
      </c>
      <c r="E104" s="318">
        <v>15750</v>
      </c>
      <c r="F104" s="318">
        <v>2770</v>
      </c>
      <c r="G104" s="326">
        <v>8940</v>
      </c>
    </row>
    <row r="105" s="303" customFormat="1" ht="14.25" customHeight="1" spans="1:7">
      <c r="A105" s="318" t="s">
        <v>267</v>
      </c>
      <c r="B105" s="318" t="s">
        <v>2588</v>
      </c>
      <c r="C105" s="318">
        <v>13310</v>
      </c>
      <c r="D105" s="318">
        <v>13240</v>
      </c>
      <c r="E105" s="318">
        <v>16280</v>
      </c>
      <c r="F105" s="318">
        <v>3210</v>
      </c>
      <c r="G105" s="326">
        <v>8750</v>
      </c>
    </row>
    <row r="106" s="303" customFormat="1" ht="14.25" customHeight="1" spans="1:7">
      <c r="A106" s="318" t="s">
        <v>267</v>
      </c>
      <c r="B106" s="318" t="s">
        <v>2598</v>
      </c>
      <c r="C106" s="318">
        <v>13010</v>
      </c>
      <c r="D106" s="318">
        <v>12930</v>
      </c>
      <c r="E106" s="318">
        <v>14960</v>
      </c>
      <c r="F106" s="318">
        <v>3530</v>
      </c>
      <c r="G106" s="326">
        <v>8550</v>
      </c>
    </row>
    <row r="107" s="303" customFormat="1" ht="14.25" customHeight="1" spans="1:7">
      <c r="A107" s="318" t="s">
        <v>267</v>
      </c>
      <c r="B107" s="318" t="s">
        <v>2607</v>
      </c>
      <c r="C107" s="318">
        <v>13070</v>
      </c>
      <c r="D107" s="318">
        <v>13000</v>
      </c>
      <c r="E107" s="318">
        <v>15910</v>
      </c>
      <c r="F107" s="318">
        <v>3990</v>
      </c>
      <c r="G107" s="326">
        <v>8580</v>
      </c>
    </row>
    <row r="108" s="303" customFormat="1" ht="14.25" customHeight="1" spans="1:7">
      <c r="A108" s="318" t="s">
        <v>267</v>
      </c>
      <c r="B108" s="318" t="s">
        <v>2615</v>
      </c>
      <c r="C108" s="318">
        <v>12640</v>
      </c>
      <c r="D108" s="318">
        <v>12580</v>
      </c>
      <c r="E108" s="318">
        <v>15730</v>
      </c>
      <c r="F108" s="318"/>
      <c r="G108" s="326">
        <v>8310</v>
      </c>
    </row>
    <row r="109" s="303" customFormat="1" ht="14.25" customHeight="1" spans="1:7">
      <c r="A109" s="318" t="s">
        <v>267</v>
      </c>
      <c r="B109" s="318" t="s">
        <v>2623</v>
      </c>
      <c r="C109" s="318">
        <v>13130</v>
      </c>
      <c r="D109" s="318">
        <v>13070</v>
      </c>
      <c r="E109" s="318">
        <v>15000</v>
      </c>
      <c r="F109" s="318"/>
      <c r="G109" s="326">
        <v>8630</v>
      </c>
    </row>
    <row r="110" s="303" customFormat="1" ht="14.25" customHeight="1" spans="1:7">
      <c r="A110" s="318" t="s">
        <v>267</v>
      </c>
      <c r="B110" s="318" t="s">
        <v>2631</v>
      </c>
      <c r="C110" s="318">
        <v>13560</v>
      </c>
      <c r="D110" s="318">
        <v>13490</v>
      </c>
      <c r="E110" s="318">
        <v>16300</v>
      </c>
      <c r="F110" s="318"/>
      <c r="G110" s="326">
        <v>8920</v>
      </c>
    </row>
    <row r="111" s="303" customFormat="1" ht="14.25" customHeight="1" spans="1:7">
      <c r="A111" s="318" t="s">
        <v>267</v>
      </c>
      <c r="B111" s="318" t="s">
        <v>2639</v>
      </c>
      <c r="C111" s="318">
        <v>12440</v>
      </c>
      <c r="D111" s="318">
        <v>12380</v>
      </c>
      <c r="E111" s="318">
        <v>17850</v>
      </c>
      <c r="F111" s="318"/>
      <c r="G111" s="326">
        <v>8180</v>
      </c>
    </row>
    <row r="112" s="303" customFormat="1" ht="14.25" customHeight="1" spans="1:7">
      <c r="A112" s="318" t="s">
        <v>267</v>
      </c>
      <c r="B112" s="318" t="s">
        <v>2646</v>
      </c>
      <c r="C112" s="318">
        <v>13260</v>
      </c>
      <c r="D112" s="318">
        <v>13180</v>
      </c>
      <c r="E112" s="318">
        <v>19740</v>
      </c>
      <c r="F112" s="318"/>
      <c r="G112" s="326">
        <v>8710</v>
      </c>
    </row>
    <row r="113" s="303" customFormat="1" ht="14.25" customHeight="1" spans="1:7">
      <c r="A113" s="318" t="s">
        <v>267</v>
      </c>
      <c r="B113" s="318" t="s">
        <v>2653</v>
      </c>
      <c r="C113" s="318">
        <v>15520</v>
      </c>
      <c r="D113" s="318">
        <v>15450</v>
      </c>
      <c r="E113" s="318"/>
      <c r="F113" s="318"/>
      <c r="G113" s="326">
        <v>10210</v>
      </c>
    </row>
    <row r="114" s="303" customFormat="1" ht="14.25" customHeight="1" spans="1:7">
      <c r="A114" s="318" t="s">
        <v>267</v>
      </c>
      <c r="B114" s="318" t="s">
        <v>2660</v>
      </c>
      <c r="C114" s="318">
        <v>13110</v>
      </c>
      <c r="D114" s="318">
        <v>13050</v>
      </c>
      <c r="E114" s="318"/>
      <c r="F114" s="318"/>
      <c r="G114" s="326">
        <v>8620</v>
      </c>
    </row>
    <row r="115" s="303" customFormat="1" ht="14.25" customHeight="1" spans="1:7">
      <c r="A115" s="318" t="s">
        <v>267</v>
      </c>
      <c r="B115" s="318" t="s">
        <v>2667</v>
      </c>
      <c r="C115" s="318">
        <v>12460</v>
      </c>
      <c r="D115" s="318">
        <v>12390</v>
      </c>
      <c r="E115" s="318"/>
      <c r="F115" s="318"/>
      <c r="G115" s="326">
        <v>8190</v>
      </c>
    </row>
    <row r="116" s="303" customFormat="1" ht="14.25" customHeight="1" spans="1:7">
      <c r="A116" s="318" t="s">
        <v>267</v>
      </c>
      <c r="B116" s="318" t="s">
        <v>2674</v>
      </c>
      <c r="C116" s="318">
        <v>13580</v>
      </c>
      <c r="D116" s="318">
        <v>13520</v>
      </c>
      <c r="E116" s="318"/>
      <c r="F116" s="318"/>
      <c r="G116" s="326">
        <v>8930</v>
      </c>
    </row>
    <row r="117" s="303" customFormat="1" ht="14.25" customHeight="1" spans="1:7">
      <c r="A117" s="318" t="s">
        <v>267</v>
      </c>
      <c r="B117" s="318" t="s">
        <v>2681</v>
      </c>
      <c r="C117" s="318">
        <v>17120</v>
      </c>
      <c r="D117" s="318">
        <v>17040</v>
      </c>
      <c r="E117" s="318"/>
      <c r="F117" s="318"/>
      <c r="G117" s="326">
        <v>11260</v>
      </c>
    </row>
    <row r="118" s="303" customFormat="1" ht="14.25" customHeight="1" spans="1:7">
      <c r="A118" s="318" t="s">
        <v>267</v>
      </c>
      <c r="B118" s="318" t="s">
        <v>2688</v>
      </c>
      <c r="C118" s="318">
        <v>14860</v>
      </c>
      <c r="D118" s="318">
        <v>14790</v>
      </c>
      <c r="E118" s="318"/>
      <c r="F118" s="318"/>
      <c r="G118" s="326">
        <v>9780</v>
      </c>
    </row>
    <row r="119" s="303" customFormat="1" ht="14.25" customHeight="1" spans="1:7">
      <c r="A119" s="318" t="s">
        <v>267</v>
      </c>
      <c r="B119" s="318" t="s">
        <v>2693</v>
      </c>
      <c r="C119" s="318">
        <v>16470</v>
      </c>
      <c r="D119" s="318">
        <v>16400</v>
      </c>
      <c r="E119" s="318"/>
      <c r="F119" s="318"/>
      <c r="G119" s="326">
        <v>10840</v>
      </c>
    </row>
    <row r="120" s="303" customFormat="1" ht="14.25" customHeight="1" spans="1:7">
      <c r="A120" s="318" t="s">
        <v>267</v>
      </c>
      <c r="B120" s="318" t="s">
        <v>2698</v>
      </c>
      <c r="C120" s="318"/>
      <c r="D120" s="318"/>
      <c r="E120" s="318"/>
      <c r="F120" s="318">
        <v>4160</v>
      </c>
      <c r="G120" s="326"/>
    </row>
    <row r="121" s="303" customFormat="1" ht="14.25" customHeight="1" spans="1:7">
      <c r="A121" s="318" t="s">
        <v>267</v>
      </c>
      <c r="B121" s="318" t="s">
        <v>2703</v>
      </c>
      <c r="C121" s="318"/>
      <c r="D121" s="318"/>
      <c r="E121" s="318"/>
      <c r="F121" s="318">
        <v>3880</v>
      </c>
      <c r="G121" s="326"/>
    </row>
    <row r="122" s="303" customFormat="1" ht="14.25" customHeight="1" spans="1:7">
      <c r="A122" s="318" t="s">
        <v>267</v>
      </c>
      <c r="B122" s="318" t="s">
        <v>2708</v>
      </c>
      <c r="C122" s="318">
        <v>13750</v>
      </c>
      <c r="D122" s="318">
        <v>13680</v>
      </c>
      <c r="E122" s="318">
        <v>16460</v>
      </c>
      <c r="F122" s="318">
        <v>2880</v>
      </c>
      <c r="G122" s="326">
        <v>9040</v>
      </c>
    </row>
    <row r="123" s="303" customFormat="1" ht="14.25" customHeight="1" spans="1:7">
      <c r="A123" s="318" t="s">
        <v>267</v>
      </c>
      <c r="B123" s="318" t="s">
        <v>2713</v>
      </c>
      <c r="C123" s="318">
        <v>13590</v>
      </c>
      <c r="D123" s="318">
        <v>13520</v>
      </c>
      <c r="E123" s="318">
        <v>16290</v>
      </c>
      <c r="F123" s="318">
        <v>2790</v>
      </c>
      <c r="G123" s="326">
        <v>8930</v>
      </c>
    </row>
    <row r="124" s="303" customFormat="1" ht="14.25" customHeight="1" spans="1:7">
      <c r="A124" s="318" t="s">
        <v>267</v>
      </c>
      <c r="B124" s="318" t="s">
        <v>2718</v>
      </c>
      <c r="C124" s="318">
        <v>13400</v>
      </c>
      <c r="D124" s="318">
        <v>13320</v>
      </c>
      <c r="E124" s="318">
        <v>16100</v>
      </c>
      <c r="F124" s="318">
        <v>2320</v>
      </c>
      <c r="G124" s="326">
        <v>8800</v>
      </c>
    </row>
    <row r="125" s="303" customFormat="1" ht="14.25" customHeight="1" spans="1:7">
      <c r="A125" s="318" t="s">
        <v>267</v>
      </c>
      <c r="B125" s="318" t="s">
        <v>2723</v>
      </c>
      <c r="C125" s="318">
        <v>12860</v>
      </c>
      <c r="D125" s="318">
        <v>12790</v>
      </c>
      <c r="E125" s="318">
        <v>15370</v>
      </c>
      <c r="F125" s="318">
        <v>2280</v>
      </c>
      <c r="G125" s="326">
        <v>8450</v>
      </c>
    </row>
    <row r="126" s="303" customFormat="1" ht="14.25" customHeight="1" spans="1:7">
      <c r="A126" s="327" t="s">
        <v>267</v>
      </c>
      <c r="B126" s="322" t="s">
        <v>2728</v>
      </c>
      <c r="C126" s="322">
        <v>12960</v>
      </c>
      <c r="D126" s="322">
        <v>12890</v>
      </c>
      <c r="E126" s="322">
        <v>15530</v>
      </c>
      <c r="F126" s="322">
        <v>2910</v>
      </c>
      <c r="G126" s="328">
        <v>8520</v>
      </c>
    </row>
    <row r="127" s="303" customFormat="1" ht="14.25" customHeight="1" spans="1:7">
      <c r="A127" s="316" t="s">
        <v>273</v>
      </c>
      <c r="B127" s="317" t="s">
        <v>2395</v>
      </c>
      <c r="C127" s="318">
        <v>12280</v>
      </c>
      <c r="D127" s="318">
        <v>12250</v>
      </c>
      <c r="E127" s="318">
        <v>15130</v>
      </c>
      <c r="F127" s="318">
        <v>2710</v>
      </c>
      <c r="G127" s="318">
        <v>7870</v>
      </c>
    </row>
    <row r="128" s="303" customFormat="1" ht="14.25" customHeight="1" spans="1:7">
      <c r="A128" s="318" t="s">
        <v>273</v>
      </c>
      <c r="B128" s="318" t="s">
        <v>2408</v>
      </c>
      <c r="C128" s="318">
        <v>13180</v>
      </c>
      <c r="D128" s="318">
        <v>13150</v>
      </c>
      <c r="E128" s="318">
        <v>16190</v>
      </c>
      <c r="F128" s="318">
        <v>2820</v>
      </c>
      <c r="G128" s="318">
        <v>8460</v>
      </c>
    </row>
    <row r="129" s="303" customFormat="1" ht="14.25" customHeight="1" spans="1:7">
      <c r="A129" s="318" t="s">
        <v>273</v>
      </c>
      <c r="B129" s="318" t="s">
        <v>2422</v>
      </c>
      <c r="C129" s="318">
        <v>10950</v>
      </c>
      <c r="D129" s="318">
        <v>10920</v>
      </c>
      <c r="E129" s="318">
        <v>13820</v>
      </c>
      <c r="F129" s="318">
        <v>2500</v>
      </c>
      <c r="G129" s="318">
        <v>7020</v>
      </c>
    </row>
    <row r="130" s="303" customFormat="1" ht="14.25" customHeight="1" spans="1:7">
      <c r="A130" s="318" t="s">
        <v>273</v>
      </c>
      <c r="B130" s="318" t="s">
        <v>2434</v>
      </c>
      <c r="C130" s="318">
        <v>10910</v>
      </c>
      <c r="D130" s="318">
        <v>10860</v>
      </c>
      <c r="E130" s="318">
        <v>13730</v>
      </c>
      <c r="F130" s="318">
        <v>2760</v>
      </c>
      <c r="G130" s="318">
        <v>6990</v>
      </c>
    </row>
    <row r="131" s="303" customFormat="1" ht="14.25" customHeight="1" spans="1:7">
      <c r="A131" s="318" t="s">
        <v>273</v>
      </c>
      <c r="B131" s="318" t="s">
        <v>2446</v>
      </c>
      <c r="C131" s="318">
        <v>12910</v>
      </c>
      <c r="D131" s="318">
        <v>12870</v>
      </c>
      <c r="E131" s="318">
        <v>15720</v>
      </c>
      <c r="F131" s="318">
        <v>2750</v>
      </c>
      <c r="G131" s="318">
        <v>8280</v>
      </c>
    </row>
    <row r="132" s="303" customFormat="1" ht="14.25" customHeight="1" spans="1:7">
      <c r="A132" s="318" t="s">
        <v>273</v>
      </c>
      <c r="B132" s="318" t="s">
        <v>2457</v>
      </c>
      <c r="C132" s="318">
        <v>11910</v>
      </c>
      <c r="D132" s="318">
        <v>11860</v>
      </c>
      <c r="E132" s="318">
        <v>14730</v>
      </c>
      <c r="F132" s="318">
        <v>2360</v>
      </c>
      <c r="G132" s="318">
        <v>7630</v>
      </c>
    </row>
    <row r="133" s="303" customFormat="1" ht="14.25" customHeight="1" spans="1:7">
      <c r="A133" s="318" t="s">
        <v>273</v>
      </c>
      <c r="B133" s="318" t="s">
        <v>2468</v>
      </c>
      <c r="C133" s="318">
        <v>12270</v>
      </c>
      <c r="D133" s="318">
        <v>12210</v>
      </c>
      <c r="E133" s="318">
        <v>15010</v>
      </c>
      <c r="F133" s="318">
        <v>2580</v>
      </c>
      <c r="G133" s="318">
        <v>7860</v>
      </c>
    </row>
    <row r="134" s="303" customFormat="1" ht="14.25" customHeight="1" spans="1:7">
      <c r="A134" s="318" t="s">
        <v>273</v>
      </c>
      <c r="B134" s="318" t="s">
        <v>2479</v>
      </c>
      <c r="C134" s="318">
        <v>10800</v>
      </c>
      <c r="D134" s="318">
        <v>10780</v>
      </c>
      <c r="E134" s="318">
        <v>13640</v>
      </c>
      <c r="F134" s="318">
        <v>2110</v>
      </c>
      <c r="G134" s="318">
        <v>6930</v>
      </c>
    </row>
    <row r="135" s="303" customFormat="1" ht="14.25" customHeight="1" spans="1:7">
      <c r="A135" s="318" t="s">
        <v>273</v>
      </c>
      <c r="B135" s="318" t="s">
        <v>2489</v>
      </c>
      <c r="C135" s="318">
        <v>10430</v>
      </c>
      <c r="D135" s="318">
        <v>10390</v>
      </c>
      <c r="E135" s="318">
        <v>13140</v>
      </c>
      <c r="F135" s="318">
        <v>2240</v>
      </c>
      <c r="G135" s="318">
        <v>6680</v>
      </c>
    </row>
    <row r="136" s="303" customFormat="1" ht="14.25" customHeight="1" spans="1:7">
      <c r="A136" s="318" t="s">
        <v>273</v>
      </c>
      <c r="B136" s="318" t="s">
        <v>2499</v>
      </c>
      <c r="C136" s="318">
        <v>11930</v>
      </c>
      <c r="D136" s="318">
        <v>11880</v>
      </c>
      <c r="E136" s="318">
        <v>14770</v>
      </c>
      <c r="F136" s="318">
        <v>1970</v>
      </c>
      <c r="G136" s="318">
        <v>7640</v>
      </c>
    </row>
    <row r="137" s="303" customFormat="1" ht="14.25" customHeight="1" spans="1:7">
      <c r="A137" s="318" t="s">
        <v>273</v>
      </c>
      <c r="B137" s="318" t="s">
        <v>2509</v>
      </c>
      <c r="C137" s="318">
        <v>10470</v>
      </c>
      <c r="D137" s="318">
        <v>10430</v>
      </c>
      <c r="E137" s="318">
        <v>13190</v>
      </c>
      <c r="F137" s="318">
        <v>1990</v>
      </c>
      <c r="G137" s="318">
        <v>6710</v>
      </c>
    </row>
    <row r="138" s="303" customFormat="1" ht="14.25" customHeight="1" spans="1:7">
      <c r="A138" s="318" t="s">
        <v>273</v>
      </c>
      <c r="B138" s="318" t="s">
        <v>2519</v>
      </c>
      <c r="C138" s="318">
        <v>10410</v>
      </c>
      <c r="D138" s="318">
        <v>10380</v>
      </c>
      <c r="E138" s="318">
        <v>13130</v>
      </c>
      <c r="F138" s="318">
        <v>2030</v>
      </c>
      <c r="G138" s="318">
        <v>6680</v>
      </c>
    </row>
    <row r="139" s="303" customFormat="1" ht="14.25" customHeight="1" spans="1:7">
      <c r="A139" s="318" t="s">
        <v>273</v>
      </c>
      <c r="B139" s="318" t="s">
        <v>2529</v>
      </c>
      <c r="C139" s="318">
        <v>9460</v>
      </c>
      <c r="D139" s="318">
        <v>9410</v>
      </c>
      <c r="E139" s="318">
        <v>12050</v>
      </c>
      <c r="F139" s="318">
        <v>2140</v>
      </c>
      <c r="G139" s="318">
        <v>6050</v>
      </c>
    </row>
    <row r="140" s="303" customFormat="1" ht="14.25" customHeight="1" spans="1:7">
      <c r="A140" s="318" t="s">
        <v>273</v>
      </c>
      <c r="B140" s="318" t="s">
        <v>2539</v>
      </c>
      <c r="C140" s="318">
        <v>11030</v>
      </c>
      <c r="D140" s="318">
        <v>10980</v>
      </c>
      <c r="E140" s="318">
        <v>13880</v>
      </c>
      <c r="F140" s="318">
        <v>2210</v>
      </c>
      <c r="G140" s="318">
        <v>7060</v>
      </c>
    </row>
    <row r="141" s="303" customFormat="1" ht="14.25" customHeight="1" spans="1:7">
      <c r="A141" s="318" t="s">
        <v>273</v>
      </c>
      <c r="B141" s="318" t="s">
        <v>2549</v>
      </c>
      <c r="C141" s="318">
        <v>11200</v>
      </c>
      <c r="D141" s="318">
        <v>11150</v>
      </c>
      <c r="E141" s="318">
        <v>14100</v>
      </c>
      <c r="F141" s="318">
        <v>2470</v>
      </c>
      <c r="G141" s="318">
        <v>7170</v>
      </c>
    </row>
    <row r="142" s="303" customFormat="1" ht="14.25" customHeight="1" spans="1:7">
      <c r="A142" s="318" t="s">
        <v>273</v>
      </c>
      <c r="B142" s="318" t="s">
        <v>2559</v>
      </c>
      <c r="C142" s="318">
        <v>10780</v>
      </c>
      <c r="D142" s="318">
        <v>10730</v>
      </c>
      <c r="E142" s="318">
        <v>13540</v>
      </c>
      <c r="F142" s="318">
        <v>2280</v>
      </c>
      <c r="G142" s="318">
        <v>6900</v>
      </c>
    </row>
    <row r="143" s="303" customFormat="1" ht="14.25" customHeight="1" spans="1:7">
      <c r="A143" s="318" t="s">
        <v>273</v>
      </c>
      <c r="B143" s="318" t="s">
        <v>2569</v>
      </c>
      <c r="C143" s="318">
        <v>11550</v>
      </c>
      <c r="D143" s="318">
        <v>11490</v>
      </c>
      <c r="E143" s="318">
        <v>14480</v>
      </c>
      <c r="F143" s="318">
        <v>2070</v>
      </c>
      <c r="G143" s="318">
        <v>7390</v>
      </c>
    </row>
    <row r="144" s="303" customFormat="1" ht="14.25" customHeight="1" spans="1:7">
      <c r="A144" s="318" t="s">
        <v>273</v>
      </c>
      <c r="B144" s="318" t="s">
        <v>2579</v>
      </c>
      <c r="C144" s="318">
        <v>10720</v>
      </c>
      <c r="D144" s="318">
        <v>10680</v>
      </c>
      <c r="E144" s="318">
        <v>13480</v>
      </c>
      <c r="F144" s="318">
        <v>2440</v>
      </c>
      <c r="G144" s="318">
        <v>6870</v>
      </c>
    </row>
    <row r="145" s="303" customFormat="1" ht="14.25" customHeight="1" spans="1:7">
      <c r="A145" s="318" t="s">
        <v>273</v>
      </c>
      <c r="B145" s="318" t="s">
        <v>2589</v>
      </c>
      <c r="C145" s="318">
        <v>10340</v>
      </c>
      <c r="D145" s="318">
        <v>10290</v>
      </c>
      <c r="E145" s="318">
        <v>12880</v>
      </c>
      <c r="F145" s="318">
        <v>2650</v>
      </c>
      <c r="G145" s="318">
        <v>6620</v>
      </c>
    </row>
    <row r="146" s="303" customFormat="1" ht="14.25" customHeight="1" spans="1:7">
      <c r="A146" s="318" t="s">
        <v>273</v>
      </c>
      <c r="B146" s="318" t="s">
        <v>2599</v>
      </c>
      <c r="C146" s="318">
        <v>11890</v>
      </c>
      <c r="D146" s="318">
        <v>11830</v>
      </c>
      <c r="E146" s="318">
        <v>14670</v>
      </c>
      <c r="F146" s="318"/>
      <c r="G146" s="318">
        <v>7610</v>
      </c>
    </row>
    <row r="147" s="303" customFormat="1" ht="14.25" customHeight="1" spans="1:7">
      <c r="A147" s="318" t="s">
        <v>273</v>
      </c>
      <c r="B147" s="318" t="s">
        <v>2608</v>
      </c>
      <c r="C147" s="318">
        <v>12650</v>
      </c>
      <c r="D147" s="318">
        <v>12600</v>
      </c>
      <c r="E147" s="318">
        <v>15440</v>
      </c>
      <c r="F147" s="318"/>
      <c r="G147" s="318">
        <v>8110</v>
      </c>
    </row>
    <row r="148" s="303" customFormat="1" ht="14.25" customHeight="1" spans="1:7">
      <c r="A148" s="318" t="s">
        <v>273</v>
      </c>
      <c r="B148" s="318" t="s">
        <v>2616</v>
      </c>
      <c r="C148" s="318">
        <v>10370</v>
      </c>
      <c r="D148" s="318">
        <v>10310</v>
      </c>
      <c r="E148" s="318">
        <v>12970</v>
      </c>
      <c r="F148" s="318"/>
      <c r="G148" s="318">
        <v>6630</v>
      </c>
    </row>
    <row r="149" s="303" customFormat="1" ht="14.25" customHeight="1" spans="1:7">
      <c r="A149" s="318" t="s">
        <v>273</v>
      </c>
      <c r="B149" s="318" t="s">
        <v>2624</v>
      </c>
      <c r="C149" s="318">
        <v>11600</v>
      </c>
      <c r="D149" s="318">
        <v>11560</v>
      </c>
      <c r="E149" s="318">
        <v>14540</v>
      </c>
      <c r="F149" s="318">
        <v>2390</v>
      </c>
      <c r="G149" s="318">
        <v>7430</v>
      </c>
    </row>
    <row r="150" s="303" customFormat="1" ht="14.25" customHeight="1" spans="1:7">
      <c r="A150" s="318" t="s">
        <v>273</v>
      </c>
      <c r="B150" s="318" t="s">
        <v>2632</v>
      </c>
      <c r="C150" s="318">
        <v>9950</v>
      </c>
      <c r="D150" s="318">
        <v>9890</v>
      </c>
      <c r="E150" s="318">
        <v>12590</v>
      </c>
      <c r="F150" s="318">
        <v>1970</v>
      </c>
      <c r="G150" s="318">
        <v>6360</v>
      </c>
    </row>
    <row r="151" s="303" customFormat="1" ht="14.25" customHeight="1" spans="1:7">
      <c r="A151" s="318" t="s">
        <v>273</v>
      </c>
      <c r="B151" s="318" t="s">
        <v>2640</v>
      </c>
      <c r="C151" s="318">
        <v>10700</v>
      </c>
      <c r="D151" s="318">
        <v>10650</v>
      </c>
      <c r="E151" s="318">
        <v>13420</v>
      </c>
      <c r="F151" s="318">
        <v>2020</v>
      </c>
      <c r="G151" s="318">
        <v>6850</v>
      </c>
    </row>
    <row r="152" s="303" customFormat="1" ht="14.25" customHeight="1" spans="1:7">
      <c r="A152" s="318" t="s">
        <v>273</v>
      </c>
      <c r="B152" s="318" t="s">
        <v>2647</v>
      </c>
      <c r="C152" s="318">
        <v>10310</v>
      </c>
      <c r="D152" s="318">
        <v>10260</v>
      </c>
      <c r="E152" s="318">
        <v>12820</v>
      </c>
      <c r="F152" s="318">
        <v>1980</v>
      </c>
      <c r="G152" s="318">
        <v>6600</v>
      </c>
    </row>
    <row r="153" s="303" customFormat="1" ht="14.25" customHeight="1" spans="1:7">
      <c r="A153" s="318" t="s">
        <v>273</v>
      </c>
      <c r="B153" s="318" t="s">
        <v>2654</v>
      </c>
      <c r="C153" s="318">
        <v>10880</v>
      </c>
      <c r="D153" s="318">
        <v>10820</v>
      </c>
      <c r="E153" s="318">
        <v>13660</v>
      </c>
      <c r="F153" s="318">
        <v>2260</v>
      </c>
      <c r="G153" s="318">
        <v>6970</v>
      </c>
    </row>
    <row r="154" s="303" customFormat="1" ht="14.25" customHeight="1" spans="1:7">
      <c r="A154" s="318" t="s">
        <v>273</v>
      </c>
      <c r="B154" s="318" t="s">
        <v>2661</v>
      </c>
      <c r="C154" s="318">
        <v>11220</v>
      </c>
      <c r="D154" s="318">
        <v>11160</v>
      </c>
      <c r="E154" s="318">
        <v>14130</v>
      </c>
      <c r="F154" s="318">
        <v>2230</v>
      </c>
      <c r="G154" s="318">
        <v>7180</v>
      </c>
    </row>
    <row r="155" s="303" customFormat="1" ht="14.25" customHeight="1" spans="1:7">
      <c r="A155" s="318" t="s">
        <v>273</v>
      </c>
      <c r="B155" s="318" t="s">
        <v>2668</v>
      </c>
      <c r="C155" s="318">
        <v>10430</v>
      </c>
      <c r="D155" s="318">
        <v>10380</v>
      </c>
      <c r="E155" s="318">
        <v>13140</v>
      </c>
      <c r="F155" s="318">
        <v>2080</v>
      </c>
      <c r="G155" s="318">
        <v>6650</v>
      </c>
    </row>
    <row r="156" s="303" customFormat="1" ht="14.25" customHeight="1" spans="1:7">
      <c r="A156" s="318" t="s">
        <v>273</v>
      </c>
      <c r="B156" s="318" t="s">
        <v>2675</v>
      </c>
      <c r="C156" s="318">
        <v>10440</v>
      </c>
      <c r="D156" s="318">
        <v>10400</v>
      </c>
      <c r="E156" s="318">
        <v>13150</v>
      </c>
      <c r="F156" s="318">
        <v>2490</v>
      </c>
      <c r="G156" s="318">
        <v>6690</v>
      </c>
    </row>
    <row r="157" s="303" customFormat="1" ht="14.25" customHeight="1" spans="1:7">
      <c r="A157" s="318" t="s">
        <v>273</v>
      </c>
      <c r="B157" s="318" t="s">
        <v>2682</v>
      </c>
      <c r="C157" s="318">
        <v>10970</v>
      </c>
      <c r="D157" s="318">
        <v>10920</v>
      </c>
      <c r="E157" s="318">
        <v>13840</v>
      </c>
      <c r="F157" s="318">
        <v>2420</v>
      </c>
      <c r="G157" s="318">
        <v>7020</v>
      </c>
    </row>
    <row r="158" s="303" customFormat="1" ht="14.25" customHeight="1" spans="1:7">
      <c r="A158" s="318" t="s">
        <v>273</v>
      </c>
      <c r="B158" s="318" t="s">
        <v>2689</v>
      </c>
      <c r="C158" s="318">
        <v>9590</v>
      </c>
      <c r="D158" s="318">
        <v>9540</v>
      </c>
      <c r="E158" s="318">
        <v>12210</v>
      </c>
      <c r="F158" s="318">
        <v>2100</v>
      </c>
      <c r="G158" s="318">
        <v>6130</v>
      </c>
    </row>
    <row r="159" s="303" customFormat="1" ht="14.25" customHeight="1" spans="1:7">
      <c r="A159" s="318" t="s">
        <v>273</v>
      </c>
      <c r="B159" s="318" t="s">
        <v>2694</v>
      </c>
      <c r="C159" s="318">
        <v>11190</v>
      </c>
      <c r="D159" s="318">
        <v>11140</v>
      </c>
      <c r="E159" s="318">
        <v>14090</v>
      </c>
      <c r="F159" s="318">
        <v>2470</v>
      </c>
      <c r="G159" s="318">
        <v>7170</v>
      </c>
    </row>
    <row r="160" s="303" customFormat="1" ht="14.25" customHeight="1" spans="1:7">
      <c r="A160" s="318" t="s">
        <v>273</v>
      </c>
      <c r="B160" s="318" t="s">
        <v>2699</v>
      </c>
      <c r="C160" s="318">
        <v>11180</v>
      </c>
      <c r="D160" s="318">
        <v>11140</v>
      </c>
      <c r="E160" s="318">
        <v>14050</v>
      </c>
      <c r="F160" s="318">
        <v>2270</v>
      </c>
      <c r="G160" s="318">
        <v>7170</v>
      </c>
    </row>
    <row r="161" s="303" customFormat="1" ht="14.25" customHeight="1" spans="1:7">
      <c r="A161" s="318" t="s">
        <v>273</v>
      </c>
      <c r="B161" s="318" t="s">
        <v>2704</v>
      </c>
      <c r="C161" s="318">
        <v>11160</v>
      </c>
      <c r="D161" s="318">
        <v>11120</v>
      </c>
      <c r="E161" s="318">
        <v>14020</v>
      </c>
      <c r="F161" s="318">
        <v>2150</v>
      </c>
      <c r="G161" s="318">
        <v>7160</v>
      </c>
    </row>
    <row r="162" s="303" customFormat="1" ht="14.25" customHeight="1" spans="1:7">
      <c r="A162" s="318" t="s">
        <v>273</v>
      </c>
      <c r="B162" s="318" t="s">
        <v>2709</v>
      </c>
      <c r="C162" s="318">
        <v>9620</v>
      </c>
      <c r="D162" s="318">
        <v>9570</v>
      </c>
      <c r="E162" s="318">
        <v>12320</v>
      </c>
      <c r="F162" s="318">
        <v>2010</v>
      </c>
      <c r="G162" s="318">
        <v>6160</v>
      </c>
    </row>
    <row r="163" s="303" customFormat="1" ht="14.25" customHeight="1" spans="1:7">
      <c r="A163" s="318" t="s">
        <v>273</v>
      </c>
      <c r="B163" s="318" t="s">
        <v>2714</v>
      </c>
      <c r="C163" s="318">
        <v>9320</v>
      </c>
      <c r="D163" s="318">
        <v>9270</v>
      </c>
      <c r="E163" s="318">
        <v>11790</v>
      </c>
      <c r="F163" s="318">
        <v>1920</v>
      </c>
      <c r="G163" s="318">
        <v>5960</v>
      </c>
    </row>
    <row r="164" s="303" customFormat="1" ht="14.25" customHeight="1" spans="1:7">
      <c r="A164" s="318" t="s">
        <v>273</v>
      </c>
      <c r="B164" s="318" t="s">
        <v>2719</v>
      </c>
      <c r="C164" s="318"/>
      <c r="D164" s="318"/>
      <c r="E164" s="318"/>
      <c r="F164" s="318">
        <v>1980</v>
      </c>
      <c r="G164" s="318"/>
    </row>
    <row r="165" s="303" customFormat="1" ht="14.25" customHeight="1" spans="1:7">
      <c r="A165" s="318" t="s">
        <v>273</v>
      </c>
      <c r="B165" s="318" t="s">
        <v>2724</v>
      </c>
      <c r="C165" s="318">
        <v>11060</v>
      </c>
      <c r="D165" s="318">
        <v>11030</v>
      </c>
      <c r="E165" s="318">
        <v>13850</v>
      </c>
      <c r="F165" s="318">
        <v>2170</v>
      </c>
      <c r="G165" s="318">
        <v>7090</v>
      </c>
    </row>
    <row r="166" s="303" customFormat="1" ht="14.25" customHeight="1" spans="1:7">
      <c r="A166" s="318" t="s">
        <v>273</v>
      </c>
      <c r="B166" s="318" t="s">
        <v>2729</v>
      </c>
      <c r="C166" s="318">
        <v>11050</v>
      </c>
      <c r="D166" s="318">
        <v>11010</v>
      </c>
      <c r="E166" s="318">
        <v>13920</v>
      </c>
      <c r="F166" s="318">
        <v>2140</v>
      </c>
      <c r="G166" s="318">
        <v>7080</v>
      </c>
    </row>
    <row r="167" s="303" customFormat="1" ht="14.25" customHeight="1" spans="1:7">
      <c r="A167" s="318" t="s">
        <v>273</v>
      </c>
      <c r="B167" s="318" t="s">
        <v>2733</v>
      </c>
      <c r="C167" s="318">
        <v>10930</v>
      </c>
      <c r="D167" s="318">
        <v>10890</v>
      </c>
      <c r="E167" s="318">
        <v>13790</v>
      </c>
      <c r="F167" s="318">
        <v>2010</v>
      </c>
      <c r="G167" s="318">
        <v>7000</v>
      </c>
    </row>
    <row r="168" s="303" customFormat="1" ht="14.25" customHeight="1" spans="1:7">
      <c r="A168" s="318" t="s">
        <v>273</v>
      </c>
      <c r="B168" s="318" t="s">
        <v>2737</v>
      </c>
      <c r="C168" s="318">
        <v>9420</v>
      </c>
      <c r="D168" s="318">
        <v>9380</v>
      </c>
      <c r="E168" s="318">
        <v>11970</v>
      </c>
      <c r="F168" s="318"/>
      <c r="G168" s="318">
        <v>6040</v>
      </c>
    </row>
    <row r="169" s="303" customFormat="1" ht="14.25" customHeight="1" spans="1:7">
      <c r="A169" s="318" t="s">
        <v>273</v>
      </c>
      <c r="B169" s="318" t="s">
        <v>2741</v>
      </c>
      <c r="C169" s="318"/>
      <c r="D169" s="318"/>
      <c r="E169" s="318"/>
      <c r="F169" s="318">
        <v>2880</v>
      </c>
      <c r="G169" s="318"/>
    </row>
    <row r="170" s="303" customFormat="1" ht="14.25" customHeight="1" spans="1:7">
      <c r="A170" s="318" t="s">
        <v>273</v>
      </c>
      <c r="B170" s="318" t="s">
        <v>2745</v>
      </c>
      <c r="C170" s="318"/>
      <c r="D170" s="318"/>
      <c r="E170" s="318"/>
      <c r="F170" s="318">
        <v>2880</v>
      </c>
      <c r="G170" s="318"/>
    </row>
    <row r="171" s="303" customFormat="1" ht="14.25" customHeight="1" spans="1:7">
      <c r="A171" s="318" t="s">
        <v>273</v>
      </c>
      <c r="B171" s="318" t="s">
        <v>2748</v>
      </c>
      <c r="C171" s="318"/>
      <c r="D171" s="318"/>
      <c r="E171" s="318"/>
      <c r="F171" s="318">
        <v>2880</v>
      </c>
      <c r="G171" s="318"/>
    </row>
    <row r="172" s="303" customFormat="1" ht="14.25" customHeight="1" spans="1:7">
      <c r="A172" s="318" t="s">
        <v>273</v>
      </c>
      <c r="B172" s="318" t="s">
        <v>2750</v>
      </c>
      <c r="C172" s="318"/>
      <c r="D172" s="318"/>
      <c r="E172" s="318"/>
      <c r="F172" s="318">
        <v>2880</v>
      </c>
      <c r="G172" s="318"/>
    </row>
    <row r="173" s="303" customFormat="1" ht="14.25" customHeight="1" spans="1:7">
      <c r="A173" s="318" t="s">
        <v>273</v>
      </c>
      <c r="B173" s="318" t="s">
        <v>2752</v>
      </c>
      <c r="C173" s="318"/>
      <c r="D173" s="318"/>
      <c r="E173" s="318"/>
      <c r="F173" s="318">
        <v>2150</v>
      </c>
      <c r="G173" s="318"/>
    </row>
    <row r="174" s="303" customFormat="1" ht="14.25" customHeight="1" spans="1:7">
      <c r="A174" s="318" t="s">
        <v>273</v>
      </c>
      <c r="B174" s="318" t="s">
        <v>2754</v>
      </c>
      <c r="C174" s="318"/>
      <c r="D174" s="318"/>
      <c r="E174" s="318"/>
      <c r="F174" s="318">
        <v>2030</v>
      </c>
      <c r="G174" s="318"/>
    </row>
    <row r="175" s="303" customFormat="1" ht="14.25" customHeight="1" spans="1:7">
      <c r="A175" s="318" t="s">
        <v>273</v>
      </c>
      <c r="B175" s="318" t="s">
        <v>2756</v>
      </c>
      <c r="C175" s="318"/>
      <c r="D175" s="318"/>
      <c r="E175" s="318"/>
      <c r="F175" s="318">
        <v>2780</v>
      </c>
      <c r="G175" s="318"/>
    </row>
    <row r="176" s="303" customFormat="1" ht="14.25" customHeight="1" spans="1:7">
      <c r="A176" s="318" t="s">
        <v>273</v>
      </c>
      <c r="B176" s="318" t="s">
        <v>2758</v>
      </c>
      <c r="C176" s="318"/>
      <c r="D176" s="318"/>
      <c r="E176" s="318"/>
      <c r="F176" s="318">
        <v>2780</v>
      </c>
      <c r="G176" s="318"/>
    </row>
    <row r="177" s="303" customFormat="1" ht="14.25" customHeight="1" spans="1:7">
      <c r="A177" s="318" t="s">
        <v>273</v>
      </c>
      <c r="B177" s="318" t="s">
        <v>2760</v>
      </c>
      <c r="C177" s="318"/>
      <c r="D177" s="318"/>
      <c r="E177" s="318"/>
      <c r="F177" s="318">
        <v>2780</v>
      </c>
      <c r="G177" s="318"/>
    </row>
    <row r="178" s="303" customFormat="1" ht="14.25" customHeight="1" spans="1:7">
      <c r="A178" s="318" t="s">
        <v>273</v>
      </c>
      <c r="B178" s="318" t="s">
        <v>2761</v>
      </c>
      <c r="C178" s="318"/>
      <c r="D178" s="318"/>
      <c r="E178" s="318"/>
      <c r="F178" s="318">
        <v>2060</v>
      </c>
      <c r="G178" s="318"/>
    </row>
    <row r="179" s="303" customFormat="1" ht="14.25" customHeight="1" spans="1:7">
      <c r="A179" s="318" t="s">
        <v>273</v>
      </c>
      <c r="B179" s="318" t="s">
        <v>2762</v>
      </c>
      <c r="C179" s="318"/>
      <c r="D179" s="318"/>
      <c r="E179" s="318"/>
      <c r="F179" s="318">
        <v>2120</v>
      </c>
      <c r="G179" s="318"/>
    </row>
    <row r="180" s="303" customFormat="1" ht="14.25" customHeight="1" spans="1:7">
      <c r="A180" s="318" t="s">
        <v>273</v>
      </c>
      <c r="B180" s="318" t="s">
        <v>2763</v>
      </c>
      <c r="C180" s="318"/>
      <c r="D180" s="318"/>
      <c r="E180" s="318"/>
      <c r="F180" s="318">
        <v>2340</v>
      </c>
      <c r="G180" s="318"/>
    </row>
    <row r="181" s="303" customFormat="1" ht="14.25" customHeight="1" spans="1:7">
      <c r="A181" s="318" t="s">
        <v>273</v>
      </c>
      <c r="B181" s="318" t="s">
        <v>2764</v>
      </c>
      <c r="C181" s="318"/>
      <c r="D181" s="318"/>
      <c r="E181" s="318"/>
      <c r="F181" s="318">
        <v>2340</v>
      </c>
      <c r="G181" s="318"/>
    </row>
    <row r="182" s="303" customFormat="1" ht="14.25" customHeight="1" spans="1:7">
      <c r="A182" s="318" t="s">
        <v>273</v>
      </c>
      <c r="B182" s="318" t="s">
        <v>2765</v>
      </c>
      <c r="C182" s="318"/>
      <c r="D182" s="318"/>
      <c r="E182" s="318"/>
      <c r="F182" s="318">
        <v>2340</v>
      </c>
      <c r="G182" s="318"/>
    </row>
    <row r="183" s="303" customFormat="1" ht="14.25" customHeight="1" spans="1:7">
      <c r="A183" s="318" t="s">
        <v>273</v>
      </c>
      <c r="B183" s="318" t="s">
        <v>2766</v>
      </c>
      <c r="C183" s="318"/>
      <c r="D183" s="318"/>
      <c r="E183" s="318"/>
      <c r="F183" s="318">
        <v>2340</v>
      </c>
      <c r="G183" s="318"/>
    </row>
    <row r="184" s="303" customFormat="1" ht="14.25" customHeight="1" spans="1:7">
      <c r="A184" s="318" t="s">
        <v>273</v>
      </c>
      <c r="B184" s="318" t="s">
        <v>2767</v>
      </c>
      <c r="C184" s="318"/>
      <c r="D184" s="318"/>
      <c r="E184" s="318"/>
      <c r="F184" s="318">
        <v>2340</v>
      </c>
      <c r="G184" s="318"/>
    </row>
    <row r="185" s="303" customFormat="1" ht="14.25" customHeight="1" spans="1:7">
      <c r="A185" s="318" t="s">
        <v>273</v>
      </c>
      <c r="B185" s="318" t="s">
        <v>2768</v>
      </c>
      <c r="C185" s="318"/>
      <c r="D185" s="318"/>
      <c r="E185" s="318"/>
      <c r="F185" s="318">
        <v>2530</v>
      </c>
      <c r="G185" s="318"/>
    </row>
    <row r="186" s="303" customFormat="1" ht="14.25" customHeight="1" spans="1:7">
      <c r="A186" s="318" t="s">
        <v>273</v>
      </c>
      <c r="B186" s="318" t="s">
        <v>2769</v>
      </c>
      <c r="C186" s="318"/>
      <c r="D186" s="318"/>
      <c r="E186" s="318"/>
      <c r="F186" s="318">
        <v>2550</v>
      </c>
      <c r="G186" s="318"/>
    </row>
    <row r="187" s="303" customFormat="1" ht="14.25" customHeight="1" spans="1:7">
      <c r="A187" s="318" t="s">
        <v>273</v>
      </c>
      <c r="B187" s="318" t="s">
        <v>2770</v>
      </c>
      <c r="C187" s="318"/>
      <c r="D187" s="318"/>
      <c r="E187" s="318"/>
      <c r="F187" s="318">
        <v>2070</v>
      </c>
      <c r="G187" s="318"/>
    </row>
    <row r="188" s="303" customFormat="1" ht="14.25" customHeight="1" spans="1:7">
      <c r="A188" s="318" t="s">
        <v>273</v>
      </c>
      <c r="B188" s="318" t="s">
        <v>2771</v>
      </c>
      <c r="C188" s="318"/>
      <c r="D188" s="318"/>
      <c r="E188" s="318"/>
      <c r="F188" s="318">
        <v>2340</v>
      </c>
      <c r="G188" s="318"/>
    </row>
    <row r="189" s="303" customFormat="1" ht="14.25" customHeight="1" spans="1:7">
      <c r="A189" s="320" t="s">
        <v>273</v>
      </c>
      <c r="B189" s="324" t="s">
        <v>2772</v>
      </c>
      <c r="C189" s="324"/>
      <c r="D189" s="324"/>
      <c r="E189" s="324"/>
      <c r="F189" s="324">
        <v>2050</v>
      </c>
      <c r="G189" s="324"/>
    </row>
    <row r="190" s="303" customFormat="1" ht="14.25" customHeight="1" spans="1:7">
      <c r="A190" s="316" t="s">
        <v>278</v>
      </c>
      <c r="B190" s="317" t="s">
        <v>2396</v>
      </c>
      <c r="C190" s="317">
        <v>8830</v>
      </c>
      <c r="D190" s="317">
        <v>8790</v>
      </c>
      <c r="E190" s="317">
        <v>11630</v>
      </c>
      <c r="F190" s="317">
        <v>1790</v>
      </c>
      <c r="G190" s="325">
        <v>5550</v>
      </c>
    </row>
    <row r="191" s="303" customFormat="1" ht="14.25" customHeight="1" spans="1:7">
      <c r="A191" s="318" t="s">
        <v>278</v>
      </c>
      <c r="B191" s="318" t="s">
        <v>2409</v>
      </c>
      <c r="C191" s="318">
        <v>9780</v>
      </c>
      <c r="D191" s="318">
        <v>9710</v>
      </c>
      <c r="E191" s="318">
        <v>12550</v>
      </c>
      <c r="F191" s="318">
        <v>1980</v>
      </c>
      <c r="G191" s="326">
        <v>6130</v>
      </c>
    </row>
    <row r="192" s="303" customFormat="1" ht="14.25" customHeight="1" spans="1:7">
      <c r="A192" s="318" t="s">
        <v>278</v>
      </c>
      <c r="B192" s="318" t="s">
        <v>2423</v>
      </c>
      <c r="C192" s="318">
        <v>8180</v>
      </c>
      <c r="D192" s="318">
        <v>8140</v>
      </c>
      <c r="E192" s="318">
        <v>10870</v>
      </c>
      <c r="F192" s="318">
        <v>1690</v>
      </c>
      <c r="G192" s="326">
        <v>5140</v>
      </c>
    </row>
    <row r="193" s="303" customFormat="1" ht="14.25" customHeight="1" spans="1:7">
      <c r="A193" s="318" t="s">
        <v>278</v>
      </c>
      <c r="B193" s="318" t="s">
        <v>2435</v>
      </c>
      <c r="C193" s="318">
        <v>8440</v>
      </c>
      <c r="D193" s="318">
        <v>8390</v>
      </c>
      <c r="E193" s="318">
        <v>11210</v>
      </c>
      <c r="F193" s="318">
        <v>1600</v>
      </c>
      <c r="G193" s="326">
        <v>5300</v>
      </c>
    </row>
    <row r="194" s="303" customFormat="1" ht="14.25" customHeight="1" spans="1:7">
      <c r="A194" s="318" t="s">
        <v>278</v>
      </c>
      <c r="B194" s="318" t="s">
        <v>2447</v>
      </c>
      <c r="C194" s="318">
        <v>8780</v>
      </c>
      <c r="D194" s="318">
        <v>8730</v>
      </c>
      <c r="E194" s="318">
        <v>11550</v>
      </c>
      <c r="F194" s="318">
        <v>1660</v>
      </c>
      <c r="G194" s="326">
        <v>5520</v>
      </c>
    </row>
    <row r="195" s="303" customFormat="1" ht="14.25" customHeight="1" spans="1:7">
      <c r="A195" s="318" t="s">
        <v>278</v>
      </c>
      <c r="B195" s="318" t="s">
        <v>2458</v>
      </c>
      <c r="C195" s="318">
        <v>8720</v>
      </c>
      <c r="D195" s="318">
        <v>8670</v>
      </c>
      <c r="E195" s="318">
        <v>11450</v>
      </c>
      <c r="F195" s="318">
        <v>1720</v>
      </c>
      <c r="G195" s="326">
        <v>5480</v>
      </c>
    </row>
    <row r="196" s="303" customFormat="1" ht="14.25" customHeight="1" spans="1:7">
      <c r="A196" s="318" t="s">
        <v>278</v>
      </c>
      <c r="B196" s="318" t="s">
        <v>2469</v>
      </c>
      <c r="C196" s="318">
        <v>8460</v>
      </c>
      <c r="D196" s="318">
        <v>8410</v>
      </c>
      <c r="E196" s="318">
        <v>11230</v>
      </c>
      <c r="F196" s="318">
        <v>1730</v>
      </c>
      <c r="G196" s="326">
        <v>5310</v>
      </c>
    </row>
    <row r="197" s="303" customFormat="1" ht="14.25" customHeight="1" spans="1:7">
      <c r="A197" s="318" t="s">
        <v>278</v>
      </c>
      <c r="B197" s="318" t="s">
        <v>2480</v>
      </c>
      <c r="C197" s="318">
        <v>8790</v>
      </c>
      <c r="D197" s="318">
        <v>8730</v>
      </c>
      <c r="E197" s="318">
        <v>11560</v>
      </c>
      <c r="F197" s="318">
        <v>1750</v>
      </c>
      <c r="G197" s="326">
        <v>5520</v>
      </c>
    </row>
    <row r="198" s="303" customFormat="1" ht="14.25" customHeight="1" spans="1:7">
      <c r="A198" s="318" t="s">
        <v>278</v>
      </c>
      <c r="B198" s="318" t="s">
        <v>2490</v>
      </c>
      <c r="C198" s="318">
        <v>8720</v>
      </c>
      <c r="D198" s="318">
        <v>8680</v>
      </c>
      <c r="E198" s="318">
        <v>11470</v>
      </c>
      <c r="F198" s="318"/>
      <c r="G198" s="326">
        <v>5480</v>
      </c>
    </row>
    <row r="199" s="303" customFormat="1" ht="14.25" customHeight="1" spans="1:7">
      <c r="A199" s="318" t="s">
        <v>278</v>
      </c>
      <c r="B199" s="318" t="s">
        <v>2500</v>
      </c>
      <c r="C199" s="318">
        <v>8690</v>
      </c>
      <c r="D199" s="318">
        <v>8630</v>
      </c>
      <c r="E199" s="318">
        <v>11350</v>
      </c>
      <c r="F199" s="318">
        <v>1600</v>
      </c>
      <c r="G199" s="326">
        <v>5450</v>
      </c>
    </row>
    <row r="200" s="303" customFormat="1" ht="14.25" customHeight="1" spans="1:7">
      <c r="A200" s="318" t="s">
        <v>278</v>
      </c>
      <c r="B200" s="318" t="s">
        <v>2510</v>
      </c>
      <c r="C200" s="318"/>
      <c r="D200" s="318"/>
      <c r="E200" s="318"/>
      <c r="F200" s="318">
        <v>1510</v>
      </c>
      <c r="G200" s="326"/>
    </row>
    <row r="201" s="303" customFormat="1" ht="14.25" customHeight="1" spans="1:7">
      <c r="A201" s="318" t="s">
        <v>278</v>
      </c>
      <c r="B201" s="318" t="s">
        <v>2520</v>
      </c>
      <c r="C201" s="318">
        <v>8440</v>
      </c>
      <c r="D201" s="318">
        <v>8390</v>
      </c>
      <c r="E201" s="318">
        <v>10930</v>
      </c>
      <c r="F201" s="318">
        <v>1500</v>
      </c>
      <c r="G201" s="326">
        <v>5300</v>
      </c>
    </row>
    <row r="202" s="303" customFormat="1" ht="14.25" customHeight="1" spans="1:7">
      <c r="A202" s="318" t="s">
        <v>278</v>
      </c>
      <c r="B202" s="318" t="s">
        <v>2530</v>
      </c>
      <c r="C202" s="318">
        <v>8530</v>
      </c>
      <c r="D202" s="318">
        <v>8490</v>
      </c>
      <c r="E202" s="318">
        <v>11160</v>
      </c>
      <c r="F202" s="318">
        <v>1580</v>
      </c>
      <c r="G202" s="326">
        <v>5360</v>
      </c>
    </row>
    <row r="203" s="303" customFormat="1" ht="14.25" customHeight="1" spans="1:7">
      <c r="A203" s="318" t="s">
        <v>278</v>
      </c>
      <c r="B203" s="318" t="s">
        <v>2540</v>
      </c>
      <c r="C203" s="318">
        <v>8130</v>
      </c>
      <c r="D203" s="318">
        <v>8070</v>
      </c>
      <c r="E203" s="318">
        <v>10820</v>
      </c>
      <c r="F203" s="318">
        <v>1690</v>
      </c>
      <c r="G203" s="326">
        <v>5100</v>
      </c>
    </row>
    <row r="204" s="303" customFormat="1" ht="14.25" customHeight="1" spans="1:7">
      <c r="A204" s="318" t="s">
        <v>278</v>
      </c>
      <c r="B204" s="318" t="s">
        <v>2550</v>
      </c>
      <c r="C204" s="318">
        <v>8350</v>
      </c>
      <c r="D204" s="318">
        <v>8290</v>
      </c>
      <c r="E204" s="318">
        <v>11080</v>
      </c>
      <c r="F204" s="318">
        <v>1450</v>
      </c>
      <c r="G204" s="326">
        <v>5240</v>
      </c>
    </row>
    <row r="205" s="303" customFormat="1" ht="14.25" customHeight="1" spans="1:7">
      <c r="A205" s="318" t="s">
        <v>278</v>
      </c>
      <c r="B205" s="318" t="s">
        <v>2560</v>
      </c>
      <c r="C205" s="318">
        <v>7190</v>
      </c>
      <c r="D205" s="318">
        <v>7130</v>
      </c>
      <c r="E205" s="318">
        <v>9490</v>
      </c>
      <c r="F205" s="318">
        <v>1470</v>
      </c>
      <c r="G205" s="326">
        <v>4510</v>
      </c>
    </row>
    <row r="206" s="303" customFormat="1" ht="14.25" customHeight="1" spans="1:7">
      <c r="A206" s="318" t="s">
        <v>278</v>
      </c>
      <c r="B206" s="318" t="s">
        <v>2570</v>
      </c>
      <c r="C206" s="318">
        <v>7000</v>
      </c>
      <c r="D206" s="318">
        <v>6950</v>
      </c>
      <c r="E206" s="318">
        <v>9170</v>
      </c>
      <c r="F206" s="318">
        <v>1400</v>
      </c>
      <c r="G206" s="326">
        <v>4380</v>
      </c>
    </row>
    <row r="207" s="303" customFormat="1" ht="14.25" customHeight="1" spans="1:7">
      <c r="A207" s="318" t="s">
        <v>278</v>
      </c>
      <c r="B207" s="318" t="s">
        <v>2580</v>
      </c>
      <c r="C207" s="318">
        <v>6950</v>
      </c>
      <c r="D207" s="318">
        <v>6900</v>
      </c>
      <c r="E207" s="318">
        <v>9110</v>
      </c>
      <c r="F207" s="318">
        <v>1790</v>
      </c>
      <c r="G207" s="326">
        <v>4360</v>
      </c>
    </row>
    <row r="208" s="303" customFormat="1" ht="14.25" customHeight="1" spans="1:7">
      <c r="A208" s="318" t="s">
        <v>278</v>
      </c>
      <c r="B208" s="318" t="s">
        <v>2590</v>
      </c>
      <c r="C208" s="318">
        <v>9470</v>
      </c>
      <c r="D208" s="318">
        <v>9410</v>
      </c>
      <c r="E208" s="318">
        <v>12330</v>
      </c>
      <c r="F208" s="318">
        <v>1770</v>
      </c>
      <c r="G208" s="326">
        <v>5940</v>
      </c>
    </row>
    <row r="209" s="303" customFormat="1" ht="14.25" customHeight="1" spans="1:7">
      <c r="A209" s="318" t="s">
        <v>278</v>
      </c>
      <c r="B209" s="318" t="s">
        <v>2600</v>
      </c>
      <c r="C209" s="318">
        <v>8740</v>
      </c>
      <c r="D209" s="318">
        <v>8700</v>
      </c>
      <c r="E209" s="318">
        <v>11500</v>
      </c>
      <c r="F209" s="318">
        <v>1730</v>
      </c>
      <c r="G209" s="326">
        <v>5490</v>
      </c>
    </row>
    <row r="210" s="303" customFormat="1" ht="14.25" customHeight="1" spans="1:7">
      <c r="A210" s="318" t="s">
        <v>278</v>
      </c>
      <c r="B210" s="318" t="s">
        <v>2609</v>
      </c>
      <c r="C210" s="318">
        <v>8710</v>
      </c>
      <c r="D210" s="318">
        <v>8660</v>
      </c>
      <c r="E210" s="318">
        <v>11440</v>
      </c>
      <c r="F210" s="318">
        <v>1740</v>
      </c>
      <c r="G210" s="326">
        <v>5470</v>
      </c>
    </row>
    <row r="211" s="303" customFormat="1" ht="14.25" customHeight="1" spans="1:7">
      <c r="A211" s="318" t="s">
        <v>278</v>
      </c>
      <c r="B211" s="318" t="s">
        <v>2617</v>
      </c>
      <c r="C211" s="318">
        <v>9480</v>
      </c>
      <c r="D211" s="318">
        <v>9430</v>
      </c>
      <c r="E211" s="318">
        <v>12360</v>
      </c>
      <c r="F211" s="318">
        <v>1820</v>
      </c>
      <c r="G211" s="326">
        <v>5950</v>
      </c>
    </row>
    <row r="212" s="303" customFormat="1" ht="14.25" customHeight="1" spans="1:7">
      <c r="A212" s="318" t="s">
        <v>278</v>
      </c>
      <c r="B212" s="318" t="s">
        <v>2625</v>
      </c>
      <c r="C212" s="318">
        <v>9070</v>
      </c>
      <c r="D212" s="318">
        <v>9020</v>
      </c>
      <c r="E212" s="318">
        <v>11720</v>
      </c>
      <c r="F212" s="318">
        <v>1850</v>
      </c>
      <c r="G212" s="326">
        <v>5700</v>
      </c>
    </row>
    <row r="213" s="303" customFormat="1" ht="14.25" customHeight="1" spans="1:7">
      <c r="A213" s="318" t="s">
        <v>278</v>
      </c>
      <c r="B213" s="318" t="s">
        <v>2633</v>
      </c>
      <c r="C213" s="318">
        <v>9030</v>
      </c>
      <c r="D213" s="318">
        <v>8980</v>
      </c>
      <c r="E213" s="318">
        <v>11670</v>
      </c>
      <c r="F213" s="318">
        <v>1690</v>
      </c>
      <c r="G213" s="326">
        <v>5670</v>
      </c>
    </row>
    <row r="214" s="303" customFormat="1" ht="14.25" customHeight="1" spans="1:7">
      <c r="A214" s="318" t="s">
        <v>278</v>
      </c>
      <c r="B214" s="318" t="s">
        <v>2641</v>
      </c>
      <c r="C214" s="318">
        <v>8090</v>
      </c>
      <c r="D214" s="318">
        <v>8030</v>
      </c>
      <c r="E214" s="318">
        <v>10780</v>
      </c>
      <c r="F214" s="318">
        <v>1570</v>
      </c>
      <c r="G214" s="326">
        <v>5070</v>
      </c>
    </row>
    <row r="215" s="303" customFormat="1" ht="14.25" customHeight="1" spans="1:7">
      <c r="A215" s="318" t="s">
        <v>278</v>
      </c>
      <c r="B215" s="318" t="s">
        <v>2648</v>
      </c>
      <c r="C215" s="318">
        <v>7950</v>
      </c>
      <c r="D215" s="318">
        <v>7900</v>
      </c>
      <c r="E215" s="318">
        <v>10560</v>
      </c>
      <c r="F215" s="318">
        <v>1630</v>
      </c>
      <c r="G215" s="326">
        <v>4990</v>
      </c>
    </row>
    <row r="216" s="303" customFormat="1" ht="14.25" customHeight="1" spans="1:7">
      <c r="A216" s="318" t="s">
        <v>278</v>
      </c>
      <c r="B216" s="318" t="s">
        <v>2655</v>
      </c>
      <c r="C216" s="318">
        <v>8490</v>
      </c>
      <c r="D216" s="318">
        <v>8440</v>
      </c>
      <c r="E216" s="318">
        <v>11260</v>
      </c>
      <c r="F216" s="318">
        <v>1690</v>
      </c>
      <c r="G216" s="326">
        <v>5330</v>
      </c>
    </row>
    <row r="217" s="303" customFormat="1" ht="14.25" customHeight="1" spans="1:7">
      <c r="A217" s="318" t="s">
        <v>278</v>
      </c>
      <c r="B217" s="318" t="s">
        <v>2662</v>
      </c>
      <c r="C217" s="318">
        <v>8200</v>
      </c>
      <c r="D217" s="318">
        <v>8150</v>
      </c>
      <c r="E217" s="318">
        <v>10910</v>
      </c>
      <c r="F217" s="318">
        <v>1670</v>
      </c>
      <c r="G217" s="326">
        <v>5150</v>
      </c>
    </row>
    <row r="218" s="303" customFormat="1" ht="14.25" customHeight="1" spans="1:7">
      <c r="A218" s="318" t="s">
        <v>278</v>
      </c>
      <c r="B218" s="318" t="s">
        <v>2669</v>
      </c>
      <c r="C218" s="318"/>
      <c r="D218" s="318"/>
      <c r="E218" s="318"/>
      <c r="F218" s="318">
        <v>2040</v>
      </c>
      <c r="G218" s="326"/>
    </row>
    <row r="219" s="303" customFormat="1" ht="14.25" customHeight="1" spans="1:7">
      <c r="A219" s="318" t="s">
        <v>278</v>
      </c>
      <c r="B219" s="318" t="s">
        <v>2676</v>
      </c>
      <c r="C219" s="318"/>
      <c r="D219" s="318"/>
      <c r="E219" s="318"/>
      <c r="F219" s="318">
        <v>2040</v>
      </c>
      <c r="G219" s="326"/>
    </row>
    <row r="220" s="303" customFormat="1" ht="14.25" customHeight="1" spans="1:7">
      <c r="A220" s="318" t="s">
        <v>278</v>
      </c>
      <c r="B220" s="318" t="s">
        <v>2683</v>
      </c>
      <c r="C220" s="318"/>
      <c r="D220" s="318"/>
      <c r="E220" s="318"/>
      <c r="F220" s="318">
        <v>2040</v>
      </c>
      <c r="G220" s="326"/>
    </row>
    <row r="221" s="303" customFormat="1" ht="14.25" customHeight="1" spans="1:7">
      <c r="A221" s="318" t="s">
        <v>278</v>
      </c>
      <c r="B221" s="318" t="s">
        <v>2690</v>
      </c>
      <c r="C221" s="318"/>
      <c r="D221" s="318"/>
      <c r="E221" s="318"/>
      <c r="F221" s="318">
        <v>2040</v>
      </c>
      <c r="G221" s="326"/>
    </row>
    <row r="222" s="303" customFormat="1" ht="14.25" customHeight="1" spans="1:7">
      <c r="A222" s="318" t="s">
        <v>278</v>
      </c>
      <c r="B222" s="318" t="s">
        <v>2695</v>
      </c>
      <c r="C222" s="318"/>
      <c r="D222" s="318"/>
      <c r="E222" s="318"/>
      <c r="F222" s="318">
        <v>2040</v>
      </c>
      <c r="G222" s="326"/>
    </row>
    <row r="223" s="303" customFormat="1" ht="14.25" customHeight="1" spans="1:7">
      <c r="A223" s="318" t="s">
        <v>278</v>
      </c>
      <c r="B223" s="318" t="s">
        <v>2700</v>
      </c>
      <c r="C223" s="318"/>
      <c r="D223" s="318"/>
      <c r="E223" s="318"/>
      <c r="F223" s="318">
        <v>1930</v>
      </c>
      <c r="G223" s="326"/>
    </row>
    <row r="224" s="303" customFormat="1" ht="14.25" customHeight="1" spans="1:7">
      <c r="A224" s="318" t="s">
        <v>278</v>
      </c>
      <c r="B224" s="318" t="s">
        <v>2705</v>
      </c>
      <c r="C224" s="318"/>
      <c r="D224" s="318"/>
      <c r="E224" s="318"/>
      <c r="F224" s="318">
        <v>1930</v>
      </c>
      <c r="G224" s="326"/>
    </row>
    <row r="225" s="303" customFormat="1" ht="14.25" customHeight="1" spans="1:7">
      <c r="A225" s="318" t="s">
        <v>278</v>
      </c>
      <c r="B225" s="318" t="s">
        <v>2710</v>
      </c>
      <c r="C225" s="318"/>
      <c r="D225" s="318"/>
      <c r="E225" s="318"/>
      <c r="F225" s="318">
        <v>1930</v>
      </c>
      <c r="G225" s="326"/>
    </row>
    <row r="226" s="303" customFormat="1" ht="14.25" customHeight="1" spans="1:7">
      <c r="A226" s="318" t="s">
        <v>278</v>
      </c>
      <c r="B226" s="318" t="s">
        <v>2715</v>
      </c>
      <c r="C226" s="318"/>
      <c r="D226" s="318"/>
      <c r="E226" s="318"/>
      <c r="F226" s="318">
        <v>1700</v>
      </c>
      <c r="G226" s="326"/>
    </row>
    <row r="227" s="303" customFormat="1" ht="14.25" customHeight="1" spans="1:7">
      <c r="A227" s="318" t="s">
        <v>278</v>
      </c>
      <c r="B227" s="318" t="s">
        <v>2720</v>
      </c>
      <c r="C227" s="318"/>
      <c r="D227" s="318"/>
      <c r="E227" s="318"/>
      <c r="F227" s="318">
        <v>1520</v>
      </c>
      <c r="G227" s="326"/>
    </row>
    <row r="228" s="303" customFormat="1" ht="14.25" customHeight="1" spans="1:7">
      <c r="A228" s="318" t="s">
        <v>278</v>
      </c>
      <c r="B228" s="318" t="s">
        <v>2725</v>
      </c>
      <c r="C228" s="318"/>
      <c r="D228" s="318"/>
      <c r="E228" s="318"/>
      <c r="F228" s="318">
        <v>1520</v>
      </c>
      <c r="G228" s="326"/>
    </row>
    <row r="229" s="303" customFormat="1" ht="14.25" customHeight="1" spans="1:7">
      <c r="A229" s="318" t="s">
        <v>278</v>
      </c>
      <c r="B229" s="318" t="s">
        <v>2730</v>
      </c>
      <c r="C229" s="318"/>
      <c r="D229" s="318"/>
      <c r="E229" s="318"/>
      <c r="F229" s="318">
        <v>1520</v>
      </c>
      <c r="G229" s="326"/>
    </row>
    <row r="230" s="303" customFormat="1" ht="14.25" customHeight="1" spans="1:7">
      <c r="A230" s="318" t="s">
        <v>278</v>
      </c>
      <c r="B230" s="318" t="s">
        <v>2734</v>
      </c>
      <c r="C230" s="318"/>
      <c r="D230" s="318"/>
      <c r="E230" s="318"/>
      <c r="F230" s="318">
        <v>1820</v>
      </c>
      <c r="G230" s="326"/>
    </row>
    <row r="231" s="303" customFormat="1" ht="14.25" customHeight="1" spans="1:7">
      <c r="A231" s="318" t="s">
        <v>278</v>
      </c>
      <c r="B231" s="318" t="s">
        <v>2738</v>
      </c>
      <c r="C231" s="318"/>
      <c r="D231" s="318"/>
      <c r="E231" s="318"/>
      <c r="F231" s="318">
        <v>1760</v>
      </c>
      <c r="G231" s="326"/>
    </row>
    <row r="232" s="303" customFormat="1" ht="14.25" customHeight="1" spans="1:7">
      <c r="A232" s="318" t="s">
        <v>278</v>
      </c>
      <c r="B232" s="318" t="s">
        <v>2742</v>
      </c>
      <c r="C232" s="318"/>
      <c r="D232" s="318"/>
      <c r="E232" s="318"/>
      <c r="F232" s="318">
        <v>1840</v>
      </c>
      <c r="G232" s="326"/>
    </row>
    <row r="233" s="303" customFormat="1" ht="14.25" customHeight="1" spans="1:7">
      <c r="A233" s="327" t="s">
        <v>278</v>
      </c>
      <c r="B233" s="322" t="s">
        <v>2746</v>
      </c>
      <c r="C233" s="322"/>
      <c r="D233" s="322"/>
      <c r="E233" s="322"/>
      <c r="F233" s="322">
        <v>1770</v>
      </c>
      <c r="G233" s="328"/>
    </row>
    <row r="234" s="303" customFormat="1" ht="14.25" customHeight="1" spans="1:7">
      <c r="A234" s="316" t="s">
        <v>284</v>
      </c>
      <c r="B234" s="317" t="s">
        <v>2397</v>
      </c>
      <c r="C234" s="318">
        <v>6980</v>
      </c>
      <c r="D234" s="318">
        <v>6970</v>
      </c>
      <c r="E234" s="318">
        <v>8720</v>
      </c>
      <c r="F234" s="318">
        <v>1350</v>
      </c>
      <c r="G234" s="318">
        <v>4280</v>
      </c>
    </row>
    <row r="235" s="303" customFormat="1" ht="14.25" customHeight="1" spans="1:7">
      <c r="A235" s="318" t="s">
        <v>284</v>
      </c>
      <c r="B235" s="318" t="s">
        <v>2410</v>
      </c>
      <c r="C235" s="318">
        <v>7620</v>
      </c>
      <c r="D235" s="318">
        <v>7580</v>
      </c>
      <c r="E235" s="318">
        <v>9360</v>
      </c>
      <c r="F235" s="318">
        <v>1490</v>
      </c>
      <c r="G235" s="318">
        <v>4650</v>
      </c>
    </row>
    <row r="236" s="303" customFormat="1" ht="14.25" customHeight="1" spans="1:7">
      <c r="A236" s="318" t="s">
        <v>284</v>
      </c>
      <c r="B236" s="318" t="s">
        <v>2424</v>
      </c>
      <c r="C236" s="318">
        <v>6650</v>
      </c>
      <c r="D236" s="318">
        <v>6630</v>
      </c>
      <c r="E236" s="318">
        <v>8330</v>
      </c>
      <c r="F236" s="318">
        <v>1250</v>
      </c>
      <c r="G236" s="318">
        <v>4070</v>
      </c>
    </row>
    <row r="237" s="303" customFormat="1" ht="14.25" customHeight="1" spans="1:7">
      <c r="A237" s="318" t="s">
        <v>284</v>
      </c>
      <c r="B237" s="318" t="s">
        <v>2436</v>
      </c>
      <c r="C237" s="318">
        <v>5850</v>
      </c>
      <c r="D237" s="318">
        <v>5820</v>
      </c>
      <c r="E237" s="318">
        <v>7260</v>
      </c>
      <c r="F237" s="318">
        <v>1140</v>
      </c>
      <c r="G237" s="318">
        <v>3570</v>
      </c>
    </row>
    <row r="238" s="303" customFormat="1" ht="14.25" customHeight="1" spans="1:7">
      <c r="A238" s="318" t="s">
        <v>284</v>
      </c>
      <c r="B238" s="318" t="s">
        <v>2448</v>
      </c>
      <c r="C238" s="318">
        <v>6920</v>
      </c>
      <c r="D238" s="318">
        <v>6890</v>
      </c>
      <c r="E238" s="318">
        <v>8640</v>
      </c>
      <c r="F238" s="318">
        <v>1310</v>
      </c>
      <c r="G238" s="318">
        <v>4230</v>
      </c>
    </row>
    <row r="239" s="303" customFormat="1" ht="14.25" customHeight="1" spans="1:7">
      <c r="A239" s="318" t="s">
        <v>284</v>
      </c>
      <c r="B239" s="318" t="s">
        <v>2459</v>
      </c>
      <c r="C239" s="318">
        <v>6780</v>
      </c>
      <c r="D239" s="318">
        <v>6750</v>
      </c>
      <c r="E239" s="318">
        <v>8440</v>
      </c>
      <c r="F239" s="318">
        <v>1160</v>
      </c>
      <c r="G239" s="318">
        <v>4140</v>
      </c>
    </row>
    <row r="240" s="303" customFormat="1" ht="14.25" customHeight="1" spans="1:7">
      <c r="A240" s="318" t="s">
        <v>284</v>
      </c>
      <c r="B240" s="318" t="s">
        <v>2470</v>
      </c>
      <c r="C240" s="318">
        <v>5420</v>
      </c>
      <c r="D240" s="318">
        <v>5380</v>
      </c>
      <c r="E240" s="318">
        <v>6640</v>
      </c>
      <c r="F240" s="318">
        <v>1020</v>
      </c>
      <c r="G240" s="318">
        <v>3300</v>
      </c>
    </row>
    <row r="241" s="303" customFormat="1" ht="14.25" customHeight="1" spans="1:7">
      <c r="A241" s="318" t="s">
        <v>284</v>
      </c>
      <c r="B241" s="318" t="s">
        <v>2481</v>
      </c>
      <c r="C241" s="318">
        <v>6660</v>
      </c>
      <c r="D241" s="318">
        <v>6640</v>
      </c>
      <c r="E241" s="318">
        <v>8340</v>
      </c>
      <c r="F241" s="318">
        <v>1130</v>
      </c>
      <c r="G241" s="318">
        <v>4080</v>
      </c>
    </row>
    <row r="242" s="303" customFormat="1" ht="14.25" customHeight="1" spans="1:7">
      <c r="A242" s="318" t="s">
        <v>284</v>
      </c>
      <c r="B242" s="318" t="s">
        <v>2491</v>
      </c>
      <c r="C242" s="318">
        <v>6580</v>
      </c>
      <c r="D242" s="318">
        <v>6550</v>
      </c>
      <c r="E242" s="318">
        <v>8090</v>
      </c>
      <c r="F242" s="318">
        <v>1240</v>
      </c>
      <c r="G242" s="318">
        <v>4020</v>
      </c>
    </row>
    <row r="243" s="303" customFormat="1" ht="14.25" customHeight="1" spans="1:7">
      <c r="A243" s="318" t="s">
        <v>284</v>
      </c>
      <c r="B243" s="318" t="s">
        <v>2501</v>
      </c>
      <c r="C243" s="318">
        <v>6000</v>
      </c>
      <c r="D243" s="318">
        <v>5970</v>
      </c>
      <c r="E243" s="318">
        <v>7370</v>
      </c>
      <c r="F243" s="318">
        <v>1070</v>
      </c>
      <c r="G243" s="318">
        <v>3670</v>
      </c>
    </row>
    <row r="244" s="303" customFormat="1" ht="14.25" customHeight="1" spans="1:7">
      <c r="A244" s="318" t="s">
        <v>284</v>
      </c>
      <c r="B244" s="318" t="s">
        <v>2511</v>
      </c>
      <c r="C244" s="318">
        <v>5840</v>
      </c>
      <c r="D244" s="318">
        <v>5810</v>
      </c>
      <c r="E244" s="318">
        <v>7240</v>
      </c>
      <c r="F244" s="318">
        <v>1100</v>
      </c>
      <c r="G244" s="318">
        <v>3560</v>
      </c>
    </row>
    <row r="245" s="303" customFormat="1" ht="14.25" customHeight="1" spans="1:7">
      <c r="A245" s="318" t="s">
        <v>284</v>
      </c>
      <c r="B245" s="318" t="s">
        <v>2521</v>
      </c>
      <c r="C245" s="318">
        <v>6040</v>
      </c>
      <c r="D245" s="318">
        <v>6000</v>
      </c>
      <c r="E245" s="318">
        <v>7420</v>
      </c>
      <c r="F245" s="318">
        <v>1140</v>
      </c>
      <c r="G245" s="318">
        <v>3690</v>
      </c>
    </row>
    <row r="246" s="303" customFormat="1" ht="14.25" customHeight="1" spans="1:7">
      <c r="A246" s="318" t="s">
        <v>284</v>
      </c>
      <c r="B246" s="318" t="s">
        <v>2531</v>
      </c>
      <c r="C246" s="318">
        <v>5890</v>
      </c>
      <c r="D246" s="318">
        <v>5860</v>
      </c>
      <c r="E246" s="318">
        <v>7300</v>
      </c>
      <c r="F246" s="318">
        <v>1110</v>
      </c>
      <c r="G246" s="318">
        <v>3590</v>
      </c>
    </row>
    <row r="247" s="303" customFormat="1" ht="14.25" customHeight="1" spans="1:7">
      <c r="A247" s="318" t="s">
        <v>284</v>
      </c>
      <c r="B247" s="318" t="s">
        <v>2541</v>
      </c>
      <c r="C247" s="318">
        <v>6480</v>
      </c>
      <c r="D247" s="318">
        <v>6450</v>
      </c>
      <c r="E247" s="318">
        <v>8010</v>
      </c>
      <c r="F247" s="318">
        <v>1170</v>
      </c>
      <c r="G247" s="318">
        <v>3960</v>
      </c>
    </row>
    <row r="248" s="303" customFormat="1" ht="14.25" customHeight="1" spans="1:7">
      <c r="A248" s="318" t="s">
        <v>284</v>
      </c>
      <c r="B248" s="318" t="s">
        <v>2551</v>
      </c>
      <c r="C248" s="318">
        <v>6860</v>
      </c>
      <c r="D248" s="318">
        <v>6840</v>
      </c>
      <c r="E248" s="318">
        <v>8520</v>
      </c>
      <c r="F248" s="318">
        <v>1240</v>
      </c>
      <c r="G248" s="318">
        <v>4200</v>
      </c>
    </row>
    <row r="249" s="303" customFormat="1" ht="14.25" customHeight="1" spans="1:7">
      <c r="A249" s="318" t="s">
        <v>284</v>
      </c>
      <c r="B249" s="318" t="s">
        <v>2561</v>
      </c>
      <c r="C249" s="318">
        <v>7180</v>
      </c>
      <c r="D249" s="318">
        <v>7140</v>
      </c>
      <c r="E249" s="318">
        <v>8900</v>
      </c>
      <c r="F249" s="318">
        <v>1350</v>
      </c>
      <c r="G249" s="318">
        <v>4380</v>
      </c>
    </row>
    <row r="250" s="303" customFormat="1" ht="14.25" customHeight="1" spans="1:7">
      <c r="A250" s="318" t="s">
        <v>284</v>
      </c>
      <c r="B250" s="318" t="s">
        <v>2571</v>
      </c>
      <c r="C250" s="318">
        <v>6880</v>
      </c>
      <c r="D250" s="318">
        <v>6860</v>
      </c>
      <c r="E250" s="318">
        <v>8550</v>
      </c>
      <c r="F250" s="318">
        <v>1220</v>
      </c>
      <c r="G250" s="318">
        <v>4210</v>
      </c>
    </row>
    <row r="251" s="303" customFormat="1" ht="14.25" customHeight="1" spans="1:7">
      <c r="A251" s="318" t="s">
        <v>284</v>
      </c>
      <c r="B251" s="318" t="s">
        <v>2581</v>
      </c>
      <c r="C251" s="318"/>
      <c r="D251" s="318"/>
      <c r="E251" s="318"/>
      <c r="F251" s="318">
        <v>1100</v>
      </c>
      <c r="G251" s="318"/>
    </row>
    <row r="252" s="303" customFormat="1" ht="14.25" customHeight="1" spans="1:7">
      <c r="A252" s="318" t="s">
        <v>284</v>
      </c>
      <c r="B252" s="318" t="s">
        <v>2591</v>
      </c>
      <c r="C252" s="318">
        <v>7240</v>
      </c>
      <c r="D252" s="318">
        <v>7200</v>
      </c>
      <c r="E252" s="318">
        <v>9040</v>
      </c>
      <c r="F252" s="318">
        <v>1380</v>
      </c>
      <c r="G252" s="318">
        <v>4420</v>
      </c>
    </row>
    <row r="253" s="303" customFormat="1" ht="14.25" customHeight="1" spans="1:7">
      <c r="A253" s="318" t="s">
        <v>284</v>
      </c>
      <c r="B253" s="318" t="s">
        <v>2601</v>
      </c>
      <c r="C253" s="318">
        <v>6670</v>
      </c>
      <c r="D253" s="318">
        <v>6650</v>
      </c>
      <c r="E253" s="318">
        <v>8350</v>
      </c>
      <c r="F253" s="318">
        <v>1260</v>
      </c>
      <c r="G253" s="318">
        <v>4080</v>
      </c>
    </row>
    <row r="254" s="303" customFormat="1" ht="14.25" customHeight="1" spans="1:7">
      <c r="A254" s="318" t="s">
        <v>284</v>
      </c>
      <c r="B254" s="318" t="s">
        <v>2610</v>
      </c>
      <c r="C254" s="318">
        <v>7630</v>
      </c>
      <c r="D254" s="318">
        <v>7590</v>
      </c>
      <c r="E254" s="318">
        <v>9380</v>
      </c>
      <c r="F254" s="318">
        <v>1320</v>
      </c>
      <c r="G254" s="318">
        <v>4660</v>
      </c>
    </row>
    <row r="255" s="303" customFormat="1" ht="14.25" customHeight="1" spans="1:7">
      <c r="A255" s="318" t="s">
        <v>284</v>
      </c>
      <c r="B255" s="318" t="s">
        <v>2618</v>
      </c>
      <c r="C255" s="318">
        <v>6940</v>
      </c>
      <c r="D255" s="318">
        <v>6890</v>
      </c>
      <c r="E255" s="318">
        <v>8650</v>
      </c>
      <c r="F255" s="318">
        <v>1210</v>
      </c>
      <c r="G255" s="318">
        <v>4230</v>
      </c>
    </row>
    <row r="256" s="303" customFormat="1" ht="14.25" customHeight="1" spans="1:7">
      <c r="A256" s="318" t="s">
        <v>284</v>
      </c>
      <c r="B256" s="318" t="s">
        <v>2626</v>
      </c>
      <c r="C256" s="318">
        <v>7520</v>
      </c>
      <c r="D256" s="318">
        <v>7490</v>
      </c>
      <c r="E256" s="318">
        <v>9240</v>
      </c>
      <c r="F256" s="318">
        <v>1270</v>
      </c>
      <c r="G256" s="318">
        <v>4590</v>
      </c>
    </row>
    <row r="257" s="303" customFormat="1" ht="14.25" customHeight="1" spans="1:7">
      <c r="A257" s="318" t="s">
        <v>284</v>
      </c>
      <c r="B257" s="318" t="s">
        <v>2634</v>
      </c>
      <c r="C257" s="318">
        <v>6280</v>
      </c>
      <c r="D257" s="318">
        <v>6230</v>
      </c>
      <c r="E257" s="318">
        <v>7740</v>
      </c>
      <c r="F257" s="318">
        <v>1080</v>
      </c>
      <c r="G257" s="318">
        <v>3830</v>
      </c>
    </row>
    <row r="258" s="303" customFormat="1" ht="14.25" customHeight="1" spans="1:7">
      <c r="A258" s="318" t="s">
        <v>284</v>
      </c>
      <c r="B258" s="318" t="s">
        <v>2642</v>
      </c>
      <c r="C258" s="318">
        <v>6190</v>
      </c>
      <c r="D258" s="318">
        <v>6160</v>
      </c>
      <c r="E258" s="318">
        <v>7680</v>
      </c>
      <c r="F258" s="318">
        <v>1170</v>
      </c>
      <c r="G258" s="318">
        <v>3780</v>
      </c>
    </row>
    <row r="259" s="303" customFormat="1" ht="14.25" customHeight="1" spans="1:7">
      <c r="A259" s="318" t="s">
        <v>284</v>
      </c>
      <c r="B259" s="318" t="s">
        <v>2649</v>
      </c>
      <c r="C259" s="318">
        <v>7610</v>
      </c>
      <c r="D259" s="318">
        <v>7570</v>
      </c>
      <c r="E259" s="318">
        <v>9350</v>
      </c>
      <c r="F259" s="318">
        <v>1350</v>
      </c>
      <c r="G259" s="318">
        <v>4650</v>
      </c>
    </row>
    <row r="260" s="303" customFormat="1" ht="14.25" customHeight="1" spans="1:7">
      <c r="A260" s="318" t="s">
        <v>284</v>
      </c>
      <c r="B260" s="318" t="s">
        <v>2656</v>
      </c>
      <c r="C260" s="318">
        <v>6920</v>
      </c>
      <c r="D260" s="318">
        <v>6880</v>
      </c>
      <c r="E260" s="318">
        <v>8380</v>
      </c>
      <c r="F260" s="318">
        <v>1160</v>
      </c>
      <c r="G260" s="318">
        <v>4220</v>
      </c>
    </row>
    <row r="261" s="303" customFormat="1" ht="14.25" customHeight="1" spans="1:7">
      <c r="A261" s="318" t="s">
        <v>284</v>
      </c>
      <c r="B261" s="318" t="s">
        <v>2663</v>
      </c>
      <c r="C261" s="318">
        <v>6850</v>
      </c>
      <c r="D261" s="318">
        <v>6810</v>
      </c>
      <c r="E261" s="318">
        <v>8290</v>
      </c>
      <c r="F261" s="318">
        <v>1130</v>
      </c>
      <c r="G261" s="318">
        <v>4180</v>
      </c>
    </row>
    <row r="262" s="303" customFormat="1" ht="14.25" customHeight="1" spans="1:7">
      <c r="A262" s="318" t="s">
        <v>284</v>
      </c>
      <c r="B262" s="318" t="s">
        <v>2670</v>
      </c>
      <c r="C262" s="318">
        <v>5860</v>
      </c>
      <c r="D262" s="318">
        <v>5820</v>
      </c>
      <c r="E262" s="318">
        <v>7640</v>
      </c>
      <c r="F262" s="318">
        <v>1070</v>
      </c>
      <c r="G262" s="318">
        <v>3570</v>
      </c>
    </row>
    <row r="263" s="303" customFormat="1" ht="14.25" customHeight="1" spans="1:7">
      <c r="A263" s="318" t="s">
        <v>284</v>
      </c>
      <c r="B263" s="318" t="s">
        <v>2677</v>
      </c>
      <c r="C263" s="318">
        <v>5870</v>
      </c>
      <c r="D263" s="318">
        <v>5840</v>
      </c>
      <c r="E263" s="318">
        <v>7270</v>
      </c>
      <c r="F263" s="318">
        <v>1190</v>
      </c>
      <c r="G263" s="318">
        <v>3580</v>
      </c>
    </row>
    <row r="264" s="303" customFormat="1" ht="14.25" customHeight="1" spans="1:7">
      <c r="A264" s="318" t="s">
        <v>284</v>
      </c>
      <c r="B264" s="318" t="s">
        <v>2684</v>
      </c>
      <c r="C264" s="318">
        <v>6190</v>
      </c>
      <c r="D264" s="318">
        <v>6150</v>
      </c>
      <c r="E264" s="318">
        <v>7660</v>
      </c>
      <c r="F264" s="318">
        <v>1160</v>
      </c>
      <c r="G264" s="318">
        <v>3770</v>
      </c>
    </row>
    <row r="265" s="303" customFormat="1" ht="14.25" customHeight="1" spans="1:7">
      <c r="A265" s="318" t="s">
        <v>284</v>
      </c>
      <c r="B265" s="318" t="s">
        <v>2691</v>
      </c>
      <c r="C265" s="318"/>
      <c r="D265" s="318"/>
      <c r="E265" s="318"/>
      <c r="F265" s="318">
        <v>1500</v>
      </c>
      <c r="G265" s="318"/>
    </row>
    <row r="266" s="303" customFormat="1" ht="14.25" customHeight="1" spans="1:7">
      <c r="A266" s="318" t="s">
        <v>284</v>
      </c>
      <c r="B266" s="318" t="s">
        <v>2696</v>
      </c>
      <c r="C266" s="318"/>
      <c r="D266" s="318"/>
      <c r="E266" s="318"/>
      <c r="F266" s="318">
        <v>1500</v>
      </c>
      <c r="G266" s="318"/>
    </row>
    <row r="267" s="303" customFormat="1" ht="14.25" customHeight="1" spans="1:7">
      <c r="A267" s="318" t="s">
        <v>284</v>
      </c>
      <c r="B267" s="318" t="s">
        <v>2701</v>
      </c>
      <c r="C267" s="318"/>
      <c r="D267" s="318"/>
      <c r="E267" s="318"/>
      <c r="F267" s="318">
        <v>1500</v>
      </c>
      <c r="G267" s="318"/>
    </row>
    <row r="268" s="303" customFormat="1" ht="14.25" customHeight="1" spans="1:7">
      <c r="A268" s="318" t="s">
        <v>284</v>
      </c>
      <c r="B268" s="318" t="s">
        <v>2706</v>
      </c>
      <c r="C268" s="318"/>
      <c r="D268" s="318"/>
      <c r="E268" s="318"/>
      <c r="F268" s="318">
        <v>1290</v>
      </c>
      <c r="G268" s="318"/>
    </row>
    <row r="269" s="303" customFormat="1" ht="14.25" customHeight="1" spans="1:7">
      <c r="A269" s="318" t="s">
        <v>284</v>
      </c>
      <c r="B269" s="318" t="s">
        <v>2711</v>
      </c>
      <c r="C269" s="318"/>
      <c r="D269" s="318"/>
      <c r="E269" s="318"/>
      <c r="F269" s="318">
        <v>1150</v>
      </c>
      <c r="G269" s="318"/>
    </row>
    <row r="270" s="303" customFormat="1" ht="14.25" customHeight="1" spans="1:7">
      <c r="A270" s="318" t="s">
        <v>284</v>
      </c>
      <c r="B270" s="318" t="s">
        <v>2716</v>
      </c>
      <c r="C270" s="318"/>
      <c r="D270" s="318"/>
      <c r="E270" s="318"/>
      <c r="F270" s="318">
        <v>1380</v>
      </c>
      <c r="G270" s="318"/>
    </row>
    <row r="271" s="303" customFormat="1" ht="14.25" customHeight="1" spans="1:7">
      <c r="A271" s="318" t="s">
        <v>284</v>
      </c>
      <c r="B271" s="318" t="s">
        <v>2721</v>
      </c>
      <c r="C271" s="318"/>
      <c r="D271" s="318"/>
      <c r="E271" s="318"/>
      <c r="F271" s="318">
        <v>1460</v>
      </c>
      <c r="G271" s="318"/>
    </row>
    <row r="272" s="303" customFormat="1" ht="14.25" customHeight="1" spans="1:7">
      <c r="A272" s="318" t="s">
        <v>284</v>
      </c>
      <c r="B272" s="318" t="s">
        <v>2726</v>
      </c>
      <c r="C272" s="318"/>
      <c r="D272" s="318"/>
      <c r="E272" s="318"/>
      <c r="F272" s="318">
        <v>1460</v>
      </c>
      <c r="G272" s="318"/>
    </row>
    <row r="273" s="303" customFormat="1" ht="14.25" customHeight="1" spans="1:7">
      <c r="A273" s="318" t="s">
        <v>284</v>
      </c>
      <c r="B273" s="318" t="s">
        <v>2731</v>
      </c>
      <c r="C273" s="318"/>
      <c r="D273" s="318"/>
      <c r="E273" s="318"/>
      <c r="F273" s="318">
        <v>1490</v>
      </c>
      <c r="G273" s="318"/>
    </row>
    <row r="274" s="303" customFormat="1" ht="14.25" customHeight="1" spans="1:7">
      <c r="A274" s="318" t="s">
        <v>284</v>
      </c>
      <c r="B274" s="318" t="s">
        <v>2735</v>
      </c>
      <c r="C274" s="318"/>
      <c r="D274" s="318"/>
      <c r="E274" s="318"/>
      <c r="F274" s="318">
        <v>1490</v>
      </c>
      <c r="G274" s="318"/>
    </row>
    <row r="275" s="303" customFormat="1" ht="14.25" customHeight="1" spans="1:7">
      <c r="A275" s="318" t="s">
        <v>284</v>
      </c>
      <c r="B275" s="318" t="s">
        <v>2739</v>
      </c>
      <c r="C275" s="318"/>
      <c r="D275" s="318"/>
      <c r="E275" s="318"/>
      <c r="F275" s="318">
        <v>1220</v>
      </c>
      <c r="G275" s="318"/>
    </row>
    <row r="276" s="303" customFormat="1" ht="14.25" customHeight="1" spans="1:7">
      <c r="A276" s="320" t="s">
        <v>284</v>
      </c>
      <c r="B276" s="323" t="s">
        <v>2743</v>
      </c>
      <c r="C276" s="324"/>
      <c r="D276" s="324"/>
      <c r="E276" s="324"/>
      <c r="F276" s="324">
        <v>1380</v>
      </c>
      <c r="G276" s="324"/>
    </row>
    <row r="277" s="303" customFormat="1" ht="14.25" customHeight="1" spans="1:7">
      <c r="A277" s="316" t="s">
        <v>288</v>
      </c>
      <c r="B277" s="317" t="s">
        <v>2398</v>
      </c>
      <c r="C277" s="317">
        <v>5790</v>
      </c>
      <c r="D277" s="317">
        <v>5740</v>
      </c>
      <c r="E277" s="317">
        <v>6730</v>
      </c>
      <c r="F277" s="317">
        <v>1110</v>
      </c>
      <c r="G277" s="325">
        <v>3460</v>
      </c>
    </row>
    <row r="278" s="303" customFormat="1" ht="14.25" customHeight="1" spans="1:7">
      <c r="A278" s="318" t="s">
        <v>288</v>
      </c>
      <c r="B278" s="318" t="s">
        <v>2411</v>
      </c>
      <c r="C278" s="318">
        <v>5740</v>
      </c>
      <c r="D278" s="318">
        <v>5670</v>
      </c>
      <c r="E278" s="318">
        <v>6680</v>
      </c>
      <c r="F278" s="318">
        <v>1070</v>
      </c>
      <c r="G278" s="326">
        <v>3420</v>
      </c>
    </row>
    <row r="279" s="303" customFormat="1" ht="14.25" customHeight="1" spans="1:7">
      <c r="A279" s="318" t="s">
        <v>288</v>
      </c>
      <c r="B279" s="318" t="s">
        <v>2425</v>
      </c>
      <c r="C279" s="318">
        <v>4760</v>
      </c>
      <c r="D279" s="318">
        <v>4720</v>
      </c>
      <c r="E279" s="318">
        <v>5540</v>
      </c>
      <c r="F279" s="318">
        <v>810</v>
      </c>
      <c r="G279" s="326">
        <v>2850</v>
      </c>
    </row>
    <row r="280" s="303" customFormat="1" ht="14.25" customHeight="1" spans="1:7">
      <c r="A280" s="318" t="s">
        <v>288</v>
      </c>
      <c r="B280" s="318" t="s">
        <v>2437</v>
      </c>
      <c r="C280" s="318">
        <v>4010</v>
      </c>
      <c r="D280" s="318">
        <v>3950</v>
      </c>
      <c r="E280" s="318">
        <v>4710</v>
      </c>
      <c r="F280" s="318">
        <v>800</v>
      </c>
      <c r="G280" s="326">
        <v>2390</v>
      </c>
    </row>
    <row r="281" s="303" customFormat="1" ht="14.25" customHeight="1" spans="1:7">
      <c r="A281" s="318" t="s">
        <v>288</v>
      </c>
      <c r="B281" s="318" t="s">
        <v>2449</v>
      </c>
      <c r="C281" s="318">
        <v>4480</v>
      </c>
      <c r="D281" s="318">
        <v>4420</v>
      </c>
      <c r="E281" s="318">
        <v>5230</v>
      </c>
      <c r="F281" s="318">
        <v>870</v>
      </c>
      <c r="G281" s="326">
        <v>2660</v>
      </c>
    </row>
    <row r="282" s="303" customFormat="1" ht="14.25" customHeight="1" spans="1:7">
      <c r="A282" s="318" t="s">
        <v>288</v>
      </c>
      <c r="B282" s="318" t="s">
        <v>2460</v>
      </c>
      <c r="C282" s="318">
        <v>5360</v>
      </c>
      <c r="D282" s="318">
        <v>5300</v>
      </c>
      <c r="E282" s="318">
        <v>6190</v>
      </c>
      <c r="F282" s="318">
        <v>950</v>
      </c>
      <c r="G282" s="326">
        <v>3190</v>
      </c>
    </row>
    <row r="283" s="303" customFormat="1" ht="14.25" customHeight="1" spans="1:7">
      <c r="A283" s="318" t="s">
        <v>288</v>
      </c>
      <c r="B283" s="318" t="s">
        <v>2471</v>
      </c>
      <c r="C283" s="318">
        <v>4950</v>
      </c>
      <c r="D283" s="318">
        <v>4900</v>
      </c>
      <c r="E283" s="318">
        <v>5720</v>
      </c>
      <c r="F283" s="318">
        <v>920</v>
      </c>
      <c r="G283" s="326">
        <v>2950</v>
      </c>
    </row>
    <row r="284" s="303" customFormat="1" ht="14.25" customHeight="1" spans="1:7">
      <c r="A284" s="318" t="s">
        <v>288</v>
      </c>
      <c r="B284" s="318" t="s">
        <v>2482</v>
      </c>
      <c r="C284" s="318">
        <v>5610</v>
      </c>
      <c r="D284" s="318">
        <v>5560</v>
      </c>
      <c r="E284" s="318">
        <v>6520</v>
      </c>
      <c r="F284" s="318">
        <v>1030</v>
      </c>
      <c r="G284" s="326">
        <v>3360</v>
      </c>
    </row>
    <row r="285" s="303" customFormat="1" ht="14.25" customHeight="1" spans="1:7">
      <c r="A285" s="318" t="s">
        <v>288</v>
      </c>
      <c r="B285" s="318" t="s">
        <v>2492</v>
      </c>
      <c r="C285" s="318">
        <v>5340</v>
      </c>
      <c r="D285" s="318">
        <v>5290</v>
      </c>
      <c r="E285" s="318">
        <v>6170</v>
      </c>
      <c r="F285" s="318">
        <v>1080</v>
      </c>
      <c r="G285" s="326">
        <v>3180</v>
      </c>
    </row>
    <row r="286" s="303" customFormat="1" ht="14.25" customHeight="1" spans="1:7">
      <c r="A286" s="318" t="s">
        <v>288</v>
      </c>
      <c r="B286" s="318" t="s">
        <v>2502</v>
      </c>
      <c r="C286" s="318">
        <v>4890</v>
      </c>
      <c r="D286" s="318">
        <v>4840</v>
      </c>
      <c r="E286" s="318">
        <v>5640</v>
      </c>
      <c r="F286" s="318">
        <v>960</v>
      </c>
      <c r="G286" s="326">
        <v>2910</v>
      </c>
    </row>
    <row r="287" s="303" customFormat="1" ht="14.25" customHeight="1" spans="1:7">
      <c r="A287" s="318" t="s">
        <v>288</v>
      </c>
      <c r="B287" s="318" t="s">
        <v>2512</v>
      </c>
      <c r="C287" s="318">
        <v>4960</v>
      </c>
      <c r="D287" s="318">
        <v>4920</v>
      </c>
      <c r="E287" s="318">
        <v>5730</v>
      </c>
      <c r="F287" s="318">
        <v>930</v>
      </c>
      <c r="G287" s="326">
        <v>2960</v>
      </c>
    </row>
    <row r="288" s="303" customFormat="1" ht="14.25" customHeight="1" spans="1:7">
      <c r="A288" s="318" t="s">
        <v>288</v>
      </c>
      <c r="B288" s="318" t="s">
        <v>2522</v>
      </c>
      <c r="C288" s="318">
        <v>4350</v>
      </c>
      <c r="D288" s="318">
        <v>4300</v>
      </c>
      <c r="E288" s="318">
        <v>4900</v>
      </c>
      <c r="F288" s="318">
        <v>820</v>
      </c>
      <c r="G288" s="326">
        <v>2590</v>
      </c>
    </row>
    <row r="289" s="303" customFormat="1" ht="14.25" customHeight="1" spans="1:7">
      <c r="A289" s="318" t="s">
        <v>288</v>
      </c>
      <c r="B289" s="318" t="s">
        <v>2532</v>
      </c>
      <c r="C289" s="318">
        <v>5230</v>
      </c>
      <c r="D289" s="318">
        <v>5170</v>
      </c>
      <c r="E289" s="318">
        <v>6060</v>
      </c>
      <c r="F289" s="318">
        <v>900</v>
      </c>
      <c r="G289" s="326">
        <v>3120</v>
      </c>
    </row>
    <row r="290" s="303" customFormat="1" ht="14.25" customHeight="1" spans="1:7">
      <c r="A290" s="318" t="s">
        <v>288</v>
      </c>
      <c r="B290" s="318" t="s">
        <v>2542</v>
      </c>
      <c r="C290" s="318">
        <v>5550</v>
      </c>
      <c r="D290" s="318">
        <v>5500</v>
      </c>
      <c r="E290" s="318">
        <v>6440</v>
      </c>
      <c r="F290" s="318">
        <v>960</v>
      </c>
      <c r="G290" s="326">
        <v>3320</v>
      </c>
    </row>
    <row r="291" s="303" customFormat="1" ht="14.25" customHeight="1" spans="1:7">
      <c r="A291" s="318" t="s">
        <v>288</v>
      </c>
      <c r="B291" s="318" t="s">
        <v>2552</v>
      </c>
      <c r="C291" s="318">
        <v>5440</v>
      </c>
      <c r="D291" s="318">
        <v>5400</v>
      </c>
      <c r="E291" s="318">
        <v>6320</v>
      </c>
      <c r="F291" s="318">
        <v>930</v>
      </c>
      <c r="G291" s="326">
        <v>3250</v>
      </c>
    </row>
    <row r="292" s="303" customFormat="1" ht="14.25" customHeight="1" spans="1:7">
      <c r="A292" s="318" t="s">
        <v>288</v>
      </c>
      <c r="B292" s="318" t="s">
        <v>2562</v>
      </c>
      <c r="C292" s="318">
        <v>5400</v>
      </c>
      <c r="D292" s="318">
        <v>5360</v>
      </c>
      <c r="E292" s="318">
        <v>6270</v>
      </c>
      <c r="F292" s="318">
        <v>1040</v>
      </c>
      <c r="G292" s="326">
        <v>3230</v>
      </c>
    </row>
    <row r="293" s="303" customFormat="1" ht="14.25" customHeight="1" spans="1:7">
      <c r="A293" s="318" t="s">
        <v>288</v>
      </c>
      <c r="B293" s="318" t="s">
        <v>2572</v>
      </c>
      <c r="C293" s="318">
        <v>5320</v>
      </c>
      <c r="D293" s="318">
        <v>5270</v>
      </c>
      <c r="E293" s="318">
        <v>6160</v>
      </c>
      <c r="F293" s="318">
        <v>990</v>
      </c>
      <c r="G293" s="326">
        <v>3170</v>
      </c>
    </row>
    <row r="294" s="303" customFormat="1" ht="14.25" customHeight="1" spans="1:7">
      <c r="A294" s="318" t="s">
        <v>288</v>
      </c>
      <c r="B294" s="318" t="s">
        <v>2582</v>
      </c>
      <c r="C294" s="318">
        <v>5260</v>
      </c>
      <c r="D294" s="318">
        <v>5210</v>
      </c>
      <c r="E294" s="318">
        <v>6100</v>
      </c>
      <c r="F294" s="318">
        <v>950</v>
      </c>
      <c r="G294" s="326">
        <v>3150</v>
      </c>
    </row>
    <row r="295" s="303" customFormat="1" ht="14.25" customHeight="1" spans="1:7">
      <c r="A295" s="318" t="s">
        <v>288</v>
      </c>
      <c r="B295" s="318" t="s">
        <v>2592</v>
      </c>
      <c r="C295" s="318">
        <v>5610</v>
      </c>
      <c r="D295" s="318">
        <v>5570</v>
      </c>
      <c r="E295" s="318">
        <v>6530</v>
      </c>
      <c r="F295" s="318">
        <v>960</v>
      </c>
      <c r="G295" s="326">
        <v>3360</v>
      </c>
    </row>
    <row r="296" s="303" customFormat="1" ht="14.25" customHeight="1" spans="1:7">
      <c r="A296" s="318" t="s">
        <v>288</v>
      </c>
      <c r="B296" s="318" t="s">
        <v>2602</v>
      </c>
      <c r="C296" s="318">
        <v>5540</v>
      </c>
      <c r="D296" s="318">
        <v>5490</v>
      </c>
      <c r="E296" s="318">
        <v>6430</v>
      </c>
      <c r="F296" s="318">
        <v>980</v>
      </c>
      <c r="G296" s="326">
        <v>3310</v>
      </c>
    </row>
    <row r="297" s="303" customFormat="1" ht="14.25" customHeight="1" spans="1:7">
      <c r="A297" s="318" t="s">
        <v>288</v>
      </c>
      <c r="B297" s="318" t="s">
        <v>2611</v>
      </c>
      <c r="C297" s="318">
        <v>5480</v>
      </c>
      <c r="D297" s="318">
        <v>5420</v>
      </c>
      <c r="E297" s="318">
        <v>6370</v>
      </c>
      <c r="F297" s="318">
        <v>990</v>
      </c>
      <c r="G297" s="326">
        <v>3270</v>
      </c>
    </row>
    <row r="298" s="303" customFormat="1" ht="14.25" customHeight="1" spans="1:7">
      <c r="A298" s="318" t="s">
        <v>288</v>
      </c>
      <c r="B298" s="318" t="s">
        <v>2619</v>
      </c>
      <c r="C298" s="318">
        <v>5090</v>
      </c>
      <c r="D298" s="318">
        <v>5050</v>
      </c>
      <c r="E298" s="318">
        <v>5910</v>
      </c>
      <c r="F298" s="318">
        <v>900</v>
      </c>
      <c r="G298" s="326">
        <v>3040</v>
      </c>
    </row>
    <row r="299" s="303" customFormat="1" ht="14.25" customHeight="1" spans="1:7">
      <c r="A299" s="318" t="s">
        <v>288</v>
      </c>
      <c r="B299" s="332" t="s">
        <v>2627</v>
      </c>
      <c r="C299" s="318">
        <v>5430</v>
      </c>
      <c r="D299" s="318">
        <v>5380</v>
      </c>
      <c r="E299" s="318">
        <v>6280</v>
      </c>
      <c r="F299" s="318">
        <v>1000</v>
      </c>
      <c r="G299" s="326">
        <v>3240</v>
      </c>
    </row>
    <row r="300" s="303" customFormat="1" ht="14.25" customHeight="1" spans="1:7">
      <c r="A300" s="318" t="s">
        <v>288</v>
      </c>
      <c r="B300" s="332" t="s">
        <v>2635</v>
      </c>
      <c r="C300" s="318">
        <v>4740</v>
      </c>
      <c r="D300" s="318">
        <v>4680</v>
      </c>
      <c r="E300" s="318">
        <v>5450</v>
      </c>
      <c r="F300" s="318">
        <v>900</v>
      </c>
      <c r="G300" s="326">
        <v>2830</v>
      </c>
    </row>
    <row r="301" s="303" customFormat="1" ht="14.25" customHeight="1" spans="1:7">
      <c r="A301" s="318" t="s">
        <v>288</v>
      </c>
      <c r="B301" s="332" t="s">
        <v>2643</v>
      </c>
      <c r="C301" s="318">
        <v>4870</v>
      </c>
      <c r="D301" s="318">
        <v>4810</v>
      </c>
      <c r="E301" s="318">
        <v>5560</v>
      </c>
      <c r="F301" s="318">
        <v>990</v>
      </c>
      <c r="G301" s="326">
        <v>2910</v>
      </c>
    </row>
    <row r="302" s="303" customFormat="1" ht="14.25" customHeight="1" spans="1:7">
      <c r="A302" s="318" t="s">
        <v>288</v>
      </c>
      <c r="B302" s="318" t="s">
        <v>2650</v>
      </c>
      <c r="C302" s="318">
        <v>5520</v>
      </c>
      <c r="D302" s="318">
        <v>5470</v>
      </c>
      <c r="E302" s="318">
        <v>6410</v>
      </c>
      <c r="F302" s="318">
        <v>950</v>
      </c>
      <c r="G302" s="326">
        <v>3300</v>
      </c>
    </row>
    <row r="303" s="303" customFormat="1" ht="14.25" customHeight="1" spans="1:7">
      <c r="A303" s="318" t="s">
        <v>288</v>
      </c>
      <c r="B303" s="318" t="s">
        <v>2657</v>
      </c>
      <c r="C303" s="318">
        <v>5630</v>
      </c>
      <c r="D303" s="318">
        <v>5590</v>
      </c>
      <c r="E303" s="318">
        <v>6550</v>
      </c>
      <c r="F303" s="318">
        <v>1010</v>
      </c>
      <c r="G303" s="326">
        <v>3370</v>
      </c>
    </row>
    <row r="304" s="303" customFormat="1" ht="14.25" customHeight="1" spans="1:7">
      <c r="A304" s="318" t="s">
        <v>288</v>
      </c>
      <c r="B304" s="318" t="s">
        <v>2664</v>
      </c>
      <c r="C304" s="318">
        <v>5680</v>
      </c>
      <c r="D304" s="318">
        <v>5620</v>
      </c>
      <c r="E304" s="318">
        <v>6620</v>
      </c>
      <c r="F304" s="318">
        <v>1050</v>
      </c>
      <c r="G304" s="326">
        <v>3390</v>
      </c>
    </row>
    <row r="305" s="303" customFormat="1" ht="14.25" customHeight="1" spans="1:7">
      <c r="A305" s="318" t="s">
        <v>288</v>
      </c>
      <c r="B305" s="318" t="s">
        <v>2671</v>
      </c>
      <c r="C305" s="318">
        <v>5590</v>
      </c>
      <c r="D305" s="318">
        <v>5530</v>
      </c>
      <c r="E305" s="318">
        <v>6460</v>
      </c>
      <c r="F305" s="318">
        <v>900</v>
      </c>
      <c r="G305" s="326">
        <v>3340</v>
      </c>
    </row>
    <row r="306" s="303" customFormat="1" ht="14.25" customHeight="1" spans="1:7">
      <c r="A306" s="318" t="s">
        <v>288</v>
      </c>
      <c r="B306" s="318" t="s">
        <v>2678</v>
      </c>
      <c r="C306" s="318">
        <v>5560</v>
      </c>
      <c r="D306" s="318">
        <v>5510</v>
      </c>
      <c r="E306" s="318">
        <v>6440</v>
      </c>
      <c r="F306" s="318">
        <v>900</v>
      </c>
      <c r="G306" s="326">
        <v>3320</v>
      </c>
    </row>
    <row r="307" s="303" customFormat="1" ht="14.25" customHeight="1" spans="1:7">
      <c r="A307" s="318" t="s">
        <v>288</v>
      </c>
      <c r="B307" s="318" t="s">
        <v>2685</v>
      </c>
      <c r="C307" s="318">
        <v>5650</v>
      </c>
      <c r="D307" s="318">
        <v>5600</v>
      </c>
      <c r="E307" s="318">
        <v>6590</v>
      </c>
      <c r="F307" s="318">
        <v>930</v>
      </c>
      <c r="G307" s="326">
        <v>3380</v>
      </c>
    </row>
    <row r="308" s="303" customFormat="1" ht="14.25" customHeight="1" spans="1:7">
      <c r="A308" s="318" t="s">
        <v>288</v>
      </c>
      <c r="B308" s="318" t="s">
        <v>2692</v>
      </c>
      <c r="C308" s="318">
        <v>5620</v>
      </c>
      <c r="D308" s="318">
        <v>5580</v>
      </c>
      <c r="E308" s="318">
        <v>6540</v>
      </c>
      <c r="F308" s="318">
        <v>910</v>
      </c>
      <c r="G308" s="326">
        <v>3370</v>
      </c>
    </row>
    <row r="309" s="303" customFormat="1" ht="14.25" customHeight="1" spans="1:7">
      <c r="A309" s="318" t="s">
        <v>288</v>
      </c>
      <c r="B309" s="318" t="s">
        <v>2697</v>
      </c>
      <c r="C309" s="318">
        <v>5060</v>
      </c>
      <c r="D309" s="318">
        <v>5020</v>
      </c>
      <c r="E309" s="318">
        <v>6370</v>
      </c>
      <c r="F309" s="318">
        <v>800</v>
      </c>
      <c r="G309" s="326">
        <v>3020</v>
      </c>
    </row>
    <row r="310" s="303" customFormat="1" ht="14.25" customHeight="1" spans="1:7">
      <c r="A310" s="318" t="s">
        <v>288</v>
      </c>
      <c r="B310" s="318" t="s">
        <v>2702</v>
      </c>
      <c r="C310" s="318">
        <v>5150</v>
      </c>
      <c r="D310" s="318">
        <v>5110</v>
      </c>
      <c r="E310" s="318">
        <v>6500</v>
      </c>
      <c r="F310" s="318">
        <v>880</v>
      </c>
      <c r="G310" s="326">
        <v>3080</v>
      </c>
    </row>
    <row r="311" s="303" customFormat="1" ht="14.25" customHeight="1" spans="1:7">
      <c r="A311" s="318" t="s">
        <v>288</v>
      </c>
      <c r="B311" s="318" t="s">
        <v>2707</v>
      </c>
      <c r="C311" s="318">
        <v>4750</v>
      </c>
      <c r="D311" s="318">
        <v>4710</v>
      </c>
      <c r="E311" s="318">
        <v>5510</v>
      </c>
      <c r="F311" s="318">
        <v>880</v>
      </c>
      <c r="G311" s="326">
        <v>2840</v>
      </c>
    </row>
    <row r="312" s="303" customFormat="1" ht="14.25" customHeight="1" spans="1:7">
      <c r="A312" s="318" t="s">
        <v>288</v>
      </c>
      <c r="B312" s="318" t="s">
        <v>2712</v>
      </c>
      <c r="C312" s="318">
        <v>4690</v>
      </c>
      <c r="D312" s="318">
        <v>4640</v>
      </c>
      <c r="E312" s="318">
        <v>5420</v>
      </c>
      <c r="F312" s="318">
        <v>800</v>
      </c>
      <c r="G312" s="326">
        <v>2800</v>
      </c>
    </row>
    <row r="313" s="303" customFormat="1" ht="14.25" customHeight="1" spans="1:7">
      <c r="A313" s="318" t="s">
        <v>288</v>
      </c>
      <c r="B313" s="318" t="s">
        <v>2717</v>
      </c>
      <c r="C313" s="318">
        <v>4810</v>
      </c>
      <c r="D313" s="318">
        <v>4760</v>
      </c>
      <c r="E313" s="318">
        <v>5550</v>
      </c>
      <c r="F313" s="318">
        <v>920</v>
      </c>
      <c r="G313" s="326">
        <v>2870</v>
      </c>
    </row>
    <row r="314" s="303" customFormat="1" ht="14.25" customHeight="1" spans="1:7">
      <c r="A314" s="318" t="s">
        <v>288</v>
      </c>
      <c r="B314" s="318" t="s">
        <v>2722</v>
      </c>
      <c r="C314" s="318"/>
      <c r="D314" s="318"/>
      <c r="E314" s="318"/>
      <c r="F314" s="318">
        <v>1020</v>
      </c>
      <c r="G314" s="326"/>
    </row>
    <row r="315" s="303" customFormat="1" ht="14.25" customHeight="1" spans="1:7">
      <c r="A315" s="318" t="s">
        <v>288</v>
      </c>
      <c r="B315" s="318" t="s">
        <v>2727</v>
      </c>
      <c r="C315" s="318"/>
      <c r="D315" s="318"/>
      <c r="E315" s="318"/>
      <c r="F315" s="318">
        <v>1050</v>
      </c>
      <c r="G315" s="326"/>
    </row>
    <row r="316" s="303" customFormat="1" ht="14.25" customHeight="1" spans="1:7">
      <c r="A316" s="318" t="s">
        <v>288</v>
      </c>
      <c r="B316" s="318" t="s">
        <v>2732</v>
      </c>
      <c r="C316" s="318"/>
      <c r="D316" s="318"/>
      <c r="E316" s="318"/>
      <c r="F316" s="318">
        <v>900</v>
      </c>
      <c r="G316" s="326"/>
    </row>
    <row r="317" s="303" customFormat="1" ht="14.25" customHeight="1" spans="1:7">
      <c r="A317" s="318" t="s">
        <v>288</v>
      </c>
      <c r="B317" s="318" t="s">
        <v>2736</v>
      </c>
      <c r="C317" s="318"/>
      <c r="D317" s="318"/>
      <c r="E317" s="318"/>
      <c r="F317" s="318">
        <v>920</v>
      </c>
      <c r="G317" s="326"/>
    </row>
    <row r="318" s="303" customFormat="1" ht="14.25" customHeight="1" spans="1:7">
      <c r="A318" s="318" t="s">
        <v>288</v>
      </c>
      <c r="B318" s="318" t="s">
        <v>2740</v>
      </c>
      <c r="C318" s="318"/>
      <c r="D318" s="318"/>
      <c r="E318" s="318"/>
      <c r="F318" s="318">
        <v>1080</v>
      </c>
      <c r="G318" s="326"/>
    </row>
    <row r="319" s="303" customFormat="1" ht="14.25" customHeight="1" spans="1:7">
      <c r="A319" s="318" t="s">
        <v>288</v>
      </c>
      <c r="B319" s="318" t="s">
        <v>2744</v>
      </c>
      <c r="C319" s="318"/>
      <c r="D319" s="318"/>
      <c r="E319" s="318"/>
      <c r="F319" s="318">
        <v>1020</v>
      </c>
      <c r="G319" s="326"/>
    </row>
    <row r="320" s="303" customFormat="1" ht="14.25" customHeight="1" spans="1:7">
      <c r="A320" s="318" t="s">
        <v>288</v>
      </c>
      <c r="B320" s="318" t="s">
        <v>2747</v>
      </c>
      <c r="C320" s="318"/>
      <c r="D320" s="318"/>
      <c r="E320" s="318"/>
      <c r="F320" s="318">
        <v>1050</v>
      </c>
      <c r="G320" s="326"/>
    </row>
    <row r="321" s="303" customFormat="1" ht="14.25" customHeight="1" spans="1:7">
      <c r="A321" s="318" t="s">
        <v>288</v>
      </c>
      <c r="B321" s="318" t="s">
        <v>2749</v>
      </c>
      <c r="C321" s="318"/>
      <c r="D321" s="318"/>
      <c r="E321" s="318"/>
      <c r="F321" s="318">
        <v>960</v>
      </c>
      <c r="G321" s="326"/>
    </row>
    <row r="322" s="303" customFormat="1" ht="14.25" customHeight="1" spans="1:7">
      <c r="A322" s="318" t="s">
        <v>288</v>
      </c>
      <c r="B322" s="318" t="s">
        <v>2751</v>
      </c>
      <c r="C322" s="318"/>
      <c r="D322" s="318"/>
      <c r="E322" s="318"/>
      <c r="F322" s="318">
        <v>960</v>
      </c>
      <c r="G322" s="326"/>
    </row>
    <row r="323" s="303" customFormat="1" ht="14.25" customHeight="1" spans="1:7">
      <c r="A323" s="318" t="s">
        <v>288</v>
      </c>
      <c r="B323" s="318" t="s">
        <v>2753</v>
      </c>
      <c r="C323" s="318"/>
      <c r="D323" s="318"/>
      <c r="E323" s="318"/>
      <c r="F323" s="318">
        <v>880</v>
      </c>
      <c r="G323" s="326"/>
    </row>
    <row r="324" s="303" customFormat="1" ht="14.25" customHeight="1" spans="1:7">
      <c r="A324" s="318" t="s">
        <v>288</v>
      </c>
      <c r="B324" s="318" t="s">
        <v>2755</v>
      </c>
      <c r="C324" s="318"/>
      <c r="D324" s="318"/>
      <c r="E324" s="318"/>
      <c r="F324" s="318">
        <v>930</v>
      </c>
      <c r="G324" s="326"/>
    </row>
    <row r="325" s="303" customFormat="1" ht="14.25" customHeight="1" spans="1:7">
      <c r="A325" s="318" t="s">
        <v>288</v>
      </c>
      <c r="B325" s="319" t="s">
        <v>2757</v>
      </c>
      <c r="C325" s="318"/>
      <c r="D325" s="318"/>
      <c r="E325" s="318"/>
      <c r="F325" s="318">
        <v>900</v>
      </c>
      <c r="G325" s="326"/>
    </row>
    <row r="326" s="303" customFormat="1" ht="14.25" customHeight="1" spans="1:7">
      <c r="A326" s="327" t="s">
        <v>288</v>
      </c>
      <c r="B326" s="322" t="s">
        <v>2759</v>
      </c>
      <c r="C326" s="322"/>
      <c r="D326" s="322"/>
      <c r="E326" s="322"/>
      <c r="F326" s="322">
        <v>790</v>
      </c>
      <c r="G326" s="328"/>
    </row>
    <row r="327" s="303" customFormat="1" ht="14.25" customHeight="1" spans="1:7">
      <c r="A327" s="316" t="s">
        <v>292</v>
      </c>
      <c r="B327" s="317" t="s">
        <v>2399</v>
      </c>
      <c r="C327" s="318">
        <v>3750</v>
      </c>
      <c r="D327" s="318">
        <v>3710</v>
      </c>
      <c r="E327" s="318">
        <v>4080</v>
      </c>
      <c r="F327" s="318">
        <v>860</v>
      </c>
      <c r="G327" s="318">
        <v>2210</v>
      </c>
    </row>
    <row r="328" s="303" customFormat="1" ht="14.25" customHeight="1" spans="1:7">
      <c r="A328" s="318" t="s">
        <v>292</v>
      </c>
      <c r="B328" s="318" t="s">
        <v>2412</v>
      </c>
      <c r="C328" s="318">
        <v>3330</v>
      </c>
      <c r="D328" s="318">
        <v>3290</v>
      </c>
      <c r="E328" s="318">
        <v>3610</v>
      </c>
      <c r="F328" s="318">
        <v>850</v>
      </c>
      <c r="G328" s="318">
        <v>1960</v>
      </c>
    </row>
    <row r="329" s="303" customFormat="1" ht="14.25" customHeight="1" spans="1:7">
      <c r="A329" s="318" t="s">
        <v>292</v>
      </c>
      <c r="B329" s="318" t="s">
        <v>2426</v>
      </c>
      <c r="C329" s="318">
        <v>2730</v>
      </c>
      <c r="D329" s="318">
        <v>2690</v>
      </c>
      <c r="E329" s="318">
        <v>3100</v>
      </c>
      <c r="F329" s="318">
        <v>660</v>
      </c>
      <c r="G329" s="318">
        <v>1610</v>
      </c>
    </row>
    <row r="330" s="303" customFormat="1" ht="14.25" customHeight="1" spans="1:7">
      <c r="A330" s="318" t="s">
        <v>292</v>
      </c>
      <c r="B330" s="318" t="s">
        <v>2438</v>
      </c>
      <c r="C330" s="318">
        <v>3270</v>
      </c>
      <c r="D330" s="318">
        <v>3240</v>
      </c>
      <c r="E330" s="318">
        <v>3560</v>
      </c>
      <c r="F330" s="318">
        <v>680</v>
      </c>
      <c r="G330" s="318">
        <v>1940</v>
      </c>
    </row>
    <row r="331" s="303" customFormat="1" ht="14.25" customHeight="1" spans="1:7">
      <c r="A331" s="318" t="s">
        <v>292</v>
      </c>
      <c r="B331" s="318" t="s">
        <v>2450</v>
      </c>
      <c r="C331" s="318">
        <v>3770</v>
      </c>
      <c r="D331" s="318">
        <v>3740</v>
      </c>
      <c r="E331" s="318">
        <v>4110</v>
      </c>
      <c r="F331" s="318">
        <v>730</v>
      </c>
      <c r="G331" s="318">
        <v>2230</v>
      </c>
    </row>
    <row r="332" s="303" customFormat="1" ht="14.25" customHeight="1" spans="1:7">
      <c r="A332" s="318" t="s">
        <v>292</v>
      </c>
      <c r="B332" s="318" t="s">
        <v>2461</v>
      </c>
      <c r="C332" s="318">
        <v>3520</v>
      </c>
      <c r="D332" s="318">
        <v>3480</v>
      </c>
      <c r="E332" s="318">
        <v>3830</v>
      </c>
      <c r="F332" s="318">
        <v>720</v>
      </c>
      <c r="G332" s="318">
        <v>2090</v>
      </c>
    </row>
    <row r="333" s="303" customFormat="1" ht="14.25" customHeight="1" spans="1:7">
      <c r="A333" s="318" t="s">
        <v>292</v>
      </c>
      <c r="B333" s="318" t="s">
        <v>2472</v>
      </c>
      <c r="C333" s="318">
        <v>3840</v>
      </c>
      <c r="D333" s="318">
        <v>3800</v>
      </c>
      <c r="E333" s="318">
        <v>4200</v>
      </c>
      <c r="F333" s="318">
        <v>760</v>
      </c>
      <c r="G333" s="318">
        <v>2270</v>
      </c>
    </row>
    <row r="334" s="303" customFormat="1" ht="14.25" customHeight="1" spans="1:7">
      <c r="A334" s="318" t="s">
        <v>292</v>
      </c>
      <c r="B334" s="318" t="s">
        <v>2483</v>
      </c>
      <c r="C334" s="318">
        <v>3960</v>
      </c>
      <c r="D334" s="318">
        <v>3910</v>
      </c>
      <c r="E334" s="318">
        <v>4340</v>
      </c>
      <c r="F334" s="318">
        <v>780</v>
      </c>
      <c r="G334" s="318">
        <v>2340</v>
      </c>
    </row>
    <row r="335" s="303" customFormat="1" ht="14.25" customHeight="1" spans="1:7">
      <c r="A335" s="318" t="s">
        <v>292</v>
      </c>
      <c r="B335" s="318" t="s">
        <v>2493</v>
      </c>
      <c r="C335" s="318">
        <v>3710</v>
      </c>
      <c r="D335" s="318">
        <v>3670</v>
      </c>
      <c r="E335" s="318">
        <v>4030</v>
      </c>
      <c r="F335" s="318">
        <v>750</v>
      </c>
      <c r="G335" s="318">
        <v>2200</v>
      </c>
    </row>
    <row r="336" s="303" customFormat="1" ht="14.25" customHeight="1" spans="1:7">
      <c r="A336" s="318" t="s">
        <v>292</v>
      </c>
      <c r="B336" s="318" t="s">
        <v>2503</v>
      </c>
      <c r="C336" s="318">
        <v>3570</v>
      </c>
      <c r="D336" s="318">
        <v>3530</v>
      </c>
      <c r="E336" s="318">
        <v>3880</v>
      </c>
      <c r="F336" s="318">
        <v>770</v>
      </c>
      <c r="G336" s="318">
        <v>2110</v>
      </c>
    </row>
    <row r="337" s="303" customFormat="1" ht="14.25" customHeight="1" spans="1:7">
      <c r="A337" s="318" t="s">
        <v>292</v>
      </c>
      <c r="B337" s="318" t="s">
        <v>2513</v>
      </c>
      <c r="C337" s="318">
        <v>3780</v>
      </c>
      <c r="D337" s="318">
        <v>3750</v>
      </c>
      <c r="E337" s="318">
        <v>4130</v>
      </c>
      <c r="F337" s="318">
        <v>750</v>
      </c>
      <c r="G337" s="318">
        <v>2240</v>
      </c>
    </row>
    <row r="338" s="303" customFormat="1" ht="14.25" customHeight="1" spans="1:7">
      <c r="A338" s="318" t="s">
        <v>292</v>
      </c>
      <c r="B338" s="318" t="s">
        <v>2523</v>
      </c>
      <c r="C338" s="318">
        <v>3600</v>
      </c>
      <c r="D338" s="318">
        <v>3570</v>
      </c>
      <c r="E338" s="318">
        <v>3920</v>
      </c>
      <c r="F338" s="318">
        <v>790</v>
      </c>
      <c r="G338" s="318">
        <v>2140</v>
      </c>
    </row>
    <row r="339" s="303" customFormat="1" ht="14.25" customHeight="1" spans="1:7">
      <c r="A339" s="318" t="s">
        <v>292</v>
      </c>
      <c r="B339" s="318" t="s">
        <v>2533</v>
      </c>
      <c r="C339" s="318">
        <v>3540</v>
      </c>
      <c r="D339" s="318">
        <v>3500</v>
      </c>
      <c r="E339" s="318">
        <v>3850</v>
      </c>
      <c r="F339" s="318">
        <v>780</v>
      </c>
      <c r="G339" s="318">
        <v>2100</v>
      </c>
    </row>
    <row r="340" s="303" customFormat="1" ht="14.25" customHeight="1" spans="1:7">
      <c r="A340" s="318" t="s">
        <v>292</v>
      </c>
      <c r="B340" s="318" t="s">
        <v>2543</v>
      </c>
      <c r="C340" s="318">
        <v>3850</v>
      </c>
      <c r="D340" s="318">
        <v>3810</v>
      </c>
      <c r="E340" s="318">
        <v>4210</v>
      </c>
      <c r="F340" s="318">
        <v>750</v>
      </c>
      <c r="G340" s="318">
        <v>2280</v>
      </c>
    </row>
    <row r="341" s="303" customFormat="1" ht="14.25" customHeight="1" spans="1:7">
      <c r="A341" s="318" t="s">
        <v>292</v>
      </c>
      <c r="B341" s="318" t="s">
        <v>2553</v>
      </c>
      <c r="C341" s="318">
        <v>3780</v>
      </c>
      <c r="D341" s="318">
        <v>3750</v>
      </c>
      <c r="E341" s="318">
        <v>4140</v>
      </c>
      <c r="F341" s="318">
        <v>720</v>
      </c>
      <c r="G341" s="318">
        <v>2240</v>
      </c>
    </row>
    <row r="342" s="303" customFormat="1" ht="14.25" customHeight="1" spans="1:7">
      <c r="A342" s="318" t="s">
        <v>292</v>
      </c>
      <c r="B342" s="318" t="s">
        <v>2563</v>
      </c>
      <c r="C342" s="318">
        <v>3670</v>
      </c>
      <c r="D342" s="318">
        <v>3620</v>
      </c>
      <c r="E342" s="318">
        <v>3990</v>
      </c>
      <c r="F342" s="318">
        <v>760</v>
      </c>
      <c r="G342" s="318">
        <v>2170</v>
      </c>
    </row>
    <row r="343" s="303" customFormat="1" ht="14.25" customHeight="1" spans="1:7">
      <c r="A343" s="318" t="s">
        <v>292</v>
      </c>
      <c r="B343" s="318" t="s">
        <v>2573</v>
      </c>
      <c r="C343" s="318">
        <v>3760</v>
      </c>
      <c r="D343" s="318">
        <v>3720</v>
      </c>
      <c r="E343" s="318">
        <v>4090</v>
      </c>
      <c r="F343" s="318">
        <v>780</v>
      </c>
      <c r="G343" s="318">
        <v>2220</v>
      </c>
    </row>
    <row r="344" s="303" customFormat="1" ht="14.25" customHeight="1" spans="1:7">
      <c r="A344" s="318" t="s">
        <v>292</v>
      </c>
      <c r="B344" s="318" t="s">
        <v>2583</v>
      </c>
      <c r="C344" s="318">
        <v>3680</v>
      </c>
      <c r="D344" s="318">
        <v>3640</v>
      </c>
      <c r="E344" s="318">
        <v>4010</v>
      </c>
      <c r="F344" s="318">
        <v>750</v>
      </c>
      <c r="G344" s="318">
        <v>2180</v>
      </c>
    </row>
    <row r="345" spans="1:10">
      <c r="A345" s="318" t="s">
        <v>292</v>
      </c>
      <c r="B345" s="318" t="s">
        <v>2593</v>
      </c>
      <c r="C345" s="318">
        <v>3190</v>
      </c>
      <c r="D345" s="318">
        <v>3140</v>
      </c>
      <c r="E345" s="318">
        <v>3450</v>
      </c>
      <c r="F345" s="318">
        <v>720</v>
      </c>
      <c r="G345" s="318">
        <v>1880</v>
      </c>
      <c r="J345" s="303"/>
    </row>
    <row r="346" spans="1:10">
      <c r="A346" s="318" t="s">
        <v>292</v>
      </c>
      <c r="B346" s="318" t="s">
        <v>2603</v>
      </c>
      <c r="C346" s="318">
        <v>3630</v>
      </c>
      <c r="D346" s="318">
        <v>3590</v>
      </c>
      <c r="E346" s="318">
        <v>3940</v>
      </c>
      <c r="F346" s="318">
        <v>730</v>
      </c>
      <c r="G346" s="318">
        <v>2150</v>
      </c>
      <c r="J346" s="303"/>
    </row>
    <row r="347" spans="1:10">
      <c r="A347" s="318" t="s">
        <v>292</v>
      </c>
      <c r="B347" s="318" t="s">
        <v>2612</v>
      </c>
      <c r="C347" s="318">
        <v>3860</v>
      </c>
      <c r="D347" s="318">
        <v>3820</v>
      </c>
      <c r="E347" s="318">
        <v>4220</v>
      </c>
      <c r="F347" s="318">
        <v>750</v>
      </c>
      <c r="G347" s="318">
        <v>2280</v>
      </c>
      <c r="J347" s="303"/>
    </row>
    <row r="348" spans="1:10">
      <c r="A348" s="318" t="s">
        <v>292</v>
      </c>
      <c r="B348" s="318" t="s">
        <v>2620</v>
      </c>
      <c r="C348" s="318">
        <v>4000</v>
      </c>
      <c r="D348" s="318">
        <v>3950</v>
      </c>
      <c r="E348" s="318">
        <v>4430</v>
      </c>
      <c r="F348" s="318">
        <v>760</v>
      </c>
      <c r="G348" s="318">
        <v>2360</v>
      </c>
      <c r="J348" s="303"/>
    </row>
    <row r="349" spans="1:10">
      <c r="A349" s="318" t="s">
        <v>292</v>
      </c>
      <c r="B349" s="318" t="s">
        <v>2628</v>
      </c>
      <c r="C349" s="318">
        <v>3820</v>
      </c>
      <c r="D349" s="318">
        <v>3780</v>
      </c>
      <c r="E349" s="318">
        <v>4170</v>
      </c>
      <c r="F349" s="318">
        <v>710</v>
      </c>
      <c r="G349" s="318">
        <v>2260</v>
      </c>
      <c r="J349" s="303"/>
    </row>
    <row r="350" spans="1:10">
      <c r="A350" s="318" t="s">
        <v>292</v>
      </c>
      <c r="B350" s="318" t="s">
        <v>2636</v>
      </c>
      <c r="C350" s="318">
        <v>3760</v>
      </c>
      <c r="D350" s="318">
        <v>3730</v>
      </c>
      <c r="E350" s="318">
        <v>4100</v>
      </c>
      <c r="F350" s="318">
        <v>800</v>
      </c>
      <c r="G350" s="318">
        <v>2230</v>
      </c>
      <c r="J350" s="303"/>
    </row>
    <row r="351" spans="1:10">
      <c r="A351" s="318" t="s">
        <v>292</v>
      </c>
      <c r="B351" s="318" t="s">
        <v>2644</v>
      </c>
      <c r="C351" s="318">
        <v>3610</v>
      </c>
      <c r="D351" s="318">
        <v>3580</v>
      </c>
      <c r="E351" s="318">
        <v>3930</v>
      </c>
      <c r="F351" s="318">
        <v>700</v>
      </c>
      <c r="G351" s="318">
        <v>2140</v>
      </c>
      <c r="J351" s="303"/>
    </row>
    <row r="352" spans="1:7">
      <c r="A352" s="318" t="s">
        <v>292</v>
      </c>
      <c r="B352" s="318" t="s">
        <v>2651</v>
      </c>
      <c r="C352" s="318">
        <v>3670</v>
      </c>
      <c r="D352" s="318">
        <v>3630</v>
      </c>
      <c r="E352" s="318">
        <v>4000</v>
      </c>
      <c r="F352" s="318">
        <v>750</v>
      </c>
      <c r="G352" s="318">
        <v>2180</v>
      </c>
    </row>
    <row r="353" s="304" customFormat="1" spans="1:7">
      <c r="A353" s="318" t="s">
        <v>292</v>
      </c>
      <c r="B353" s="318" t="s">
        <v>2658</v>
      </c>
      <c r="C353" s="318">
        <v>3190</v>
      </c>
      <c r="D353" s="318">
        <v>3150</v>
      </c>
      <c r="E353" s="318">
        <v>3640</v>
      </c>
      <c r="F353" s="318">
        <v>630</v>
      </c>
      <c r="G353" s="318">
        <v>1890</v>
      </c>
    </row>
    <row r="354" s="304" customFormat="1" spans="1:7">
      <c r="A354" s="318" t="s">
        <v>292</v>
      </c>
      <c r="B354" s="318" t="s">
        <v>2665</v>
      </c>
      <c r="C354" s="318">
        <v>3450</v>
      </c>
      <c r="D354" s="318">
        <v>3420</v>
      </c>
      <c r="E354" s="318">
        <v>3960</v>
      </c>
      <c r="F354" s="318">
        <v>660</v>
      </c>
      <c r="G354" s="318">
        <v>2050</v>
      </c>
    </row>
    <row r="355" s="304" customFormat="1" spans="1:7">
      <c r="A355" s="318" t="s">
        <v>292</v>
      </c>
      <c r="B355" s="318" t="s">
        <v>2672</v>
      </c>
      <c r="C355" s="318">
        <v>3650</v>
      </c>
      <c r="D355" s="318">
        <v>3610</v>
      </c>
      <c r="E355" s="318">
        <v>4200</v>
      </c>
      <c r="F355" s="318">
        <v>640</v>
      </c>
      <c r="G355" s="318">
        <v>2160</v>
      </c>
    </row>
    <row r="356" s="304" customFormat="1" spans="1:7">
      <c r="A356" s="318" t="s">
        <v>292</v>
      </c>
      <c r="B356" s="318" t="s">
        <v>2679</v>
      </c>
      <c r="C356" s="318">
        <v>3260</v>
      </c>
      <c r="D356" s="318">
        <v>3230</v>
      </c>
      <c r="E356" s="318">
        <v>3740</v>
      </c>
      <c r="F356" s="318">
        <v>600</v>
      </c>
      <c r="G356" s="318">
        <v>1930</v>
      </c>
    </row>
    <row r="357" s="304" customFormat="1" ht="12" spans="1:7">
      <c r="A357" s="320" t="s">
        <v>292</v>
      </c>
      <c r="B357" s="324" t="s">
        <v>2686</v>
      </c>
      <c r="C357" s="324">
        <v>3690</v>
      </c>
      <c r="D357" s="324">
        <v>3650</v>
      </c>
      <c r="E357" s="324">
        <v>4020</v>
      </c>
      <c r="F357" s="324">
        <v>700</v>
      </c>
      <c r="G357" s="324">
        <v>2190</v>
      </c>
    </row>
    <row r="358" s="304" customFormat="1" spans="1:7">
      <c r="A358" s="316" t="s">
        <v>296</v>
      </c>
      <c r="B358" s="317" t="s">
        <v>2400</v>
      </c>
      <c r="C358" s="317">
        <v>2080</v>
      </c>
      <c r="D358" s="317">
        <v>2040</v>
      </c>
      <c r="E358" s="317">
        <v>2010</v>
      </c>
      <c r="F358" s="317">
        <v>530</v>
      </c>
      <c r="G358" s="325">
        <v>1230</v>
      </c>
    </row>
    <row r="359" s="304" customFormat="1" spans="1:7">
      <c r="A359" s="318" t="s">
        <v>296</v>
      </c>
      <c r="B359" s="318" t="s">
        <v>2413</v>
      </c>
      <c r="C359" s="318">
        <v>1850</v>
      </c>
      <c r="D359" s="318">
        <v>1820</v>
      </c>
      <c r="E359" s="318">
        <v>1780</v>
      </c>
      <c r="F359" s="318">
        <v>520</v>
      </c>
      <c r="G359" s="326">
        <v>1100</v>
      </c>
    </row>
    <row r="360" s="304" customFormat="1" spans="1:7">
      <c r="A360" s="318" t="s">
        <v>296</v>
      </c>
      <c r="B360" s="318" t="s">
        <v>2427</v>
      </c>
      <c r="C360" s="318">
        <v>2020</v>
      </c>
      <c r="D360" s="318">
        <v>1990</v>
      </c>
      <c r="E360" s="318">
        <v>1950</v>
      </c>
      <c r="F360" s="318">
        <v>500</v>
      </c>
      <c r="G360" s="326">
        <v>1200</v>
      </c>
    </row>
    <row r="361" s="304" customFormat="1" spans="1:7">
      <c r="A361" s="318" t="s">
        <v>296</v>
      </c>
      <c r="B361" s="318" t="s">
        <v>2439</v>
      </c>
      <c r="C361" s="318">
        <v>2260</v>
      </c>
      <c r="D361" s="318">
        <v>2220</v>
      </c>
      <c r="E361" s="318">
        <v>2180</v>
      </c>
      <c r="F361" s="318">
        <v>580</v>
      </c>
      <c r="G361" s="326">
        <v>1340</v>
      </c>
    </row>
    <row r="362" s="304" customFormat="1" spans="1:7">
      <c r="A362" s="318" t="s">
        <v>296</v>
      </c>
      <c r="B362" s="318" t="s">
        <v>2451</v>
      </c>
      <c r="C362" s="318">
        <v>2650</v>
      </c>
      <c r="D362" s="318">
        <v>2610</v>
      </c>
      <c r="E362" s="318">
        <v>2570</v>
      </c>
      <c r="F362" s="318">
        <v>630</v>
      </c>
      <c r="G362" s="326">
        <v>1570</v>
      </c>
    </row>
    <row r="363" s="304" customFormat="1" spans="1:7">
      <c r="A363" s="318" t="s">
        <v>296</v>
      </c>
      <c r="B363" s="318" t="s">
        <v>2462</v>
      </c>
      <c r="C363" s="318">
        <v>2390</v>
      </c>
      <c r="D363" s="318">
        <v>2360</v>
      </c>
      <c r="E363" s="318">
        <v>2320</v>
      </c>
      <c r="F363" s="318">
        <v>600</v>
      </c>
      <c r="G363" s="326">
        <v>1420</v>
      </c>
    </row>
    <row r="364" s="304" customFormat="1" spans="1:7">
      <c r="A364" s="318" t="s">
        <v>296</v>
      </c>
      <c r="B364" s="318" t="s">
        <v>2473</v>
      </c>
      <c r="C364" s="318">
        <v>2050</v>
      </c>
      <c r="D364" s="318">
        <v>2030</v>
      </c>
      <c r="E364" s="318">
        <v>1990</v>
      </c>
      <c r="F364" s="318">
        <v>550</v>
      </c>
      <c r="G364" s="326">
        <v>1220</v>
      </c>
    </row>
    <row r="365" s="304" customFormat="1" spans="1:7">
      <c r="A365" s="318" t="s">
        <v>296</v>
      </c>
      <c r="B365" s="318" t="s">
        <v>2484</v>
      </c>
      <c r="C365" s="318">
        <v>2140</v>
      </c>
      <c r="D365" s="318">
        <v>2100</v>
      </c>
      <c r="E365" s="318">
        <v>2060</v>
      </c>
      <c r="F365" s="318">
        <v>540</v>
      </c>
      <c r="G365" s="326">
        <v>1270</v>
      </c>
    </row>
    <row r="366" s="304" customFormat="1" spans="1:7">
      <c r="A366" s="318" t="s">
        <v>296</v>
      </c>
      <c r="B366" s="318" t="s">
        <v>2494</v>
      </c>
      <c r="C366" s="318">
        <v>2410</v>
      </c>
      <c r="D366" s="318">
        <v>2370</v>
      </c>
      <c r="E366" s="318">
        <v>2330</v>
      </c>
      <c r="F366" s="318">
        <v>570</v>
      </c>
      <c r="G366" s="326">
        <v>1440</v>
      </c>
    </row>
    <row r="367" s="304" customFormat="1" spans="1:7">
      <c r="A367" s="318" t="s">
        <v>296</v>
      </c>
      <c r="B367" s="318" t="s">
        <v>2504</v>
      </c>
      <c r="C367" s="318">
        <v>2300</v>
      </c>
      <c r="D367" s="318">
        <v>2260</v>
      </c>
      <c r="E367" s="318">
        <v>2220</v>
      </c>
      <c r="F367" s="318">
        <v>560</v>
      </c>
      <c r="G367" s="326">
        <v>1370</v>
      </c>
    </row>
    <row r="368" s="304" customFormat="1" spans="1:7">
      <c r="A368" s="318" t="s">
        <v>296</v>
      </c>
      <c r="B368" s="318" t="s">
        <v>2514</v>
      </c>
      <c r="C368" s="318">
        <v>2430</v>
      </c>
      <c r="D368" s="318">
        <v>2390</v>
      </c>
      <c r="E368" s="318">
        <v>2350</v>
      </c>
      <c r="F368" s="318">
        <v>570</v>
      </c>
      <c r="G368" s="326">
        <v>1450</v>
      </c>
    </row>
    <row r="369" s="304" customFormat="1" spans="1:7">
      <c r="A369" s="318" t="s">
        <v>296</v>
      </c>
      <c r="B369" s="318" t="s">
        <v>2524</v>
      </c>
      <c r="C369" s="318">
        <v>2320</v>
      </c>
      <c r="D369" s="318">
        <v>2290</v>
      </c>
      <c r="E369" s="318">
        <v>2250</v>
      </c>
      <c r="F369" s="318">
        <v>550</v>
      </c>
      <c r="G369" s="326">
        <v>1380</v>
      </c>
    </row>
    <row r="370" s="304" customFormat="1" spans="1:7">
      <c r="A370" s="318" t="s">
        <v>296</v>
      </c>
      <c r="B370" s="318" t="s">
        <v>2534</v>
      </c>
      <c r="C370" s="318">
        <v>2190</v>
      </c>
      <c r="D370" s="318">
        <v>2170</v>
      </c>
      <c r="E370" s="318">
        <v>2130</v>
      </c>
      <c r="F370" s="318">
        <v>530</v>
      </c>
      <c r="G370" s="326">
        <v>1310</v>
      </c>
    </row>
    <row r="371" s="304" customFormat="1" spans="1:7">
      <c r="A371" s="318" t="s">
        <v>296</v>
      </c>
      <c r="B371" s="318" t="s">
        <v>2544</v>
      </c>
      <c r="C371" s="318">
        <v>2460</v>
      </c>
      <c r="D371" s="318">
        <v>2420</v>
      </c>
      <c r="E371" s="318">
        <v>2370</v>
      </c>
      <c r="F371" s="318">
        <v>560</v>
      </c>
      <c r="G371" s="326">
        <v>1470</v>
      </c>
    </row>
    <row r="372" s="304" customFormat="1" spans="1:7">
      <c r="A372" s="318" t="s">
        <v>296</v>
      </c>
      <c r="B372" s="318" t="s">
        <v>2554</v>
      </c>
      <c r="C372" s="318">
        <v>2250</v>
      </c>
      <c r="D372" s="318">
        <v>2210</v>
      </c>
      <c r="E372" s="318">
        <v>2180</v>
      </c>
      <c r="F372" s="318">
        <v>550</v>
      </c>
      <c r="G372" s="326">
        <v>1340</v>
      </c>
    </row>
    <row r="373" s="304" customFormat="1" spans="1:7">
      <c r="A373" s="318" t="s">
        <v>296</v>
      </c>
      <c r="B373" s="318" t="s">
        <v>2564</v>
      </c>
      <c r="C373" s="318">
        <v>2210</v>
      </c>
      <c r="D373" s="318">
        <v>2190</v>
      </c>
      <c r="E373" s="318">
        <v>2150</v>
      </c>
      <c r="F373" s="318">
        <v>530</v>
      </c>
      <c r="G373" s="326">
        <v>1320</v>
      </c>
    </row>
    <row r="374" s="304" customFormat="1" spans="1:7">
      <c r="A374" s="318" t="s">
        <v>296</v>
      </c>
      <c r="B374" s="318" t="s">
        <v>2574</v>
      </c>
      <c r="C374" s="318">
        <v>2320</v>
      </c>
      <c r="D374" s="318">
        <v>2280</v>
      </c>
      <c r="E374" s="318">
        <v>2230</v>
      </c>
      <c r="F374" s="318">
        <v>580</v>
      </c>
      <c r="G374" s="326">
        <v>1380</v>
      </c>
    </row>
    <row r="375" s="304" customFormat="1" spans="1:7">
      <c r="A375" s="318" t="s">
        <v>296</v>
      </c>
      <c r="B375" s="318" t="s">
        <v>2584</v>
      </c>
      <c r="C375" s="318">
        <v>2090</v>
      </c>
      <c r="D375" s="318">
        <v>2050</v>
      </c>
      <c r="E375" s="318">
        <v>2020</v>
      </c>
      <c r="F375" s="318">
        <v>520</v>
      </c>
      <c r="G375" s="326">
        <v>1240</v>
      </c>
    </row>
    <row r="376" s="304" customFormat="1" spans="1:7">
      <c r="A376" s="318" t="s">
        <v>296</v>
      </c>
      <c r="B376" s="318" t="s">
        <v>2594</v>
      </c>
      <c r="C376" s="318">
        <v>2010</v>
      </c>
      <c r="D376" s="318">
        <v>1980</v>
      </c>
      <c r="E376" s="318">
        <v>1940</v>
      </c>
      <c r="F376" s="318">
        <v>540</v>
      </c>
      <c r="G376" s="326">
        <v>1190</v>
      </c>
    </row>
    <row r="377" s="304" customFormat="1" ht="12" spans="1:7">
      <c r="A377" s="320" t="s">
        <v>296</v>
      </c>
      <c r="B377" s="324" t="s">
        <v>2604</v>
      </c>
      <c r="C377" s="324">
        <v>1930</v>
      </c>
      <c r="D377" s="324">
        <v>1890</v>
      </c>
      <c r="E377" s="324">
        <v>1860</v>
      </c>
      <c r="F377" s="324">
        <v>530</v>
      </c>
      <c r="G377" s="333">
        <v>1150</v>
      </c>
    </row>
    <row r="378" s="304" customFormat="1" spans="1:7">
      <c r="A378" s="334" t="s">
        <v>300</v>
      </c>
      <c r="B378" s="317" t="s">
        <v>2401</v>
      </c>
      <c r="C378" s="317">
        <v>1520</v>
      </c>
      <c r="D378" s="317">
        <v>1490</v>
      </c>
      <c r="E378" s="317">
        <v>1460</v>
      </c>
      <c r="F378" s="317">
        <v>460</v>
      </c>
      <c r="G378" s="325">
        <v>940</v>
      </c>
    </row>
    <row r="379" s="304" customFormat="1" spans="1:7">
      <c r="A379" s="335" t="s">
        <v>300</v>
      </c>
      <c r="B379" s="318" t="s">
        <v>2414</v>
      </c>
      <c r="C379" s="318">
        <v>1500</v>
      </c>
      <c r="D379" s="318">
        <v>1470</v>
      </c>
      <c r="E379" s="318">
        <v>1430</v>
      </c>
      <c r="F379" s="318">
        <v>460</v>
      </c>
      <c r="G379" s="326">
        <v>920</v>
      </c>
    </row>
    <row r="380" s="304" customFormat="1" spans="1:7">
      <c r="A380" s="335" t="s">
        <v>300</v>
      </c>
      <c r="B380" s="318" t="s">
        <v>2428</v>
      </c>
      <c r="C380" s="318">
        <v>1620</v>
      </c>
      <c r="D380" s="318">
        <v>1590</v>
      </c>
      <c r="E380" s="318">
        <v>1560</v>
      </c>
      <c r="F380" s="318">
        <v>480</v>
      </c>
      <c r="G380" s="326">
        <v>1000</v>
      </c>
    </row>
    <row r="381" s="304" customFormat="1" spans="1:7">
      <c r="A381" s="335" t="s">
        <v>300</v>
      </c>
      <c r="B381" s="318" t="s">
        <v>2440</v>
      </c>
      <c r="C381" s="318">
        <v>1460</v>
      </c>
      <c r="D381" s="318">
        <v>1430</v>
      </c>
      <c r="E381" s="318">
        <v>1390</v>
      </c>
      <c r="F381" s="318">
        <v>450</v>
      </c>
      <c r="G381" s="326">
        <v>900</v>
      </c>
    </row>
    <row r="382" s="304" customFormat="1" spans="1:7">
      <c r="A382" s="335" t="s">
        <v>300</v>
      </c>
      <c r="B382" s="318" t="s">
        <v>2452</v>
      </c>
      <c r="C382" s="318">
        <v>1310</v>
      </c>
      <c r="D382" s="318">
        <v>1280</v>
      </c>
      <c r="E382" s="318">
        <v>1250</v>
      </c>
      <c r="F382" s="318">
        <v>440</v>
      </c>
      <c r="G382" s="326">
        <v>800</v>
      </c>
    </row>
    <row r="383" s="304" customFormat="1" spans="1:7">
      <c r="A383" s="335" t="s">
        <v>300</v>
      </c>
      <c r="B383" s="318" t="s">
        <v>2463</v>
      </c>
      <c r="C383" s="318">
        <v>1260</v>
      </c>
      <c r="D383" s="318">
        <v>1230</v>
      </c>
      <c r="E383" s="318">
        <v>1200</v>
      </c>
      <c r="F383" s="318">
        <v>420</v>
      </c>
      <c r="G383" s="326">
        <v>770</v>
      </c>
    </row>
    <row r="384" s="304" customFormat="1" ht="12" spans="1:7">
      <c r="A384" s="336" t="s">
        <v>300</v>
      </c>
      <c r="B384" s="322" t="s">
        <v>2474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2773</v>
      </c>
      <c r="B1" s="268"/>
    </row>
    <row r="2" ht="14.25" spans="1:2">
      <c r="A2" s="268"/>
      <c r="B2" s="268"/>
    </row>
    <row r="3" ht="14.25" spans="1:7">
      <c r="A3" s="268"/>
      <c r="B3" s="268"/>
      <c r="C3" s="269" t="s">
        <v>546</v>
      </c>
      <c r="D3" s="269" t="s">
        <v>2065</v>
      </c>
      <c r="E3" s="269" t="s">
        <v>412</v>
      </c>
      <c r="F3" s="269" t="s">
        <v>408</v>
      </c>
      <c r="G3" s="269" t="s">
        <v>280</v>
      </c>
    </row>
    <row r="4" ht="14.25" spans="1:7">
      <c r="A4" s="270" t="s">
        <v>2402</v>
      </c>
      <c r="B4" s="271" t="s">
        <v>2415</v>
      </c>
      <c r="C4" s="269"/>
      <c r="D4" s="269"/>
      <c r="E4" s="269"/>
      <c r="F4" s="269"/>
      <c r="G4" s="269"/>
    </row>
    <row r="5" spans="1:7">
      <c r="A5" s="272" t="s">
        <v>230</v>
      </c>
      <c r="B5" s="273" t="s">
        <v>2390</v>
      </c>
      <c r="C5" s="274">
        <v>0.098</v>
      </c>
      <c r="D5" s="274">
        <v>0.087</v>
      </c>
      <c r="E5" s="274">
        <v>0.087</v>
      </c>
      <c r="F5" s="274">
        <v>0.098</v>
      </c>
      <c r="G5" s="275">
        <v>0.095</v>
      </c>
    </row>
    <row r="6" spans="1:7">
      <c r="A6" s="276" t="s">
        <v>230</v>
      </c>
      <c r="B6" s="277" t="s">
        <v>2403</v>
      </c>
      <c r="C6" s="278">
        <v>0.098</v>
      </c>
      <c r="D6" s="278">
        <v>0.098</v>
      </c>
      <c r="E6" s="278">
        <v>0.098</v>
      </c>
      <c r="F6" s="278">
        <v>0.1</v>
      </c>
      <c r="G6" s="279">
        <v>0.099</v>
      </c>
    </row>
    <row r="7" spans="1:7">
      <c r="A7" s="276" t="s">
        <v>230</v>
      </c>
      <c r="B7" s="277" t="s">
        <v>2417</v>
      </c>
      <c r="C7" s="278">
        <v>0.097</v>
      </c>
      <c r="D7" s="278">
        <v>0.097</v>
      </c>
      <c r="E7" s="278">
        <v>0.096</v>
      </c>
      <c r="F7" s="278">
        <v>0.1</v>
      </c>
      <c r="G7" s="279">
        <v>0.098</v>
      </c>
    </row>
    <row r="8" spans="1:7">
      <c r="A8" s="276" t="s">
        <v>230</v>
      </c>
      <c r="B8" s="277" t="s">
        <v>2429</v>
      </c>
      <c r="C8" s="278">
        <v>0.081</v>
      </c>
      <c r="D8" s="278">
        <v>0.082</v>
      </c>
      <c r="E8" s="278">
        <v>0.07</v>
      </c>
      <c r="F8" s="278">
        <v>0.096</v>
      </c>
      <c r="G8" s="279">
        <v>0.089</v>
      </c>
    </row>
    <row r="9" ht="14.25" spans="1:7">
      <c r="A9" s="280" t="s">
        <v>230</v>
      </c>
      <c r="B9" s="281" t="s">
        <v>2441</v>
      </c>
      <c r="C9" s="282">
        <v>0.1</v>
      </c>
      <c r="D9" s="282">
        <v>0.1</v>
      </c>
      <c r="E9" s="282">
        <v>0.1</v>
      </c>
      <c r="F9" s="283"/>
      <c r="G9" s="284">
        <v>0.1</v>
      </c>
    </row>
    <row r="10" spans="1:7">
      <c r="A10" s="272" t="s">
        <v>241</v>
      </c>
      <c r="B10" s="273" t="s">
        <v>2391</v>
      </c>
      <c r="C10" s="274">
        <v>0.067</v>
      </c>
      <c r="D10" s="274">
        <v>0.079</v>
      </c>
      <c r="E10" s="274">
        <v>0.079</v>
      </c>
      <c r="F10" s="274">
        <v>0.1</v>
      </c>
      <c r="G10" s="275">
        <v>0.091</v>
      </c>
    </row>
    <row r="11" spans="1:7">
      <c r="A11" s="276" t="s">
        <v>241</v>
      </c>
      <c r="B11" s="277" t="s">
        <v>2404</v>
      </c>
      <c r="C11" s="278">
        <v>0.05</v>
      </c>
      <c r="D11" s="278">
        <v>0.053</v>
      </c>
      <c r="E11" s="278">
        <v>0.063</v>
      </c>
      <c r="F11" s="278">
        <v>0.1</v>
      </c>
      <c r="G11" s="279">
        <v>0.072</v>
      </c>
    </row>
    <row r="12" spans="1:7">
      <c r="A12" s="276" t="s">
        <v>241</v>
      </c>
      <c r="B12" s="277" t="s">
        <v>2418</v>
      </c>
      <c r="C12" s="278">
        <v>0.053</v>
      </c>
      <c r="D12" s="278">
        <v>0.09</v>
      </c>
      <c r="E12" s="278">
        <v>0.072</v>
      </c>
      <c r="F12" s="278">
        <v>0.1</v>
      </c>
      <c r="G12" s="279">
        <v>0.097</v>
      </c>
    </row>
    <row r="13" spans="1:7">
      <c r="A13" s="276" t="s">
        <v>241</v>
      </c>
      <c r="B13" s="277" t="s">
        <v>2430</v>
      </c>
      <c r="C13" s="278">
        <v>0.097</v>
      </c>
      <c r="D13" s="278">
        <v>0.092</v>
      </c>
      <c r="E13" s="278">
        <v>0.095</v>
      </c>
      <c r="F13" s="278">
        <v>0.1</v>
      </c>
      <c r="G13" s="279">
        <v>0.097</v>
      </c>
    </row>
    <row r="14" spans="1:7">
      <c r="A14" s="276" t="s">
        <v>241</v>
      </c>
      <c r="B14" s="277" t="s">
        <v>2442</v>
      </c>
      <c r="C14" s="278">
        <v>0.097</v>
      </c>
      <c r="D14" s="278">
        <v>0.097</v>
      </c>
      <c r="E14" s="278">
        <v>0.097</v>
      </c>
      <c r="F14" s="278">
        <v>0.1</v>
      </c>
      <c r="G14" s="279">
        <v>0.098</v>
      </c>
    </row>
    <row r="15" spans="1:7">
      <c r="A15" s="276" t="s">
        <v>241</v>
      </c>
      <c r="B15" s="277" t="s">
        <v>2453</v>
      </c>
      <c r="C15" s="278">
        <v>0.098</v>
      </c>
      <c r="D15" s="278">
        <v>0.091</v>
      </c>
      <c r="E15" s="278">
        <v>0.06</v>
      </c>
      <c r="F15" s="278">
        <v>0.1</v>
      </c>
      <c r="G15" s="279">
        <v>0.097</v>
      </c>
    </row>
    <row r="16" spans="1:7">
      <c r="A16" s="276" t="s">
        <v>241</v>
      </c>
      <c r="B16" s="277" t="s">
        <v>2464</v>
      </c>
      <c r="C16" s="278">
        <v>0.098</v>
      </c>
      <c r="D16" s="278">
        <v>0.097</v>
      </c>
      <c r="E16" s="278">
        <v>0.095</v>
      </c>
      <c r="F16" s="278">
        <v>0.1</v>
      </c>
      <c r="G16" s="279">
        <v>0.099</v>
      </c>
    </row>
    <row r="17" spans="1:7">
      <c r="A17" s="276" t="s">
        <v>241</v>
      </c>
      <c r="B17" s="277" t="s">
        <v>2475</v>
      </c>
      <c r="C17" s="278">
        <v>0.089</v>
      </c>
      <c r="D17" s="278">
        <v>0.092</v>
      </c>
      <c r="E17" s="278">
        <v>0.061</v>
      </c>
      <c r="F17" s="278">
        <v>0.1</v>
      </c>
      <c r="G17" s="279">
        <v>0.097</v>
      </c>
    </row>
    <row r="18" spans="1:7">
      <c r="A18" s="276" t="s">
        <v>241</v>
      </c>
      <c r="B18" s="277" t="s">
        <v>2485</v>
      </c>
      <c r="C18" s="278">
        <v>0.098</v>
      </c>
      <c r="D18" s="278">
        <v>0.098</v>
      </c>
      <c r="E18" s="278">
        <v>0.098</v>
      </c>
      <c r="F18" s="285"/>
      <c r="G18" s="279">
        <v>0.099</v>
      </c>
    </row>
    <row r="19" spans="1:7">
      <c r="A19" s="276" t="s">
        <v>241</v>
      </c>
      <c r="B19" s="277" t="s">
        <v>2495</v>
      </c>
      <c r="C19" s="278">
        <v>0.099</v>
      </c>
      <c r="D19" s="278">
        <v>0.074</v>
      </c>
      <c r="E19" s="278">
        <v>0.081</v>
      </c>
      <c r="F19" s="285"/>
      <c r="G19" s="279">
        <v>0.093</v>
      </c>
    </row>
    <row r="20" spans="1:7">
      <c r="A20" s="276" t="s">
        <v>241</v>
      </c>
      <c r="B20" s="277" t="s">
        <v>2505</v>
      </c>
      <c r="C20" s="278">
        <v>0.1</v>
      </c>
      <c r="D20" s="278">
        <v>0.089</v>
      </c>
      <c r="E20" s="278">
        <v>0.089</v>
      </c>
      <c r="F20" s="285"/>
      <c r="G20" s="279">
        <v>0.095</v>
      </c>
    </row>
    <row r="21" spans="1:7">
      <c r="A21" s="276" t="s">
        <v>241</v>
      </c>
      <c r="B21" s="277" t="s">
        <v>2515</v>
      </c>
      <c r="C21" s="278">
        <v>0.1</v>
      </c>
      <c r="D21" s="278">
        <v>0.091</v>
      </c>
      <c r="E21" s="278">
        <v>0.082</v>
      </c>
      <c r="F21" s="285"/>
      <c r="G21" s="279">
        <v>0.097</v>
      </c>
    </row>
    <row r="22" spans="1:7">
      <c r="A22" s="276" t="s">
        <v>241</v>
      </c>
      <c r="B22" s="277" t="s">
        <v>2525</v>
      </c>
      <c r="C22" s="278">
        <v>0.095</v>
      </c>
      <c r="D22" s="278">
        <v>0.099</v>
      </c>
      <c r="E22" s="278">
        <v>0.098</v>
      </c>
      <c r="F22" s="285"/>
      <c r="G22" s="279">
        <v>0.1</v>
      </c>
    </row>
    <row r="23" spans="1:7">
      <c r="A23" s="276" t="s">
        <v>241</v>
      </c>
      <c r="B23" s="277" t="s">
        <v>2535</v>
      </c>
      <c r="C23" s="278">
        <v>0.099</v>
      </c>
      <c r="D23" s="278">
        <v>0.1</v>
      </c>
      <c r="E23" s="278">
        <v>0.1</v>
      </c>
      <c r="F23" s="285"/>
      <c r="G23" s="279">
        <v>0.1</v>
      </c>
    </row>
    <row r="24" spans="1:7">
      <c r="A24" s="276" t="s">
        <v>241</v>
      </c>
      <c r="B24" s="277" t="s">
        <v>2545</v>
      </c>
      <c r="C24" s="278">
        <v>0.095</v>
      </c>
      <c r="D24" s="278">
        <v>0.1</v>
      </c>
      <c r="E24" s="278">
        <v>0.098</v>
      </c>
      <c r="F24" s="285"/>
      <c r="G24" s="279">
        <v>0.1</v>
      </c>
    </row>
    <row r="25" spans="1:7">
      <c r="A25" s="276" t="s">
        <v>241</v>
      </c>
      <c r="B25" s="277" t="s">
        <v>2555</v>
      </c>
      <c r="C25" s="278">
        <v>0.05</v>
      </c>
      <c r="D25" s="278">
        <v>0.096</v>
      </c>
      <c r="E25" s="278">
        <v>0.096</v>
      </c>
      <c r="F25" s="285"/>
      <c r="G25" s="279">
        <v>0.096</v>
      </c>
    </row>
    <row r="26" spans="1:7">
      <c r="A26" s="276" t="s">
        <v>241</v>
      </c>
      <c r="B26" s="277" t="s">
        <v>2565</v>
      </c>
      <c r="C26" s="278">
        <v>0.063</v>
      </c>
      <c r="D26" s="278">
        <v>0.099</v>
      </c>
      <c r="E26" s="278">
        <v>0.098</v>
      </c>
      <c r="F26" s="285"/>
      <c r="G26" s="279">
        <v>0.1</v>
      </c>
    </row>
    <row r="27" spans="1:7">
      <c r="A27" s="276" t="s">
        <v>241</v>
      </c>
      <c r="B27" s="277" t="s">
        <v>2575</v>
      </c>
      <c r="C27" s="278">
        <v>0.052</v>
      </c>
      <c r="D27" s="278">
        <v>0.095</v>
      </c>
      <c r="E27" s="278">
        <v>0.064</v>
      </c>
      <c r="F27" s="285"/>
      <c r="G27" s="279">
        <v>0.097</v>
      </c>
    </row>
    <row r="28" spans="1:7">
      <c r="A28" s="276" t="s">
        <v>241</v>
      </c>
      <c r="B28" s="277" t="s">
        <v>2585</v>
      </c>
      <c r="C28" s="285"/>
      <c r="D28" s="278">
        <v>0.063</v>
      </c>
      <c r="E28" s="278">
        <v>0.052</v>
      </c>
      <c r="F28" s="285"/>
      <c r="G28" s="279">
        <v>0.063</v>
      </c>
    </row>
    <row r="29" ht="14.25" spans="1:7">
      <c r="A29" s="280" t="s">
        <v>241</v>
      </c>
      <c r="B29" s="281" t="s">
        <v>2595</v>
      </c>
      <c r="C29" s="286"/>
      <c r="D29" s="282">
        <v>0.052</v>
      </c>
      <c r="E29" s="282">
        <v>0.07</v>
      </c>
      <c r="F29" s="286"/>
      <c r="G29" s="284">
        <v>0.071</v>
      </c>
    </row>
    <row r="30" spans="1:7">
      <c r="A30" s="287" t="s">
        <v>251</v>
      </c>
      <c r="B30" s="273" t="s">
        <v>2392</v>
      </c>
      <c r="C30" s="274">
        <v>0.066</v>
      </c>
      <c r="D30" s="274">
        <v>0.066</v>
      </c>
      <c r="E30" s="274">
        <v>0.057</v>
      </c>
      <c r="F30" s="274">
        <v>0.1</v>
      </c>
      <c r="G30" s="275">
        <v>0.068</v>
      </c>
    </row>
    <row r="31" spans="1:7">
      <c r="A31" s="288" t="s">
        <v>251</v>
      </c>
      <c r="B31" s="277" t="s">
        <v>2405</v>
      </c>
      <c r="C31" s="278">
        <v>0.055</v>
      </c>
      <c r="D31" s="278">
        <v>0.082</v>
      </c>
      <c r="E31" s="278">
        <v>0.064</v>
      </c>
      <c r="F31" s="278">
        <v>0.1</v>
      </c>
      <c r="G31" s="279">
        <v>0.095</v>
      </c>
    </row>
    <row r="32" spans="1:7">
      <c r="A32" s="288" t="s">
        <v>251</v>
      </c>
      <c r="B32" s="277" t="s">
        <v>2419</v>
      </c>
      <c r="C32" s="278">
        <v>0.082</v>
      </c>
      <c r="D32" s="278">
        <v>0.087</v>
      </c>
      <c r="E32" s="278">
        <v>0.095</v>
      </c>
      <c r="F32" s="278">
        <v>0.1</v>
      </c>
      <c r="G32" s="279">
        <v>0.096</v>
      </c>
    </row>
    <row r="33" spans="1:7">
      <c r="A33" s="288" t="s">
        <v>251</v>
      </c>
      <c r="B33" s="277" t="s">
        <v>2431</v>
      </c>
      <c r="C33" s="278">
        <v>0.099</v>
      </c>
      <c r="D33" s="278">
        <v>0.092</v>
      </c>
      <c r="E33" s="278">
        <v>0.087</v>
      </c>
      <c r="F33" s="278">
        <v>0.1</v>
      </c>
      <c r="G33" s="279">
        <v>0.097</v>
      </c>
    </row>
    <row r="34" spans="1:7">
      <c r="A34" s="288" t="s">
        <v>251</v>
      </c>
      <c r="B34" s="277" t="s">
        <v>2443</v>
      </c>
      <c r="C34" s="278">
        <v>0.084</v>
      </c>
      <c r="D34" s="278">
        <v>0.097</v>
      </c>
      <c r="E34" s="278">
        <v>0.071</v>
      </c>
      <c r="F34" s="278">
        <v>0.1</v>
      </c>
      <c r="G34" s="279">
        <v>0.098</v>
      </c>
    </row>
    <row r="35" spans="1:7">
      <c r="A35" s="288" t="s">
        <v>251</v>
      </c>
      <c r="B35" s="277" t="s">
        <v>2454</v>
      </c>
      <c r="C35" s="278">
        <v>0.083</v>
      </c>
      <c r="D35" s="278">
        <v>0.097</v>
      </c>
      <c r="E35" s="278">
        <v>0.061</v>
      </c>
      <c r="F35" s="278">
        <v>0.1</v>
      </c>
      <c r="G35" s="279">
        <v>0.099</v>
      </c>
    </row>
    <row r="36" spans="1:7">
      <c r="A36" s="288" t="s">
        <v>251</v>
      </c>
      <c r="B36" s="277" t="s">
        <v>2465</v>
      </c>
      <c r="C36" s="278">
        <v>0.097</v>
      </c>
      <c r="D36" s="278">
        <v>0.097</v>
      </c>
      <c r="E36" s="278">
        <v>0.078</v>
      </c>
      <c r="F36" s="278">
        <v>0.1</v>
      </c>
      <c r="G36" s="279">
        <v>0.099</v>
      </c>
    </row>
    <row r="37" spans="1:7">
      <c r="A37" s="288" t="s">
        <v>251</v>
      </c>
      <c r="B37" s="277" t="s">
        <v>2476</v>
      </c>
      <c r="C37" s="278">
        <v>0.097</v>
      </c>
      <c r="D37" s="278">
        <v>0.095</v>
      </c>
      <c r="E37" s="278">
        <v>0.078</v>
      </c>
      <c r="F37" s="278">
        <v>0.1</v>
      </c>
      <c r="G37" s="279">
        <v>0.097</v>
      </c>
    </row>
    <row r="38" spans="1:7">
      <c r="A38" s="288" t="s">
        <v>251</v>
      </c>
      <c r="B38" s="277" t="s">
        <v>2486</v>
      </c>
      <c r="C38" s="278">
        <v>0.097</v>
      </c>
      <c r="D38" s="278">
        <v>0.077</v>
      </c>
      <c r="E38" s="278">
        <v>0.07</v>
      </c>
      <c r="F38" s="278">
        <v>0.1</v>
      </c>
      <c r="G38" s="279">
        <v>0.077</v>
      </c>
    </row>
    <row r="39" spans="1:7">
      <c r="A39" s="288" t="s">
        <v>251</v>
      </c>
      <c r="B39" s="277" t="s">
        <v>2496</v>
      </c>
      <c r="C39" s="278">
        <v>0.095</v>
      </c>
      <c r="D39" s="278">
        <v>0.077</v>
      </c>
      <c r="E39" s="278">
        <v>0.066</v>
      </c>
      <c r="F39" s="278">
        <v>0.1</v>
      </c>
      <c r="G39" s="279">
        <v>0.086</v>
      </c>
    </row>
    <row r="40" spans="1:7">
      <c r="A40" s="288" t="s">
        <v>251</v>
      </c>
      <c r="B40" s="277" t="s">
        <v>2506</v>
      </c>
      <c r="C40" s="278">
        <v>0.077</v>
      </c>
      <c r="D40" s="278">
        <v>0.078</v>
      </c>
      <c r="E40" s="278">
        <v>0.082</v>
      </c>
      <c r="F40" s="289"/>
      <c r="G40" s="279">
        <v>0.078</v>
      </c>
    </row>
    <row r="41" spans="1:7">
      <c r="A41" s="288" t="s">
        <v>251</v>
      </c>
      <c r="B41" s="277" t="s">
        <v>2516</v>
      </c>
      <c r="C41" s="278">
        <v>0.078</v>
      </c>
      <c r="D41" s="278">
        <v>0.078</v>
      </c>
      <c r="E41" s="278">
        <v>0.082</v>
      </c>
      <c r="F41" s="289"/>
      <c r="G41" s="279">
        <v>0.086</v>
      </c>
    </row>
    <row r="42" spans="1:7">
      <c r="A42" s="288" t="s">
        <v>251</v>
      </c>
      <c r="B42" s="277" t="s">
        <v>2526</v>
      </c>
      <c r="C42" s="278">
        <v>0.078</v>
      </c>
      <c r="D42" s="278">
        <v>0.096</v>
      </c>
      <c r="E42" s="278">
        <v>0.072</v>
      </c>
      <c r="F42" s="289"/>
      <c r="G42" s="279">
        <v>0.098</v>
      </c>
    </row>
    <row r="43" spans="1:7">
      <c r="A43" s="288" t="s">
        <v>251</v>
      </c>
      <c r="B43" s="277" t="s">
        <v>2536</v>
      </c>
      <c r="C43" s="278">
        <v>0.078</v>
      </c>
      <c r="D43" s="278">
        <v>0.099</v>
      </c>
      <c r="E43" s="278">
        <v>0.096</v>
      </c>
      <c r="F43" s="289"/>
      <c r="G43" s="279">
        <v>0.1</v>
      </c>
    </row>
    <row r="44" spans="1:7">
      <c r="A44" s="288" t="s">
        <v>251</v>
      </c>
      <c r="B44" s="277" t="s">
        <v>2546</v>
      </c>
      <c r="C44" s="278">
        <v>0.096</v>
      </c>
      <c r="D44" s="278">
        <v>0.1</v>
      </c>
      <c r="E44" s="278">
        <v>0.098</v>
      </c>
      <c r="F44" s="289"/>
      <c r="G44" s="279">
        <v>0.1</v>
      </c>
    </row>
    <row r="45" spans="1:7">
      <c r="A45" s="288" t="s">
        <v>251</v>
      </c>
      <c r="B45" s="277" t="s">
        <v>2556</v>
      </c>
      <c r="C45" s="278">
        <v>0.099</v>
      </c>
      <c r="D45" s="278">
        <v>0.098</v>
      </c>
      <c r="E45" s="278">
        <v>0.095</v>
      </c>
      <c r="F45" s="289"/>
      <c r="G45" s="279">
        <v>0.098</v>
      </c>
    </row>
    <row r="46" spans="1:7">
      <c r="A46" s="288" t="s">
        <v>251</v>
      </c>
      <c r="B46" s="277" t="s">
        <v>2566</v>
      </c>
      <c r="C46" s="278">
        <v>0.1</v>
      </c>
      <c r="D46" s="278">
        <v>0.099</v>
      </c>
      <c r="E46" s="278">
        <v>0.096</v>
      </c>
      <c r="F46" s="289"/>
      <c r="G46" s="279">
        <v>0.1</v>
      </c>
    </row>
    <row r="47" spans="1:7">
      <c r="A47" s="288" t="s">
        <v>251</v>
      </c>
      <c r="B47" s="277" t="s">
        <v>2576</v>
      </c>
      <c r="C47" s="278">
        <v>0.098</v>
      </c>
      <c r="D47" s="278">
        <v>0.087</v>
      </c>
      <c r="E47" s="278">
        <v>0.059</v>
      </c>
      <c r="F47" s="289"/>
      <c r="G47" s="279">
        <v>0.096</v>
      </c>
    </row>
    <row r="48" spans="1:7">
      <c r="A48" s="288" t="s">
        <v>251</v>
      </c>
      <c r="B48" s="277" t="s">
        <v>2586</v>
      </c>
      <c r="C48" s="278">
        <v>0.099</v>
      </c>
      <c r="D48" s="278">
        <v>0.098</v>
      </c>
      <c r="E48" s="278">
        <v>0.095</v>
      </c>
      <c r="F48" s="289"/>
      <c r="G48" s="279">
        <v>0.098</v>
      </c>
    </row>
    <row r="49" spans="1:7">
      <c r="A49" s="288" t="s">
        <v>251</v>
      </c>
      <c r="B49" s="277" t="s">
        <v>2596</v>
      </c>
      <c r="C49" s="278">
        <v>0.088</v>
      </c>
      <c r="D49" s="278">
        <v>0.099</v>
      </c>
      <c r="E49" s="278">
        <v>0.07</v>
      </c>
      <c r="F49" s="289"/>
      <c r="G49" s="279">
        <v>0.1</v>
      </c>
    </row>
    <row r="50" spans="1:7">
      <c r="A50" s="288" t="s">
        <v>251</v>
      </c>
      <c r="B50" s="277" t="s">
        <v>2605</v>
      </c>
      <c r="C50" s="278">
        <v>0.098</v>
      </c>
      <c r="D50" s="278">
        <v>0.073</v>
      </c>
      <c r="E50" s="278">
        <v>0.071</v>
      </c>
      <c r="F50" s="289"/>
      <c r="G50" s="279">
        <v>0.073</v>
      </c>
    </row>
    <row r="51" spans="1:7">
      <c r="A51" s="288" t="s">
        <v>251</v>
      </c>
      <c r="B51" s="277" t="s">
        <v>2613</v>
      </c>
      <c r="C51" s="278">
        <v>0.099</v>
      </c>
      <c r="D51" s="278">
        <v>0.085</v>
      </c>
      <c r="E51" s="278">
        <v>0.063</v>
      </c>
      <c r="F51" s="289"/>
      <c r="G51" s="279">
        <v>0.096</v>
      </c>
    </row>
    <row r="52" spans="1:7">
      <c r="A52" s="288" t="s">
        <v>251</v>
      </c>
      <c r="B52" s="277" t="s">
        <v>2621</v>
      </c>
      <c r="C52" s="278">
        <v>0.074</v>
      </c>
      <c r="D52" s="278">
        <v>0.096</v>
      </c>
      <c r="E52" s="278">
        <v>0.05</v>
      </c>
      <c r="F52" s="289"/>
      <c r="G52" s="279">
        <v>0.098</v>
      </c>
    </row>
    <row r="53" spans="1:7">
      <c r="A53" s="288" t="s">
        <v>251</v>
      </c>
      <c r="B53" s="277" t="s">
        <v>2629</v>
      </c>
      <c r="C53" s="278">
        <v>0.086</v>
      </c>
      <c r="D53" s="289"/>
      <c r="E53" s="278">
        <v>0.092</v>
      </c>
      <c r="F53" s="289"/>
      <c r="G53" s="290"/>
    </row>
    <row r="54" ht="14.25" spans="1:7">
      <c r="A54" s="291" t="s">
        <v>251</v>
      </c>
      <c r="B54" s="281" t="s">
        <v>2637</v>
      </c>
      <c r="C54" s="282">
        <v>0.096</v>
      </c>
      <c r="D54" s="283"/>
      <c r="E54" s="292"/>
      <c r="F54" s="283"/>
      <c r="G54" s="293"/>
    </row>
    <row r="55" spans="1:7">
      <c r="A55" s="287" t="s">
        <v>259</v>
      </c>
      <c r="B55" s="273" t="s">
        <v>2393</v>
      </c>
      <c r="C55" s="274">
        <v>0.096</v>
      </c>
      <c r="D55" s="274">
        <v>0.084</v>
      </c>
      <c r="E55" s="274">
        <v>0.092</v>
      </c>
      <c r="F55" s="274">
        <v>0.1</v>
      </c>
      <c r="G55" s="275">
        <v>0.095</v>
      </c>
    </row>
    <row r="56" spans="1:7">
      <c r="A56" s="288" t="s">
        <v>259</v>
      </c>
      <c r="B56" s="277" t="s">
        <v>2406</v>
      </c>
      <c r="C56" s="278">
        <v>0.084</v>
      </c>
      <c r="D56" s="278">
        <v>0.092</v>
      </c>
      <c r="E56" s="278">
        <v>0.095</v>
      </c>
      <c r="F56" s="278">
        <v>0.092</v>
      </c>
      <c r="G56" s="279">
        <v>0.096</v>
      </c>
    </row>
    <row r="57" spans="1:7">
      <c r="A57" s="288" t="s">
        <v>259</v>
      </c>
      <c r="B57" s="277" t="s">
        <v>2420</v>
      </c>
      <c r="C57" s="278">
        <v>0.099</v>
      </c>
      <c r="D57" s="278">
        <v>0.096</v>
      </c>
      <c r="E57" s="278">
        <v>0.092</v>
      </c>
      <c r="F57" s="278">
        <v>0.1</v>
      </c>
      <c r="G57" s="279">
        <v>0.098</v>
      </c>
    </row>
    <row r="58" spans="1:7">
      <c r="A58" s="288" t="s">
        <v>259</v>
      </c>
      <c r="B58" s="277" t="s">
        <v>2432</v>
      </c>
      <c r="C58" s="278">
        <v>0.098</v>
      </c>
      <c r="D58" s="278">
        <v>0.095</v>
      </c>
      <c r="E58" s="278">
        <v>0.057</v>
      </c>
      <c r="F58" s="278">
        <v>0.1</v>
      </c>
      <c r="G58" s="279">
        <v>0.096</v>
      </c>
    </row>
    <row r="59" spans="1:7">
      <c r="A59" s="288" t="s">
        <v>259</v>
      </c>
      <c r="B59" s="277" t="s">
        <v>2444</v>
      </c>
      <c r="C59" s="278">
        <v>0.095</v>
      </c>
      <c r="D59" s="278">
        <v>0.1</v>
      </c>
      <c r="E59" s="278">
        <v>0.075</v>
      </c>
      <c r="F59" s="278">
        <v>0.1</v>
      </c>
      <c r="G59" s="279">
        <v>0.1</v>
      </c>
    </row>
    <row r="60" spans="1:7">
      <c r="A60" s="288" t="s">
        <v>259</v>
      </c>
      <c r="B60" s="277" t="s">
        <v>2455</v>
      </c>
      <c r="C60" s="278">
        <v>0.1</v>
      </c>
      <c r="D60" s="278">
        <v>0.097</v>
      </c>
      <c r="E60" s="278">
        <v>0.1</v>
      </c>
      <c r="F60" s="278">
        <v>0.1</v>
      </c>
      <c r="G60" s="279">
        <v>0.097</v>
      </c>
    </row>
    <row r="61" spans="1:7">
      <c r="A61" s="288" t="s">
        <v>259</v>
      </c>
      <c r="B61" s="277" t="s">
        <v>2466</v>
      </c>
      <c r="C61" s="278">
        <v>0.097</v>
      </c>
      <c r="D61" s="278">
        <v>0.1</v>
      </c>
      <c r="E61" s="278">
        <v>0.093</v>
      </c>
      <c r="F61" s="278">
        <v>0.1</v>
      </c>
      <c r="G61" s="279">
        <v>0.1</v>
      </c>
    </row>
    <row r="62" spans="1:7">
      <c r="A62" s="288" t="s">
        <v>259</v>
      </c>
      <c r="B62" s="277" t="s">
        <v>2477</v>
      </c>
      <c r="C62" s="278">
        <v>0.1</v>
      </c>
      <c r="D62" s="278">
        <v>0.097</v>
      </c>
      <c r="E62" s="278">
        <v>0.089</v>
      </c>
      <c r="F62" s="278">
        <v>0.1</v>
      </c>
      <c r="G62" s="279">
        <v>0.098</v>
      </c>
    </row>
    <row r="63" spans="1:7">
      <c r="A63" s="288" t="s">
        <v>259</v>
      </c>
      <c r="B63" s="277" t="s">
        <v>2487</v>
      </c>
      <c r="C63" s="278">
        <v>0.097</v>
      </c>
      <c r="D63" s="278">
        <v>0.097</v>
      </c>
      <c r="E63" s="278">
        <v>0.099</v>
      </c>
      <c r="F63" s="278">
        <v>0.1</v>
      </c>
      <c r="G63" s="279">
        <v>0.097</v>
      </c>
    </row>
    <row r="64" spans="1:7">
      <c r="A64" s="288" t="s">
        <v>259</v>
      </c>
      <c r="B64" s="277" t="s">
        <v>2497</v>
      </c>
      <c r="C64" s="278">
        <v>0.097</v>
      </c>
      <c r="D64" s="278">
        <v>0.074</v>
      </c>
      <c r="E64" s="278">
        <v>0.078</v>
      </c>
      <c r="F64" s="278">
        <v>0.1</v>
      </c>
      <c r="G64" s="279">
        <v>0.089</v>
      </c>
    </row>
    <row r="65" spans="1:7">
      <c r="A65" s="288" t="s">
        <v>259</v>
      </c>
      <c r="B65" s="277" t="s">
        <v>2507</v>
      </c>
      <c r="C65" s="278">
        <v>0.073</v>
      </c>
      <c r="D65" s="278">
        <v>0.098</v>
      </c>
      <c r="E65" s="278">
        <v>0.095</v>
      </c>
      <c r="F65" s="278">
        <v>0.1</v>
      </c>
      <c r="G65" s="279">
        <v>0.099</v>
      </c>
    </row>
    <row r="66" spans="1:7">
      <c r="A66" s="288" t="s">
        <v>259</v>
      </c>
      <c r="B66" s="277" t="s">
        <v>2517</v>
      </c>
      <c r="C66" s="278">
        <v>0.098</v>
      </c>
      <c r="D66" s="278">
        <v>0.095</v>
      </c>
      <c r="E66" s="278">
        <v>0.05</v>
      </c>
      <c r="F66" s="278">
        <v>0.1</v>
      </c>
      <c r="G66" s="279">
        <v>0.097</v>
      </c>
    </row>
    <row r="67" spans="1:7">
      <c r="A67" s="288" t="s">
        <v>259</v>
      </c>
      <c r="B67" s="277" t="s">
        <v>2527</v>
      </c>
      <c r="C67" s="278">
        <v>0.095</v>
      </c>
      <c r="D67" s="278">
        <v>0.097</v>
      </c>
      <c r="E67" s="278">
        <v>0.097</v>
      </c>
      <c r="F67" s="278">
        <v>0.1</v>
      </c>
      <c r="G67" s="279">
        <v>0.099</v>
      </c>
    </row>
    <row r="68" spans="1:7">
      <c r="A68" s="288" t="s">
        <v>259</v>
      </c>
      <c r="B68" s="277" t="s">
        <v>2537</v>
      </c>
      <c r="C68" s="278">
        <v>0.097</v>
      </c>
      <c r="D68" s="278">
        <v>0.068</v>
      </c>
      <c r="E68" s="278">
        <v>0.066</v>
      </c>
      <c r="F68" s="278">
        <v>0.1</v>
      </c>
      <c r="G68" s="279">
        <v>0.084</v>
      </c>
    </row>
    <row r="69" spans="1:7">
      <c r="A69" s="288" t="s">
        <v>259</v>
      </c>
      <c r="B69" s="277" t="s">
        <v>2547</v>
      </c>
      <c r="C69" s="278">
        <v>0.068</v>
      </c>
      <c r="D69" s="278">
        <v>0.098</v>
      </c>
      <c r="E69" s="278">
        <v>0.095</v>
      </c>
      <c r="F69" s="278">
        <v>0.1</v>
      </c>
      <c r="G69" s="279">
        <v>0.1</v>
      </c>
    </row>
    <row r="70" spans="1:7">
      <c r="A70" s="288" t="s">
        <v>259</v>
      </c>
      <c r="B70" s="277" t="s">
        <v>2557</v>
      </c>
      <c r="C70" s="278">
        <v>0.098</v>
      </c>
      <c r="D70" s="278">
        <v>0.089</v>
      </c>
      <c r="E70" s="278">
        <v>0.059</v>
      </c>
      <c r="F70" s="278">
        <v>0.1</v>
      </c>
      <c r="G70" s="279">
        <v>0.096</v>
      </c>
    </row>
    <row r="71" spans="1:7">
      <c r="A71" s="288" t="s">
        <v>259</v>
      </c>
      <c r="B71" s="277" t="s">
        <v>2567</v>
      </c>
      <c r="C71" s="278">
        <v>0.089</v>
      </c>
      <c r="D71" s="278">
        <v>0.099</v>
      </c>
      <c r="E71" s="278">
        <v>0.096</v>
      </c>
      <c r="F71" s="278">
        <v>0.1</v>
      </c>
      <c r="G71" s="279">
        <v>0.1</v>
      </c>
    </row>
    <row r="72" spans="1:7">
      <c r="A72" s="288" t="s">
        <v>259</v>
      </c>
      <c r="B72" s="277" t="s">
        <v>2577</v>
      </c>
      <c r="C72" s="278">
        <v>0.099</v>
      </c>
      <c r="D72" s="278">
        <v>0.1</v>
      </c>
      <c r="E72" s="278">
        <v>0.07</v>
      </c>
      <c r="F72" s="289"/>
      <c r="G72" s="279">
        <v>0.1</v>
      </c>
    </row>
    <row r="73" spans="1:7">
      <c r="A73" s="288" t="s">
        <v>259</v>
      </c>
      <c r="B73" s="277" t="s">
        <v>2587</v>
      </c>
      <c r="C73" s="278">
        <v>0.1</v>
      </c>
      <c r="D73" s="278">
        <v>0.1</v>
      </c>
      <c r="E73" s="278">
        <v>0.096</v>
      </c>
      <c r="F73" s="289"/>
      <c r="G73" s="279">
        <v>0.1</v>
      </c>
    </row>
    <row r="74" spans="1:7">
      <c r="A74" s="288" t="s">
        <v>259</v>
      </c>
      <c r="B74" s="277" t="s">
        <v>2597</v>
      </c>
      <c r="C74" s="278">
        <v>0.1</v>
      </c>
      <c r="D74" s="278">
        <v>0.1</v>
      </c>
      <c r="E74" s="278">
        <v>0.098</v>
      </c>
      <c r="F74" s="289"/>
      <c r="G74" s="279">
        <v>0.1</v>
      </c>
    </row>
    <row r="75" spans="1:7">
      <c r="A75" s="288" t="s">
        <v>259</v>
      </c>
      <c r="B75" s="277" t="s">
        <v>2606</v>
      </c>
      <c r="C75" s="278">
        <v>0.1</v>
      </c>
      <c r="D75" s="278">
        <v>0.099</v>
      </c>
      <c r="E75" s="278">
        <v>0.098</v>
      </c>
      <c r="F75" s="289"/>
      <c r="G75" s="279">
        <v>0.1</v>
      </c>
    </row>
    <row r="76" spans="1:7">
      <c r="A76" s="288" t="s">
        <v>259</v>
      </c>
      <c r="B76" s="277" t="s">
        <v>2614</v>
      </c>
      <c r="C76" s="278">
        <v>0.099</v>
      </c>
      <c r="D76" s="278">
        <v>0.1</v>
      </c>
      <c r="E76" s="278">
        <v>0.097</v>
      </c>
      <c r="F76" s="289"/>
      <c r="G76" s="279">
        <v>0.1</v>
      </c>
    </row>
    <row r="77" spans="1:7">
      <c r="A77" s="288" t="s">
        <v>259</v>
      </c>
      <c r="B77" s="277" t="s">
        <v>2622</v>
      </c>
      <c r="C77" s="278">
        <v>0.1</v>
      </c>
      <c r="D77" s="278">
        <v>0.1</v>
      </c>
      <c r="E77" s="278">
        <v>0.096</v>
      </c>
      <c r="F77" s="289"/>
      <c r="G77" s="279">
        <v>0.1</v>
      </c>
    </row>
    <row r="78" spans="1:7">
      <c r="A78" s="288" t="s">
        <v>259</v>
      </c>
      <c r="B78" s="277" t="s">
        <v>2630</v>
      </c>
      <c r="C78" s="278">
        <v>0.1</v>
      </c>
      <c r="D78" s="278">
        <v>0.085</v>
      </c>
      <c r="E78" s="278">
        <v>0.096</v>
      </c>
      <c r="F78" s="289"/>
      <c r="G78" s="279">
        <v>0.096</v>
      </c>
    </row>
    <row r="79" spans="1:7">
      <c r="A79" s="288" t="s">
        <v>259</v>
      </c>
      <c r="B79" s="277" t="s">
        <v>2638</v>
      </c>
      <c r="C79" s="278">
        <v>0.05</v>
      </c>
      <c r="D79" s="278">
        <v>0.096</v>
      </c>
      <c r="E79" s="278">
        <v>0.095</v>
      </c>
      <c r="F79" s="289"/>
      <c r="G79" s="279">
        <v>0.098</v>
      </c>
    </row>
    <row r="80" spans="1:7">
      <c r="A80" s="288" t="s">
        <v>259</v>
      </c>
      <c r="B80" s="277" t="s">
        <v>2645</v>
      </c>
      <c r="C80" s="278">
        <v>0.086</v>
      </c>
      <c r="D80" s="294"/>
      <c r="E80" s="278">
        <v>0.1</v>
      </c>
      <c r="F80" s="289"/>
      <c r="G80" s="290"/>
    </row>
    <row r="81" spans="1:7">
      <c r="A81" s="288" t="s">
        <v>259</v>
      </c>
      <c r="B81" s="277" t="s">
        <v>2652</v>
      </c>
      <c r="C81" s="278">
        <v>0.096</v>
      </c>
      <c r="D81" s="289"/>
      <c r="E81" s="278">
        <v>0.098</v>
      </c>
      <c r="F81" s="289"/>
      <c r="G81" s="290"/>
    </row>
    <row r="82" spans="1:7">
      <c r="A82" s="288" t="s">
        <v>259</v>
      </c>
      <c r="B82" s="277" t="s">
        <v>2659</v>
      </c>
      <c r="C82" s="294"/>
      <c r="D82" s="289"/>
      <c r="E82" s="278">
        <v>0.077</v>
      </c>
      <c r="F82" s="289"/>
      <c r="G82" s="290"/>
    </row>
    <row r="83" spans="1:7">
      <c r="A83" s="288" t="s">
        <v>259</v>
      </c>
      <c r="B83" s="277" t="s">
        <v>2666</v>
      </c>
      <c r="C83" s="289"/>
      <c r="D83" s="289"/>
      <c r="E83" s="289"/>
      <c r="F83" s="278">
        <v>0.1</v>
      </c>
      <c r="G83" s="295"/>
    </row>
    <row r="84" spans="1:7">
      <c r="A84" s="288" t="s">
        <v>259</v>
      </c>
      <c r="B84" s="277" t="s">
        <v>2673</v>
      </c>
      <c r="C84" s="289"/>
      <c r="D84" s="289"/>
      <c r="E84" s="289"/>
      <c r="F84" s="278">
        <v>0.1</v>
      </c>
      <c r="G84" s="295"/>
    </row>
    <row r="85" spans="1:7">
      <c r="A85" s="288" t="s">
        <v>259</v>
      </c>
      <c r="B85" s="277" t="s">
        <v>2680</v>
      </c>
      <c r="C85" s="289"/>
      <c r="D85" s="289"/>
      <c r="E85" s="289"/>
      <c r="F85" s="278">
        <v>0.1</v>
      </c>
      <c r="G85" s="295"/>
    </row>
    <row r="86" ht="14.25" spans="1:7">
      <c r="A86" s="291" t="s">
        <v>259</v>
      </c>
      <c r="B86" s="281" t="s">
        <v>2687</v>
      </c>
      <c r="C86" s="282">
        <v>0.098</v>
      </c>
      <c r="D86" s="282">
        <v>0.098</v>
      </c>
      <c r="E86" s="282">
        <v>0.096</v>
      </c>
      <c r="F86" s="292"/>
      <c r="G86" s="284">
        <v>0.1</v>
      </c>
    </row>
    <row r="87" spans="1:7">
      <c r="A87" s="287" t="s">
        <v>267</v>
      </c>
      <c r="B87" s="273" t="s">
        <v>2394</v>
      </c>
      <c r="C87" s="274">
        <v>0.1</v>
      </c>
      <c r="D87" s="274">
        <v>0.1</v>
      </c>
      <c r="E87" s="274">
        <v>0.098</v>
      </c>
      <c r="F87" s="274">
        <v>0.1</v>
      </c>
      <c r="G87" s="275">
        <v>0.1</v>
      </c>
    </row>
    <row r="88" spans="1:7">
      <c r="A88" s="288" t="s">
        <v>267</v>
      </c>
      <c r="B88" s="277" t="s">
        <v>2407</v>
      </c>
      <c r="C88" s="278">
        <v>0.091</v>
      </c>
      <c r="D88" s="278">
        <v>0.092</v>
      </c>
      <c r="E88" s="278">
        <v>0.1</v>
      </c>
      <c r="F88" s="278">
        <v>0.1</v>
      </c>
      <c r="G88" s="279">
        <v>0.096</v>
      </c>
    </row>
    <row r="89" spans="1:7">
      <c r="A89" s="288" t="s">
        <v>267</v>
      </c>
      <c r="B89" s="277" t="s">
        <v>2421</v>
      </c>
      <c r="C89" s="278">
        <v>0.1</v>
      </c>
      <c r="D89" s="278">
        <v>0.1</v>
      </c>
      <c r="E89" s="278">
        <v>0.067</v>
      </c>
      <c r="F89" s="278">
        <v>0.093</v>
      </c>
      <c r="G89" s="279">
        <v>0.1</v>
      </c>
    </row>
    <row r="90" spans="1:7">
      <c r="A90" s="288" t="s">
        <v>267</v>
      </c>
      <c r="B90" s="277" t="s">
        <v>2433</v>
      </c>
      <c r="C90" s="278">
        <v>0.096</v>
      </c>
      <c r="D90" s="278">
        <v>0.096</v>
      </c>
      <c r="E90" s="278">
        <v>0.1</v>
      </c>
      <c r="F90" s="278">
        <v>0.1</v>
      </c>
      <c r="G90" s="279">
        <v>0.098</v>
      </c>
    </row>
    <row r="91" spans="1:7">
      <c r="A91" s="288" t="s">
        <v>267</v>
      </c>
      <c r="B91" s="277" t="s">
        <v>2445</v>
      </c>
      <c r="C91" s="278">
        <v>0.077</v>
      </c>
      <c r="D91" s="278">
        <v>0.077</v>
      </c>
      <c r="E91" s="278">
        <v>0.096</v>
      </c>
      <c r="F91" s="278">
        <v>0.1</v>
      </c>
      <c r="G91" s="279">
        <v>0.077</v>
      </c>
    </row>
    <row r="92" spans="1:7">
      <c r="A92" s="288" t="s">
        <v>267</v>
      </c>
      <c r="B92" s="277" t="s">
        <v>2456</v>
      </c>
      <c r="C92" s="278">
        <v>0.1</v>
      </c>
      <c r="D92" s="278">
        <v>0.1</v>
      </c>
      <c r="E92" s="278">
        <v>0.092</v>
      </c>
      <c r="F92" s="278">
        <v>0.1</v>
      </c>
      <c r="G92" s="279">
        <v>0.1</v>
      </c>
    </row>
    <row r="93" spans="1:7">
      <c r="A93" s="288" t="s">
        <v>267</v>
      </c>
      <c r="B93" s="277" t="s">
        <v>2467</v>
      </c>
      <c r="C93" s="278">
        <v>0.098</v>
      </c>
      <c r="D93" s="278">
        <v>0.098</v>
      </c>
      <c r="E93" s="278">
        <v>0.096</v>
      </c>
      <c r="F93" s="278">
        <v>0.1</v>
      </c>
      <c r="G93" s="279">
        <v>0.099</v>
      </c>
    </row>
    <row r="94" spans="1:7">
      <c r="A94" s="288" t="s">
        <v>267</v>
      </c>
      <c r="B94" s="277" t="s">
        <v>2478</v>
      </c>
      <c r="C94" s="278">
        <v>0.088</v>
      </c>
      <c r="D94" s="278">
        <v>0.088</v>
      </c>
      <c r="E94" s="278">
        <v>0.096</v>
      </c>
      <c r="F94" s="278">
        <v>0.1</v>
      </c>
      <c r="G94" s="279">
        <v>0.088</v>
      </c>
    </row>
    <row r="95" spans="1:7">
      <c r="A95" s="288" t="s">
        <v>267</v>
      </c>
      <c r="B95" s="277" t="s">
        <v>2488</v>
      </c>
      <c r="C95" s="278">
        <v>0.096</v>
      </c>
      <c r="D95" s="278">
        <v>0.096</v>
      </c>
      <c r="E95" s="278">
        <v>0.1</v>
      </c>
      <c r="F95" s="278">
        <v>0.1</v>
      </c>
      <c r="G95" s="279">
        <v>0.098</v>
      </c>
    </row>
    <row r="96" spans="1:7">
      <c r="A96" s="288" t="s">
        <v>267</v>
      </c>
      <c r="B96" s="277" t="s">
        <v>2498</v>
      </c>
      <c r="C96" s="278">
        <v>0.097</v>
      </c>
      <c r="D96" s="278">
        <v>0.097</v>
      </c>
      <c r="E96" s="278">
        <v>0.1</v>
      </c>
      <c r="F96" s="278">
        <v>0.1</v>
      </c>
      <c r="G96" s="279">
        <v>0.098</v>
      </c>
    </row>
    <row r="97" spans="1:7">
      <c r="A97" s="288" t="s">
        <v>267</v>
      </c>
      <c r="B97" s="277" t="s">
        <v>2508</v>
      </c>
      <c r="C97" s="278">
        <v>0.096</v>
      </c>
      <c r="D97" s="278">
        <v>0.096</v>
      </c>
      <c r="E97" s="278">
        <v>0.099</v>
      </c>
      <c r="F97" s="278">
        <v>0.1</v>
      </c>
      <c r="G97" s="279">
        <v>0.098</v>
      </c>
    </row>
    <row r="98" spans="1:7">
      <c r="A98" s="288" t="s">
        <v>267</v>
      </c>
      <c r="B98" s="277" t="s">
        <v>2518</v>
      </c>
      <c r="C98" s="278">
        <v>0.098</v>
      </c>
      <c r="D98" s="278">
        <v>0.098</v>
      </c>
      <c r="E98" s="278">
        <v>0.1</v>
      </c>
      <c r="F98" s="278">
        <v>0.1</v>
      </c>
      <c r="G98" s="279">
        <v>0.099</v>
      </c>
    </row>
    <row r="99" spans="1:7">
      <c r="A99" s="288" t="s">
        <v>267</v>
      </c>
      <c r="B99" s="277" t="s">
        <v>2528</v>
      </c>
      <c r="C99" s="278">
        <v>0.096</v>
      </c>
      <c r="D99" s="278">
        <v>0.096</v>
      </c>
      <c r="E99" s="278">
        <v>0.1</v>
      </c>
      <c r="F99" s="278">
        <v>0.1</v>
      </c>
      <c r="G99" s="279">
        <v>0.097</v>
      </c>
    </row>
    <row r="100" spans="1:7">
      <c r="A100" s="288" t="s">
        <v>267</v>
      </c>
      <c r="B100" s="277" t="s">
        <v>2538</v>
      </c>
      <c r="C100" s="278">
        <v>0.1</v>
      </c>
      <c r="D100" s="278">
        <v>0.1</v>
      </c>
      <c r="E100" s="278">
        <v>0.097</v>
      </c>
      <c r="F100" s="278">
        <v>0.098</v>
      </c>
      <c r="G100" s="279">
        <v>0.1</v>
      </c>
    </row>
    <row r="101" spans="1:7">
      <c r="A101" s="288" t="s">
        <v>267</v>
      </c>
      <c r="B101" s="277" t="s">
        <v>2548</v>
      </c>
      <c r="C101" s="278">
        <v>0.1</v>
      </c>
      <c r="D101" s="278">
        <v>0.1</v>
      </c>
      <c r="E101" s="278">
        <v>0.095</v>
      </c>
      <c r="F101" s="278">
        <v>0.1</v>
      </c>
      <c r="G101" s="279">
        <v>0.1</v>
      </c>
    </row>
    <row r="102" spans="1:7">
      <c r="A102" s="288" t="s">
        <v>267</v>
      </c>
      <c r="B102" s="277" t="s">
        <v>2558</v>
      </c>
      <c r="C102" s="278">
        <v>0.1</v>
      </c>
      <c r="D102" s="278">
        <v>0.1</v>
      </c>
      <c r="E102" s="278">
        <v>0.099</v>
      </c>
      <c r="F102" s="278">
        <v>0.097</v>
      </c>
      <c r="G102" s="279">
        <v>0.1</v>
      </c>
    </row>
    <row r="103" spans="1:7">
      <c r="A103" s="288" t="s">
        <v>267</v>
      </c>
      <c r="B103" s="277" t="s">
        <v>2568</v>
      </c>
      <c r="C103" s="278">
        <v>0.1</v>
      </c>
      <c r="D103" s="278">
        <v>0.1</v>
      </c>
      <c r="E103" s="278">
        <v>0.098</v>
      </c>
      <c r="F103" s="278">
        <v>0.1</v>
      </c>
      <c r="G103" s="279">
        <v>0.1</v>
      </c>
    </row>
    <row r="104" spans="1:7">
      <c r="A104" s="288" t="s">
        <v>267</v>
      </c>
      <c r="B104" s="277" t="s">
        <v>2578</v>
      </c>
      <c r="C104" s="278">
        <v>0.1</v>
      </c>
      <c r="D104" s="278">
        <v>0.1</v>
      </c>
      <c r="E104" s="278">
        <v>0.098</v>
      </c>
      <c r="F104" s="278">
        <v>0.1</v>
      </c>
      <c r="G104" s="279">
        <v>0.1</v>
      </c>
    </row>
    <row r="105" spans="1:7">
      <c r="A105" s="288" t="s">
        <v>267</v>
      </c>
      <c r="B105" s="277" t="s">
        <v>2588</v>
      </c>
      <c r="C105" s="278">
        <v>0.098</v>
      </c>
      <c r="D105" s="278">
        <v>0.098</v>
      </c>
      <c r="E105" s="278">
        <v>0.098</v>
      </c>
      <c r="F105" s="278">
        <v>0.1</v>
      </c>
      <c r="G105" s="279">
        <v>0.099</v>
      </c>
    </row>
    <row r="106" spans="1:7">
      <c r="A106" s="288" t="s">
        <v>267</v>
      </c>
      <c r="B106" s="277" t="s">
        <v>2598</v>
      </c>
      <c r="C106" s="278">
        <v>0.097</v>
      </c>
      <c r="D106" s="278">
        <v>0.097</v>
      </c>
      <c r="E106" s="278">
        <v>0.097</v>
      </c>
      <c r="F106" s="278">
        <v>0.1</v>
      </c>
      <c r="G106" s="279">
        <v>0.099</v>
      </c>
    </row>
    <row r="107" spans="1:7">
      <c r="A107" s="288" t="s">
        <v>267</v>
      </c>
      <c r="B107" s="277" t="s">
        <v>2607</v>
      </c>
      <c r="C107" s="278">
        <v>0.1</v>
      </c>
      <c r="D107" s="278">
        <v>0.1</v>
      </c>
      <c r="E107" s="278">
        <v>0.086</v>
      </c>
      <c r="F107" s="278">
        <v>0.09</v>
      </c>
      <c r="G107" s="279">
        <v>0.1</v>
      </c>
    </row>
    <row r="108" spans="1:7">
      <c r="A108" s="288" t="s">
        <v>267</v>
      </c>
      <c r="B108" s="277" t="s">
        <v>2615</v>
      </c>
      <c r="C108" s="278">
        <v>0.1</v>
      </c>
      <c r="D108" s="278">
        <v>0.1</v>
      </c>
      <c r="E108" s="278">
        <v>0.096</v>
      </c>
      <c r="F108" s="289"/>
      <c r="G108" s="279">
        <v>0.1</v>
      </c>
    </row>
    <row r="109" spans="1:7">
      <c r="A109" s="288" t="s">
        <v>267</v>
      </c>
      <c r="B109" s="277" t="s">
        <v>2623</v>
      </c>
      <c r="C109" s="278">
        <v>0.1</v>
      </c>
      <c r="D109" s="278">
        <v>0.1</v>
      </c>
      <c r="E109" s="278">
        <v>0.1</v>
      </c>
      <c r="F109" s="289"/>
      <c r="G109" s="279">
        <v>0.1</v>
      </c>
    </row>
    <row r="110" spans="1:7">
      <c r="A110" s="288" t="s">
        <v>267</v>
      </c>
      <c r="B110" s="277" t="s">
        <v>2631</v>
      </c>
      <c r="C110" s="278">
        <v>0.1</v>
      </c>
      <c r="D110" s="278">
        <v>0.1</v>
      </c>
      <c r="E110" s="278">
        <v>0.1</v>
      </c>
      <c r="F110" s="289"/>
      <c r="G110" s="279">
        <v>0.1</v>
      </c>
    </row>
    <row r="111" spans="1:7">
      <c r="A111" s="288" t="s">
        <v>267</v>
      </c>
      <c r="B111" s="277" t="s">
        <v>2639</v>
      </c>
      <c r="C111" s="278">
        <v>0.1</v>
      </c>
      <c r="D111" s="278">
        <v>0.1</v>
      </c>
      <c r="E111" s="278">
        <v>0.095</v>
      </c>
      <c r="F111" s="289"/>
      <c r="G111" s="279">
        <v>0.1</v>
      </c>
    </row>
    <row r="112" spans="1:7">
      <c r="A112" s="288" t="s">
        <v>267</v>
      </c>
      <c r="B112" s="277" t="s">
        <v>2646</v>
      </c>
      <c r="C112" s="278">
        <v>0.097</v>
      </c>
      <c r="D112" s="278">
        <v>0.097</v>
      </c>
      <c r="E112" s="278">
        <v>0.05</v>
      </c>
      <c r="F112" s="289"/>
      <c r="G112" s="279">
        <v>0.098</v>
      </c>
    </row>
    <row r="113" spans="1:7">
      <c r="A113" s="288" t="s">
        <v>267</v>
      </c>
      <c r="B113" s="277" t="s">
        <v>2653</v>
      </c>
      <c r="C113" s="278">
        <v>0.1</v>
      </c>
      <c r="D113" s="278">
        <v>0.1</v>
      </c>
      <c r="E113" s="289"/>
      <c r="F113" s="289"/>
      <c r="G113" s="279">
        <v>0.1</v>
      </c>
    </row>
    <row r="114" spans="1:7">
      <c r="A114" s="288" t="s">
        <v>267</v>
      </c>
      <c r="B114" s="277" t="s">
        <v>2660</v>
      </c>
      <c r="C114" s="278">
        <v>0.097</v>
      </c>
      <c r="D114" s="278">
        <v>0.097</v>
      </c>
      <c r="E114" s="289"/>
      <c r="F114" s="289"/>
      <c r="G114" s="279">
        <v>0.099</v>
      </c>
    </row>
    <row r="115" spans="1:7">
      <c r="A115" s="288" t="s">
        <v>267</v>
      </c>
      <c r="B115" s="277" t="s">
        <v>2667</v>
      </c>
      <c r="C115" s="278">
        <v>0.1</v>
      </c>
      <c r="D115" s="278">
        <v>0.1</v>
      </c>
      <c r="E115" s="289"/>
      <c r="F115" s="289"/>
      <c r="G115" s="279">
        <v>0.1</v>
      </c>
    </row>
    <row r="116" spans="1:7">
      <c r="A116" s="288" t="s">
        <v>267</v>
      </c>
      <c r="B116" s="277" t="s">
        <v>2674</v>
      </c>
      <c r="C116" s="278">
        <v>0.1</v>
      </c>
      <c r="D116" s="278">
        <v>0.1</v>
      </c>
      <c r="E116" s="289"/>
      <c r="F116" s="289"/>
      <c r="G116" s="279">
        <v>0.1</v>
      </c>
    </row>
    <row r="117" spans="1:7">
      <c r="A117" s="288" t="s">
        <v>267</v>
      </c>
      <c r="B117" s="277" t="s">
        <v>2681</v>
      </c>
      <c r="C117" s="278">
        <v>0.097</v>
      </c>
      <c r="D117" s="278">
        <v>0.097</v>
      </c>
      <c r="E117" s="289"/>
      <c r="F117" s="289"/>
      <c r="G117" s="279">
        <v>0.097</v>
      </c>
    </row>
    <row r="118" spans="1:7">
      <c r="A118" s="288" t="s">
        <v>267</v>
      </c>
      <c r="B118" s="277" t="s">
        <v>2688</v>
      </c>
      <c r="C118" s="278">
        <v>0.1</v>
      </c>
      <c r="D118" s="278">
        <v>0.1</v>
      </c>
      <c r="E118" s="289"/>
      <c r="F118" s="289"/>
      <c r="G118" s="279">
        <v>0.1</v>
      </c>
    </row>
    <row r="119" spans="1:7">
      <c r="A119" s="288" t="s">
        <v>267</v>
      </c>
      <c r="B119" s="277" t="s">
        <v>2693</v>
      </c>
      <c r="C119" s="278">
        <v>0.051</v>
      </c>
      <c r="D119" s="278">
        <v>0.052</v>
      </c>
      <c r="E119" s="289"/>
      <c r="F119" s="294"/>
      <c r="G119" s="279">
        <v>0.06</v>
      </c>
    </row>
    <row r="120" spans="1:7">
      <c r="A120" s="288" t="s">
        <v>267</v>
      </c>
      <c r="B120" s="277" t="s">
        <v>2698</v>
      </c>
      <c r="C120" s="289"/>
      <c r="D120" s="289"/>
      <c r="E120" s="289"/>
      <c r="F120" s="278">
        <v>0.1</v>
      </c>
      <c r="G120" s="295"/>
    </row>
    <row r="121" spans="1:7">
      <c r="A121" s="288" t="s">
        <v>267</v>
      </c>
      <c r="B121" s="277" t="s">
        <v>2703</v>
      </c>
      <c r="C121" s="289"/>
      <c r="D121" s="289"/>
      <c r="E121" s="289"/>
      <c r="F121" s="278">
        <v>0.1</v>
      </c>
      <c r="G121" s="295"/>
    </row>
    <row r="122" spans="1:7">
      <c r="A122" s="288" t="s">
        <v>267</v>
      </c>
      <c r="B122" s="277" t="s">
        <v>2708</v>
      </c>
      <c r="C122" s="278">
        <v>0.1</v>
      </c>
      <c r="D122" s="278">
        <v>0.1</v>
      </c>
      <c r="E122" s="278">
        <v>0.098</v>
      </c>
      <c r="F122" s="278">
        <v>0.1</v>
      </c>
      <c r="G122" s="279">
        <v>0.1</v>
      </c>
    </row>
    <row r="123" spans="1:7">
      <c r="A123" s="288" t="s">
        <v>267</v>
      </c>
      <c r="B123" s="277" t="s">
        <v>2713</v>
      </c>
      <c r="C123" s="278">
        <v>0.1</v>
      </c>
      <c r="D123" s="278">
        <v>0.1</v>
      </c>
      <c r="E123" s="278">
        <v>0.098</v>
      </c>
      <c r="F123" s="278">
        <v>0.1</v>
      </c>
      <c r="G123" s="279">
        <v>0.1</v>
      </c>
    </row>
    <row r="124" spans="1:7">
      <c r="A124" s="288" t="s">
        <v>267</v>
      </c>
      <c r="B124" s="277" t="s">
        <v>2718</v>
      </c>
      <c r="C124" s="278">
        <v>0.1</v>
      </c>
      <c r="D124" s="278">
        <v>0.1</v>
      </c>
      <c r="E124" s="278">
        <v>0.098</v>
      </c>
      <c r="F124" s="294"/>
      <c r="G124" s="279">
        <v>0.1</v>
      </c>
    </row>
    <row r="125" spans="1:7">
      <c r="A125" s="288" t="s">
        <v>267</v>
      </c>
      <c r="B125" s="277" t="s">
        <v>2723</v>
      </c>
      <c r="C125" s="278">
        <v>0.098</v>
      </c>
      <c r="D125" s="278">
        <v>0.098</v>
      </c>
      <c r="E125" s="278">
        <v>0.096</v>
      </c>
      <c r="F125" s="294"/>
      <c r="G125" s="279">
        <v>0.1</v>
      </c>
    </row>
    <row r="126" ht="14.25" spans="1:7">
      <c r="A126" s="291" t="s">
        <v>267</v>
      </c>
      <c r="B126" s="281" t="s">
        <v>2728</v>
      </c>
      <c r="C126" s="282">
        <v>0.1</v>
      </c>
      <c r="D126" s="282">
        <v>0.1</v>
      </c>
      <c r="E126" s="282">
        <v>0.098</v>
      </c>
      <c r="F126" s="282">
        <v>0.1</v>
      </c>
      <c r="G126" s="284">
        <v>0.1</v>
      </c>
    </row>
    <row r="127" spans="1:7">
      <c r="A127" s="287" t="s">
        <v>273</v>
      </c>
      <c r="B127" s="273" t="s">
        <v>2395</v>
      </c>
      <c r="C127" s="274">
        <v>0.121</v>
      </c>
      <c r="D127" s="274">
        <v>0.121</v>
      </c>
      <c r="E127" s="274">
        <v>0.107</v>
      </c>
      <c r="F127" s="274">
        <v>0.13</v>
      </c>
      <c r="G127" s="275">
        <v>0.122</v>
      </c>
    </row>
    <row r="128" spans="1:7">
      <c r="A128" s="288" t="s">
        <v>273</v>
      </c>
      <c r="B128" s="277" t="s">
        <v>2408</v>
      </c>
      <c r="C128" s="278">
        <v>0.116</v>
      </c>
      <c r="D128" s="278">
        <v>0.117</v>
      </c>
      <c r="E128" s="278">
        <v>0.104</v>
      </c>
      <c r="F128" s="278">
        <v>0.13</v>
      </c>
      <c r="G128" s="279">
        <v>0.117</v>
      </c>
    </row>
    <row r="129" spans="1:7">
      <c r="A129" s="288" t="s">
        <v>273</v>
      </c>
      <c r="B129" s="277" t="s">
        <v>2422</v>
      </c>
      <c r="C129" s="278">
        <v>0.107</v>
      </c>
      <c r="D129" s="278">
        <v>0.108</v>
      </c>
      <c r="E129" s="278">
        <v>0.1</v>
      </c>
      <c r="F129" s="278">
        <v>0.13</v>
      </c>
      <c r="G129" s="279">
        <v>0.117</v>
      </c>
    </row>
    <row r="130" spans="1:7">
      <c r="A130" s="288" t="s">
        <v>273</v>
      </c>
      <c r="B130" s="277" t="s">
        <v>2434</v>
      </c>
      <c r="C130" s="278">
        <v>0.13</v>
      </c>
      <c r="D130" s="278">
        <v>0.13</v>
      </c>
      <c r="E130" s="278">
        <v>0.126</v>
      </c>
      <c r="F130" s="278">
        <v>0.13</v>
      </c>
      <c r="G130" s="279">
        <v>0.13</v>
      </c>
    </row>
    <row r="131" spans="1:7">
      <c r="A131" s="288" t="s">
        <v>273</v>
      </c>
      <c r="B131" s="277" t="s">
        <v>2446</v>
      </c>
      <c r="C131" s="278">
        <v>0.13</v>
      </c>
      <c r="D131" s="278">
        <v>0.13</v>
      </c>
      <c r="E131" s="278">
        <v>0.13</v>
      </c>
      <c r="F131" s="278">
        <v>0.13</v>
      </c>
      <c r="G131" s="279">
        <v>0.13</v>
      </c>
    </row>
    <row r="132" spans="1:7">
      <c r="A132" s="288" t="s">
        <v>273</v>
      </c>
      <c r="B132" s="277" t="s">
        <v>2457</v>
      </c>
      <c r="C132" s="278">
        <v>0.13</v>
      </c>
      <c r="D132" s="278">
        <v>0.13</v>
      </c>
      <c r="E132" s="278">
        <v>0.126</v>
      </c>
      <c r="F132" s="278">
        <v>0.13</v>
      </c>
      <c r="G132" s="279">
        <v>0.13</v>
      </c>
    </row>
    <row r="133" spans="1:7">
      <c r="A133" s="288" t="s">
        <v>273</v>
      </c>
      <c r="B133" s="277" t="s">
        <v>2468</v>
      </c>
      <c r="C133" s="278">
        <v>0.111</v>
      </c>
      <c r="D133" s="278">
        <v>0.111</v>
      </c>
      <c r="E133" s="278">
        <v>0.102</v>
      </c>
      <c r="F133" s="278">
        <v>0.13</v>
      </c>
      <c r="G133" s="279">
        <v>0.121</v>
      </c>
    </row>
    <row r="134" spans="1:7">
      <c r="A134" s="288" t="s">
        <v>273</v>
      </c>
      <c r="B134" s="277" t="s">
        <v>2479</v>
      </c>
      <c r="C134" s="278">
        <v>0.121</v>
      </c>
      <c r="D134" s="278">
        <v>0.121</v>
      </c>
      <c r="E134" s="278">
        <v>0.1</v>
      </c>
      <c r="F134" s="278">
        <v>0.13</v>
      </c>
      <c r="G134" s="279">
        <v>0.123</v>
      </c>
    </row>
    <row r="135" spans="1:7">
      <c r="A135" s="288" t="s">
        <v>273</v>
      </c>
      <c r="B135" s="277" t="s">
        <v>2489</v>
      </c>
      <c r="C135" s="278">
        <v>0.105</v>
      </c>
      <c r="D135" s="278">
        <v>0.106</v>
      </c>
      <c r="E135" s="278">
        <v>0.1</v>
      </c>
      <c r="F135" s="278">
        <v>0.13</v>
      </c>
      <c r="G135" s="279">
        <v>0.115</v>
      </c>
    </row>
    <row r="136" spans="1:7">
      <c r="A136" s="288" t="s">
        <v>273</v>
      </c>
      <c r="B136" s="277" t="s">
        <v>2499</v>
      </c>
      <c r="C136" s="278">
        <v>0.127</v>
      </c>
      <c r="D136" s="278">
        <v>0.127</v>
      </c>
      <c r="E136" s="278">
        <v>0.121</v>
      </c>
      <c r="F136" s="278">
        <v>0.123</v>
      </c>
      <c r="G136" s="279">
        <v>0.129</v>
      </c>
    </row>
    <row r="137" spans="1:7">
      <c r="A137" s="288" t="s">
        <v>273</v>
      </c>
      <c r="B137" s="277" t="s">
        <v>2509</v>
      </c>
      <c r="C137" s="278">
        <v>0.13</v>
      </c>
      <c r="D137" s="278">
        <v>0.13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t="s">
        <v>273</v>
      </c>
      <c r="B139" s="277" t="s">
        <v>2529</v>
      </c>
      <c r="C139" s="278">
        <v>0.13</v>
      </c>
      <c r="D139" s="278">
        <v>0.13</v>
      </c>
      <c r="E139" s="278">
        <v>0.126</v>
      </c>
      <c r="F139" s="278">
        <v>0.13</v>
      </c>
      <c r="G139" s="279">
        <v>0.13</v>
      </c>
    </row>
    <row r="140" spans="1:7">
      <c r="A140" s="288" t="s">
        <v>273</v>
      </c>
      <c r="B140" s="277" t="s">
        <v>2539</v>
      </c>
      <c r="C140" s="278">
        <v>0.1</v>
      </c>
      <c r="D140" s="278">
        <v>0.1</v>
      </c>
      <c r="E140" s="278">
        <v>0.1</v>
      </c>
      <c r="F140" s="278">
        <v>0.123</v>
      </c>
      <c r="G140" s="279">
        <v>0.107</v>
      </c>
    </row>
    <row r="141" spans="1:7">
      <c r="A141" s="288" t="s">
        <v>273</v>
      </c>
      <c r="B141" s="277" t="s">
        <v>2549</v>
      </c>
      <c r="C141" s="278">
        <v>0.127</v>
      </c>
      <c r="D141" s="278">
        <v>0.127</v>
      </c>
      <c r="E141" s="278">
        <v>0.122</v>
      </c>
      <c r="F141" s="278">
        <v>0.1</v>
      </c>
      <c r="G141" s="279">
        <v>0.129</v>
      </c>
    </row>
    <row r="142" spans="1:7">
      <c r="A142" s="288" t="s">
        <v>273</v>
      </c>
      <c r="B142" s="277" t="s">
        <v>2559</v>
      </c>
      <c r="C142" s="278">
        <v>0.121</v>
      </c>
      <c r="D142" s="278">
        <v>0.122</v>
      </c>
      <c r="E142" s="278">
        <v>0.1</v>
      </c>
      <c r="F142" s="278">
        <v>0.123</v>
      </c>
      <c r="G142" s="279">
        <v>0.123</v>
      </c>
    </row>
    <row r="143" spans="1:7">
      <c r="A143" s="288" t="s">
        <v>273</v>
      </c>
      <c r="B143" s="277" t="s">
        <v>2569</v>
      </c>
      <c r="C143" s="278">
        <v>0.1</v>
      </c>
      <c r="D143" s="278">
        <v>0.1</v>
      </c>
      <c r="E143" s="278">
        <v>0.1</v>
      </c>
      <c r="F143" s="278">
        <v>0.13</v>
      </c>
      <c r="G143" s="279">
        <v>0.1</v>
      </c>
    </row>
    <row r="144" spans="1:7">
      <c r="A144" s="288" t="s">
        <v>273</v>
      </c>
      <c r="B144" s="277" t="s">
        <v>2579</v>
      </c>
      <c r="C144" s="278">
        <v>0.106</v>
      </c>
      <c r="D144" s="278">
        <v>0.105</v>
      </c>
      <c r="E144" s="278">
        <v>0.1</v>
      </c>
      <c r="F144" s="278">
        <v>0.13</v>
      </c>
      <c r="G144" s="279">
        <v>0.118</v>
      </c>
    </row>
    <row r="145" spans="1:7">
      <c r="A145" s="288" t="s">
        <v>273</v>
      </c>
      <c r="B145" s="277" t="s">
        <v>2589</v>
      </c>
      <c r="C145" s="278">
        <v>0.123</v>
      </c>
      <c r="D145" s="278">
        <v>0.123</v>
      </c>
      <c r="E145" s="278">
        <v>0.117</v>
      </c>
      <c r="F145" s="278">
        <v>0.13</v>
      </c>
      <c r="G145" s="279">
        <v>0.126</v>
      </c>
    </row>
    <row r="146" spans="1:7">
      <c r="A146" s="288" t="s">
        <v>273</v>
      </c>
      <c r="B146" s="277" t="s">
        <v>2599</v>
      </c>
      <c r="C146" s="278">
        <v>0.127</v>
      </c>
      <c r="D146" s="278">
        <v>0.127</v>
      </c>
      <c r="E146" s="278">
        <v>0.12</v>
      </c>
      <c r="F146" s="289"/>
      <c r="G146" s="279">
        <v>0.129</v>
      </c>
    </row>
    <row r="147" spans="1:7">
      <c r="A147" s="288" t="s">
        <v>273</v>
      </c>
      <c r="B147" s="277" t="s">
        <v>2608</v>
      </c>
      <c r="C147" s="278">
        <v>0.13</v>
      </c>
      <c r="D147" s="278">
        <v>0.13</v>
      </c>
      <c r="E147" s="278">
        <v>0.126</v>
      </c>
      <c r="F147" s="289"/>
      <c r="G147" s="279">
        <v>0.13</v>
      </c>
    </row>
    <row r="148" spans="1:7">
      <c r="A148" s="288" t="s">
        <v>273</v>
      </c>
      <c r="B148" s="277" t="s">
        <v>2616</v>
      </c>
      <c r="C148" s="278">
        <v>0.13</v>
      </c>
      <c r="D148" s="278">
        <v>0.13</v>
      </c>
      <c r="E148" s="278">
        <v>0.13</v>
      </c>
      <c r="F148" s="289"/>
      <c r="G148" s="279">
        <v>0.13</v>
      </c>
    </row>
    <row r="149" spans="1:7">
      <c r="A149" s="288" t="s">
        <v>273</v>
      </c>
      <c r="B149" s="277" t="s">
        <v>2624</v>
      </c>
      <c r="C149" s="278">
        <v>0.13</v>
      </c>
      <c r="D149" s="278">
        <v>0.13</v>
      </c>
      <c r="E149" s="278">
        <v>0.13</v>
      </c>
      <c r="F149" s="278">
        <v>0.13</v>
      </c>
      <c r="G149" s="279">
        <v>0.13</v>
      </c>
    </row>
    <row r="150" spans="1:7">
      <c r="A150" s="288" t="s">
        <v>273</v>
      </c>
      <c r="B150" s="277" t="s">
        <v>2632</v>
      </c>
      <c r="C150" s="278">
        <v>0.13</v>
      </c>
      <c r="D150" s="278">
        <v>0.13</v>
      </c>
      <c r="E150" s="278">
        <v>0.127</v>
      </c>
      <c r="F150" s="278">
        <v>0.13</v>
      </c>
      <c r="G150" s="279">
        <v>0.13</v>
      </c>
    </row>
    <row r="151" spans="1:7">
      <c r="A151" s="288" t="s">
        <v>273</v>
      </c>
      <c r="B151" s="277" t="s">
        <v>2640</v>
      </c>
      <c r="C151" s="278">
        <v>0.13</v>
      </c>
      <c r="D151" s="278">
        <v>0.13</v>
      </c>
      <c r="E151" s="278">
        <v>0.13</v>
      </c>
      <c r="F151" s="278">
        <v>0.13</v>
      </c>
      <c r="G151" s="279">
        <v>0.13</v>
      </c>
    </row>
    <row r="152" spans="1:7">
      <c r="A152" s="288" t="s">
        <v>273</v>
      </c>
      <c r="B152" s="277" t="s">
        <v>2647</v>
      </c>
      <c r="C152" s="278">
        <v>0.13</v>
      </c>
      <c r="D152" s="278">
        <v>0.13</v>
      </c>
      <c r="E152" s="278">
        <v>0.13</v>
      </c>
      <c r="F152" s="278">
        <v>0.13</v>
      </c>
      <c r="G152" s="279">
        <v>0.13</v>
      </c>
    </row>
    <row r="153" spans="1:7">
      <c r="A153" s="288" t="s">
        <v>273</v>
      </c>
      <c r="B153" s="277" t="s">
        <v>2654</v>
      </c>
      <c r="C153" s="278">
        <v>0.13</v>
      </c>
      <c r="D153" s="278">
        <v>0.13</v>
      </c>
      <c r="E153" s="278">
        <v>0.13</v>
      </c>
      <c r="F153" s="278">
        <v>0.13</v>
      </c>
      <c r="G153" s="279">
        <v>0.13</v>
      </c>
    </row>
    <row r="154" spans="1:7">
      <c r="A154" s="288" t="s">
        <v>273</v>
      </c>
      <c r="B154" s="277" t="s">
        <v>2661</v>
      </c>
      <c r="C154" s="278">
        <v>0.121</v>
      </c>
      <c r="D154" s="278">
        <v>0.121</v>
      </c>
      <c r="E154" s="278">
        <v>0.105</v>
      </c>
      <c r="F154" s="278">
        <v>0.121</v>
      </c>
      <c r="G154" s="279">
        <v>0.123</v>
      </c>
    </row>
    <row r="155" spans="1:7">
      <c r="A155" s="288" t="s">
        <v>273</v>
      </c>
      <c r="B155" s="277" t="s">
        <v>2668</v>
      </c>
      <c r="C155" s="278">
        <v>0.1</v>
      </c>
      <c r="D155" s="278">
        <v>0.1</v>
      </c>
      <c r="E155" s="278">
        <v>0.1</v>
      </c>
      <c r="F155" s="278">
        <v>0.1</v>
      </c>
      <c r="G155" s="279">
        <v>0.1</v>
      </c>
    </row>
    <row r="156" spans="1:7">
      <c r="A156" s="288" t="s">
        <v>273</v>
      </c>
      <c r="B156" s="277" t="s">
        <v>2675</v>
      </c>
      <c r="C156" s="278">
        <v>0.13</v>
      </c>
      <c r="D156" s="278">
        <v>0.13</v>
      </c>
      <c r="E156" s="278">
        <v>0.13</v>
      </c>
      <c r="F156" s="278">
        <v>0.13</v>
      </c>
      <c r="G156" s="279">
        <v>0.13</v>
      </c>
    </row>
    <row r="157" spans="1:7">
      <c r="A157" s="288" t="s">
        <v>273</v>
      </c>
      <c r="B157" s="277" t="s">
        <v>2682</v>
      </c>
      <c r="C157" s="278">
        <v>0.13</v>
      </c>
      <c r="D157" s="278">
        <v>0.13</v>
      </c>
      <c r="E157" s="278">
        <v>0.125</v>
      </c>
      <c r="F157" s="278">
        <v>0.13</v>
      </c>
      <c r="G157" s="279">
        <v>0.13</v>
      </c>
    </row>
    <row r="158" spans="1:7">
      <c r="A158" s="288" t="s">
        <v>273</v>
      </c>
      <c r="B158" s="277" t="s">
        <v>2689</v>
      </c>
      <c r="C158" s="278">
        <v>0.124</v>
      </c>
      <c r="D158" s="278">
        <v>0.124</v>
      </c>
      <c r="E158" s="278">
        <v>0.117</v>
      </c>
      <c r="F158" s="278">
        <v>0.121</v>
      </c>
      <c r="G158" s="279">
        <v>0.124</v>
      </c>
    </row>
    <row r="159" spans="1:7">
      <c r="A159" s="288" t="s">
        <v>273</v>
      </c>
      <c r="B159" s="277" t="s">
        <v>2694</v>
      </c>
      <c r="C159" s="278">
        <v>0.127</v>
      </c>
      <c r="D159" s="278">
        <v>0.127</v>
      </c>
      <c r="E159" s="278">
        <v>0.122</v>
      </c>
      <c r="F159" s="278">
        <v>0.13</v>
      </c>
      <c r="G159" s="279">
        <v>0.129</v>
      </c>
    </row>
    <row r="160" spans="1:7">
      <c r="A160" s="288" t="s">
        <v>273</v>
      </c>
      <c r="B160" s="277" t="s">
        <v>2699</v>
      </c>
      <c r="C160" s="278">
        <v>0.13</v>
      </c>
      <c r="D160" s="278">
        <v>0.13</v>
      </c>
      <c r="E160" s="278">
        <v>0.124</v>
      </c>
      <c r="F160" s="278">
        <v>0.126</v>
      </c>
      <c r="G160" s="279">
        <v>0.13</v>
      </c>
    </row>
    <row r="161" spans="1:7">
      <c r="A161" s="288" t="s">
        <v>273</v>
      </c>
      <c r="B161" s="277" t="s">
        <v>2704</v>
      </c>
      <c r="C161" s="278">
        <v>0.13</v>
      </c>
      <c r="D161" s="278">
        <v>0.13</v>
      </c>
      <c r="E161" s="278">
        <v>0.124</v>
      </c>
      <c r="F161" s="278">
        <v>0.127</v>
      </c>
      <c r="G161" s="279">
        <v>0.13</v>
      </c>
    </row>
    <row r="162" spans="1:7">
      <c r="A162" s="288" t="s">
        <v>273</v>
      </c>
      <c r="B162" s="277" t="s">
        <v>2709</v>
      </c>
      <c r="C162" s="278">
        <v>0.1</v>
      </c>
      <c r="D162" s="278">
        <v>0.1</v>
      </c>
      <c r="E162" s="278">
        <v>0.1</v>
      </c>
      <c r="F162" s="278">
        <v>0.121</v>
      </c>
      <c r="G162" s="279">
        <v>0.105</v>
      </c>
    </row>
    <row r="163" spans="1:7">
      <c r="A163" s="288" t="s">
        <v>273</v>
      </c>
      <c r="B163" s="277" t="s">
        <v>2714</v>
      </c>
      <c r="C163" s="278">
        <v>0.1</v>
      </c>
      <c r="D163" s="278">
        <v>0.1</v>
      </c>
      <c r="E163" s="278">
        <v>0.1</v>
      </c>
      <c r="F163" s="278">
        <v>0.1</v>
      </c>
      <c r="G163" s="279">
        <v>0.1</v>
      </c>
    </row>
    <row r="164" spans="1:7">
      <c r="A164" s="288" t="s">
        <v>273</v>
      </c>
      <c r="B164" s="277" t="s">
        <v>2719</v>
      </c>
      <c r="C164" s="294"/>
      <c r="D164" s="294"/>
      <c r="E164" s="294"/>
      <c r="F164" s="278">
        <v>0.1</v>
      </c>
      <c r="G164" s="290"/>
    </row>
    <row r="165" spans="1:7">
      <c r="A165" s="288" t="s">
        <v>273</v>
      </c>
      <c r="B165" s="277" t="s">
        <v>2724</v>
      </c>
      <c r="C165" s="278">
        <v>0.126</v>
      </c>
      <c r="D165" s="278">
        <v>0.126</v>
      </c>
      <c r="E165" s="278">
        <v>0.119</v>
      </c>
      <c r="F165" s="278">
        <v>0.13</v>
      </c>
      <c r="G165" s="279">
        <v>0.128</v>
      </c>
    </row>
    <row r="166" spans="1:7">
      <c r="A166" s="288" t="s">
        <v>273</v>
      </c>
      <c r="B166" s="277" t="s">
        <v>2729</v>
      </c>
      <c r="C166" s="278">
        <v>0.129</v>
      </c>
      <c r="D166" s="278">
        <v>0.129</v>
      </c>
      <c r="E166" s="278">
        <v>0.123</v>
      </c>
      <c r="F166" s="278">
        <v>0.128</v>
      </c>
      <c r="G166" s="279">
        <v>0.13</v>
      </c>
    </row>
    <row r="167" spans="1:7">
      <c r="A167" s="288" t="s">
        <v>273</v>
      </c>
      <c r="B167" s="277" t="s">
        <v>2733</v>
      </c>
      <c r="C167" s="278">
        <v>0.125</v>
      </c>
      <c r="D167" s="278">
        <v>0.125</v>
      </c>
      <c r="E167" s="278">
        <v>0.117</v>
      </c>
      <c r="F167" s="278">
        <v>0.13</v>
      </c>
      <c r="G167" s="279">
        <v>0.126</v>
      </c>
    </row>
    <row r="168" spans="1:7">
      <c r="A168" s="288" t="s">
        <v>273</v>
      </c>
      <c r="B168" s="277" t="s">
        <v>2737</v>
      </c>
      <c r="C168" s="278">
        <v>0.128</v>
      </c>
      <c r="D168" s="278">
        <v>0.128</v>
      </c>
      <c r="E168" s="278">
        <v>0.123</v>
      </c>
      <c r="F168" s="289"/>
      <c r="G168" s="279">
        <v>0.13</v>
      </c>
    </row>
    <row r="169" spans="1:7">
      <c r="A169" s="288" t="s">
        <v>273</v>
      </c>
      <c r="B169" s="277" t="s">
        <v>2741</v>
      </c>
      <c r="C169" s="294"/>
      <c r="D169" s="294"/>
      <c r="E169" s="294"/>
      <c r="F169" s="278">
        <v>0.05</v>
      </c>
      <c r="G169" s="290"/>
    </row>
    <row r="170" spans="1:7">
      <c r="A170" s="288" t="s">
        <v>273</v>
      </c>
      <c r="B170" s="277" t="s">
        <v>2745</v>
      </c>
      <c r="C170" s="294"/>
      <c r="D170" s="294"/>
      <c r="E170" s="294"/>
      <c r="F170" s="278">
        <v>0.05</v>
      </c>
      <c r="G170" s="290"/>
    </row>
    <row r="171" spans="1:7">
      <c r="A171" s="288" t="s">
        <v>273</v>
      </c>
      <c r="B171" s="277" t="s">
        <v>2748</v>
      </c>
      <c r="C171" s="294"/>
      <c r="D171" s="294"/>
      <c r="E171" s="294"/>
      <c r="F171" s="278">
        <v>0.05</v>
      </c>
      <c r="G171" s="295"/>
    </row>
    <row r="172" spans="1:7">
      <c r="A172" s="288" t="s">
        <v>273</v>
      </c>
      <c r="B172" s="277" t="s">
        <v>2750</v>
      </c>
      <c r="C172" s="294"/>
      <c r="D172" s="294"/>
      <c r="E172" s="294"/>
      <c r="F172" s="278">
        <v>0.05</v>
      </c>
      <c r="G172" s="295"/>
    </row>
    <row r="173" spans="1:7">
      <c r="A173" s="288" t="s">
        <v>273</v>
      </c>
      <c r="B173" s="277" t="s">
        <v>2752</v>
      </c>
      <c r="C173" s="294"/>
      <c r="D173" s="294"/>
      <c r="E173" s="294"/>
      <c r="F173" s="278">
        <v>0.05</v>
      </c>
      <c r="G173" s="290"/>
    </row>
    <row r="174" spans="1:7">
      <c r="A174" s="288" t="s">
        <v>273</v>
      </c>
      <c r="B174" s="277" t="s">
        <v>2754</v>
      </c>
      <c r="C174" s="294"/>
      <c r="D174" s="294"/>
      <c r="E174" s="294"/>
      <c r="F174" s="278">
        <v>0.05</v>
      </c>
      <c r="G174" s="290"/>
    </row>
    <row r="175" spans="1:7">
      <c r="A175" s="288" t="s">
        <v>273</v>
      </c>
      <c r="B175" s="277" t="s">
        <v>2756</v>
      </c>
      <c r="C175" s="294"/>
      <c r="D175" s="294"/>
      <c r="E175" s="294"/>
      <c r="F175" s="278">
        <v>0.05</v>
      </c>
      <c r="G175" s="290"/>
    </row>
    <row r="176" spans="1:7">
      <c r="A176" s="288" t="s">
        <v>273</v>
      </c>
      <c r="B176" s="277" t="s">
        <v>2758</v>
      </c>
      <c r="C176" s="294"/>
      <c r="D176" s="294"/>
      <c r="E176" s="294"/>
      <c r="F176" s="278">
        <v>0.05</v>
      </c>
      <c r="G176" s="290"/>
    </row>
    <row r="177" spans="1:7">
      <c r="A177" s="288" t="s">
        <v>273</v>
      </c>
      <c r="B177" s="277" t="s">
        <v>2760</v>
      </c>
      <c r="C177" s="289"/>
      <c r="D177" s="289"/>
      <c r="E177" s="289"/>
      <c r="F177" s="278">
        <v>0.05</v>
      </c>
      <c r="G177" s="295"/>
    </row>
    <row r="178" spans="1:7">
      <c r="A178" s="288" t="s">
        <v>273</v>
      </c>
      <c r="B178" s="277" t="s">
        <v>2761</v>
      </c>
      <c r="C178" s="289"/>
      <c r="D178" s="289"/>
      <c r="E178" s="289"/>
      <c r="F178" s="278">
        <v>0.05</v>
      </c>
      <c r="G178" s="295"/>
    </row>
    <row r="179" spans="1:7">
      <c r="A179" s="288" t="s">
        <v>273</v>
      </c>
      <c r="B179" s="277" t="s">
        <v>2762</v>
      </c>
      <c r="C179" s="289"/>
      <c r="D179" s="289"/>
      <c r="E179" s="289"/>
      <c r="F179" s="278">
        <v>0.05</v>
      </c>
      <c r="G179" s="295"/>
    </row>
    <row r="180" spans="1:7">
      <c r="A180" s="288" t="s">
        <v>273</v>
      </c>
      <c r="B180" s="277" t="s">
        <v>2763</v>
      </c>
      <c r="C180" s="289"/>
      <c r="D180" s="289"/>
      <c r="E180" s="289"/>
      <c r="F180" s="278">
        <v>0.05</v>
      </c>
      <c r="G180" s="295"/>
    </row>
    <row r="181" spans="1:7">
      <c r="A181" s="288" t="s">
        <v>273</v>
      </c>
      <c r="B181" s="277" t="s">
        <v>2764</v>
      </c>
      <c r="C181" s="289"/>
      <c r="D181" s="289"/>
      <c r="E181" s="289"/>
      <c r="F181" s="278">
        <v>0.05</v>
      </c>
      <c r="G181" s="295"/>
    </row>
    <row r="182" spans="1:7">
      <c r="A182" s="288" t="s">
        <v>273</v>
      </c>
      <c r="B182" s="277" t="s">
        <v>2765</v>
      </c>
      <c r="C182" s="289"/>
      <c r="D182" s="289"/>
      <c r="E182" s="289"/>
      <c r="F182" s="278">
        <v>0.05</v>
      </c>
      <c r="G182" s="295"/>
    </row>
    <row r="183" spans="1:7">
      <c r="A183" s="288" t="s">
        <v>273</v>
      </c>
      <c r="B183" s="277" t="s">
        <v>2766</v>
      </c>
      <c r="C183" s="289"/>
      <c r="D183" s="289"/>
      <c r="E183" s="289"/>
      <c r="F183" s="278">
        <v>0.05</v>
      </c>
      <c r="G183" s="295"/>
    </row>
    <row r="184" spans="1:7">
      <c r="A184" s="288" t="s">
        <v>273</v>
      </c>
      <c r="B184" s="277" t="s">
        <v>2767</v>
      </c>
      <c r="C184" s="289"/>
      <c r="D184" s="289"/>
      <c r="E184" s="289"/>
      <c r="F184" s="278">
        <v>0.05</v>
      </c>
      <c r="G184" s="295"/>
    </row>
    <row r="185" spans="1:7">
      <c r="A185" s="288" t="s">
        <v>273</v>
      </c>
      <c r="B185" s="277" t="s">
        <v>2768</v>
      </c>
      <c r="C185" s="289"/>
      <c r="D185" s="289"/>
      <c r="E185" s="289"/>
      <c r="F185" s="278">
        <v>0.05</v>
      </c>
      <c r="G185" s="295"/>
    </row>
    <row r="186" spans="1:7">
      <c r="A186" s="288" t="s">
        <v>273</v>
      </c>
      <c r="B186" s="277" t="s">
        <v>2769</v>
      </c>
      <c r="C186" s="289"/>
      <c r="D186" s="289"/>
      <c r="E186" s="289"/>
      <c r="F186" s="278">
        <v>0.05</v>
      </c>
      <c r="G186" s="295"/>
    </row>
    <row r="187" spans="1:7">
      <c r="A187" s="288" t="s">
        <v>273</v>
      </c>
      <c r="B187" s="277" t="s">
        <v>2770</v>
      </c>
      <c r="C187" s="289"/>
      <c r="D187" s="289"/>
      <c r="E187" s="289"/>
      <c r="F187" s="278">
        <v>0.05</v>
      </c>
      <c r="G187" s="295"/>
    </row>
    <row r="188" spans="1:7">
      <c r="A188" s="288" t="s">
        <v>273</v>
      </c>
      <c r="B188" s="277" t="s">
        <v>2771</v>
      </c>
      <c r="C188" s="289"/>
      <c r="D188" s="289"/>
      <c r="E188" s="289"/>
      <c r="F188" s="278">
        <v>0.05</v>
      </c>
      <c r="G188" s="295"/>
    </row>
    <row r="189" ht="14.25" spans="1:7">
      <c r="A189" s="291" t="s">
        <v>273</v>
      </c>
      <c r="B189" s="281" t="s">
        <v>2772</v>
      </c>
      <c r="C189" s="283"/>
      <c r="D189" s="283"/>
      <c r="E189" s="283"/>
      <c r="F189" s="282">
        <v>0.05</v>
      </c>
      <c r="G189" s="296"/>
    </row>
    <row r="190" spans="1:7">
      <c r="A190" s="287" t="s">
        <v>278</v>
      </c>
      <c r="B190" s="273" t="s">
        <v>2396</v>
      </c>
      <c r="C190" s="274">
        <v>0.124</v>
      </c>
      <c r="D190" s="274">
        <v>0.124</v>
      </c>
      <c r="E190" s="274">
        <v>0.129</v>
      </c>
      <c r="F190" s="274">
        <v>0.13</v>
      </c>
      <c r="G190" s="275">
        <v>0.127</v>
      </c>
    </row>
    <row r="191" spans="1:7">
      <c r="A191" s="288" t="s">
        <v>278</v>
      </c>
      <c r="B191" s="277" t="s">
        <v>2409</v>
      </c>
      <c r="C191" s="278">
        <v>0.13</v>
      </c>
      <c r="D191" s="278">
        <v>0.13</v>
      </c>
      <c r="E191" s="278">
        <v>0.13</v>
      </c>
      <c r="F191" s="278">
        <v>0.13</v>
      </c>
      <c r="G191" s="279">
        <v>0.13</v>
      </c>
    </row>
    <row r="192" spans="1:7">
      <c r="A192" s="288" t="s">
        <v>278</v>
      </c>
      <c r="B192" s="277" t="s">
        <v>2423</v>
      </c>
      <c r="C192" s="278">
        <v>0.13</v>
      </c>
      <c r="D192" s="278">
        <v>0.13</v>
      </c>
      <c r="E192" s="278">
        <v>0.13</v>
      </c>
      <c r="F192" s="278">
        <v>0.13</v>
      </c>
      <c r="G192" s="279">
        <v>0.13</v>
      </c>
    </row>
    <row r="193" spans="1:7">
      <c r="A193" s="288" t="s">
        <v>278</v>
      </c>
      <c r="B193" s="277" t="s">
        <v>2435</v>
      </c>
      <c r="C193" s="278">
        <v>0.13</v>
      </c>
      <c r="D193" s="278">
        <v>0.13</v>
      </c>
      <c r="E193" s="278">
        <v>0.13</v>
      </c>
      <c r="F193" s="278">
        <v>0.13</v>
      </c>
      <c r="G193" s="279">
        <v>0.13</v>
      </c>
    </row>
    <row r="194" spans="1:7">
      <c r="A194" s="288" t="s">
        <v>278</v>
      </c>
      <c r="B194" s="277" t="s">
        <v>2447</v>
      </c>
      <c r="C194" s="278">
        <v>0.123</v>
      </c>
      <c r="D194" s="278">
        <v>0.123</v>
      </c>
      <c r="E194" s="278">
        <v>0.128</v>
      </c>
      <c r="F194" s="278">
        <v>0.13</v>
      </c>
      <c r="G194" s="279">
        <v>0.126</v>
      </c>
    </row>
    <row r="195" spans="1:7">
      <c r="A195" s="288" t="s">
        <v>278</v>
      </c>
      <c r="B195" s="277" t="s">
        <v>2458</v>
      </c>
      <c r="C195" s="278">
        <v>0.127</v>
      </c>
      <c r="D195" s="278">
        <v>0.127</v>
      </c>
      <c r="E195" s="278">
        <v>0.121</v>
      </c>
      <c r="F195" s="278">
        <v>0.129</v>
      </c>
      <c r="G195" s="279">
        <v>0.129</v>
      </c>
    </row>
    <row r="196" spans="1:7">
      <c r="A196" s="288" t="s">
        <v>278</v>
      </c>
      <c r="B196" s="277" t="s">
        <v>2469</v>
      </c>
      <c r="C196" s="278">
        <v>0.127</v>
      </c>
      <c r="D196" s="278">
        <v>0.128</v>
      </c>
      <c r="E196" s="278">
        <v>0.122</v>
      </c>
      <c r="F196" s="278">
        <v>0.13</v>
      </c>
      <c r="G196" s="279">
        <v>0.129</v>
      </c>
    </row>
    <row r="197" spans="1:7">
      <c r="A197" s="288" t="s">
        <v>278</v>
      </c>
      <c r="B197" s="277" t="s">
        <v>2480</v>
      </c>
      <c r="C197" s="278">
        <v>0.126</v>
      </c>
      <c r="D197" s="278">
        <v>0.126</v>
      </c>
      <c r="E197" s="278">
        <v>0.119</v>
      </c>
      <c r="F197" s="278">
        <v>0.13</v>
      </c>
      <c r="G197" s="279">
        <v>0.128</v>
      </c>
    </row>
    <row r="198" spans="1:7">
      <c r="A198" s="288" t="s">
        <v>278</v>
      </c>
      <c r="B198" s="277" t="s">
        <v>2490</v>
      </c>
      <c r="C198" s="278">
        <v>0.13</v>
      </c>
      <c r="D198" s="278">
        <v>0.13</v>
      </c>
      <c r="E198" s="278">
        <v>0.126</v>
      </c>
      <c r="F198" s="294"/>
      <c r="G198" s="279">
        <v>0.13</v>
      </c>
    </row>
    <row r="199" spans="1:7">
      <c r="A199" s="288" t="s">
        <v>278</v>
      </c>
      <c r="B199" s="277" t="s">
        <v>2500</v>
      </c>
      <c r="C199" s="278">
        <v>0.13</v>
      </c>
      <c r="D199" s="278">
        <v>0.13</v>
      </c>
      <c r="E199" s="278">
        <v>0.13</v>
      </c>
      <c r="F199" s="278">
        <v>0.13</v>
      </c>
      <c r="G199" s="279">
        <v>0.13</v>
      </c>
    </row>
    <row r="200" spans="1:7">
      <c r="A200" s="288" t="s">
        <v>278</v>
      </c>
      <c r="B200" s="277" t="s">
        <v>2510</v>
      </c>
      <c r="C200" s="294"/>
      <c r="D200" s="294"/>
      <c r="E200" s="294"/>
      <c r="F200" s="278">
        <v>0.13</v>
      </c>
      <c r="G200" s="290"/>
    </row>
    <row r="201" spans="1:7">
      <c r="A201" s="288" t="s">
        <v>278</v>
      </c>
      <c r="B201" s="277" t="s">
        <v>2520</v>
      </c>
      <c r="C201" s="278">
        <v>0.13</v>
      </c>
      <c r="D201" s="278">
        <v>0.13</v>
      </c>
      <c r="E201" s="278">
        <v>0.13</v>
      </c>
      <c r="F201" s="278">
        <v>0.129</v>
      </c>
      <c r="G201" s="279">
        <v>0.13</v>
      </c>
    </row>
    <row r="202" spans="1:7">
      <c r="A202" s="288" t="s">
        <v>278</v>
      </c>
      <c r="B202" s="277" t="s">
        <v>2530</v>
      </c>
      <c r="C202" s="278">
        <v>0.13</v>
      </c>
      <c r="D202" s="278">
        <v>0.13</v>
      </c>
      <c r="E202" s="278">
        <v>0.13</v>
      </c>
      <c r="F202" s="278">
        <v>0.13</v>
      </c>
      <c r="G202" s="279">
        <v>0.13</v>
      </c>
    </row>
    <row r="203" spans="1:7">
      <c r="A203" s="288" t="s">
        <v>278</v>
      </c>
      <c r="B203" s="277" t="s">
        <v>2540</v>
      </c>
      <c r="C203" s="278">
        <v>0.129</v>
      </c>
      <c r="D203" s="278">
        <v>0.129</v>
      </c>
      <c r="E203" s="278">
        <v>0.13</v>
      </c>
      <c r="F203" s="278">
        <v>0.13</v>
      </c>
      <c r="G203" s="279">
        <v>0.13</v>
      </c>
    </row>
    <row r="204" spans="1:7">
      <c r="A204" s="288" t="s">
        <v>278</v>
      </c>
      <c r="B204" s="277" t="s">
        <v>2550</v>
      </c>
      <c r="C204" s="278">
        <v>0.129</v>
      </c>
      <c r="D204" s="278">
        <v>0.129</v>
      </c>
      <c r="E204" s="278">
        <v>0.123</v>
      </c>
      <c r="F204" s="278">
        <v>0.13</v>
      </c>
      <c r="G204" s="279">
        <v>0.13</v>
      </c>
    </row>
    <row r="205" spans="1:7">
      <c r="A205" s="288" t="s">
        <v>278</v>
      </c>
      <c r="B205" s="277" t="s">
        <v>2560</v>
      </c>
      <c r="C205" s="278">
        <v>0.13</v>
      </c>
      <c r="D205" s="278">
        <v>0.13</v>
      </c>
      <c r="E205" s="278">
        <v>0.13</v>
      </c>
      <c r="F205" s="278">
        <v>0.13</v>
      </c>
      <c r="G205" s="279">
        <v>0.13</v>
      </c>
    </row>
    <row r="206" spans="1:7">
      <c r="A206" s="288" t="s">
        <v>278</v>
      </c>
      <c r="B206" s="277" t="s">
        <v>2570</v>
      </c>
      <c r="C206" s="278">
        <v>0.13</v>
      </c>
      <c r="D206" s="278">
        <v>0.13</v>
      </c>
      <c r="E206" s="278">
        <v>0.13</v>
      </c>
      <c r="F206" s="278">
        <v>0.128</v>
      </c>
      <c r="G206" s="279">
        <v>0.13</v>
      </c>
    </row>
    <row r="207" spans="1:7">
      <c r="A207" s="288" t="s">
        <v>278</v>
      </c>
      <c r="B207" s="277" t="s">
        <v>2580</v>
      </c>
      <c r="C207" s="278">
        <v>0.13</v>
      </c>
      <c r="D207" s="278">
        <v>0.13</v>
      </c>
      <c r="E207" s="278">
        <v>0.13</v>
      </c>
      <c r="F207" s="278">
        <v>0.13</v>
      </c>
      <c r="G207" s="279">
        <v>0.13</v>
      </c>
    </row>
    <row r="208" spans="1:7">
      <c r="A208" s="288" t="s">
        <v>278</v>
      </c>
      <c r="B208" s="277" t="s">
        <v>2590</v>
      </c>
      <c r="C208" s="278">
        <v>0.13</v>
      </c>
      <c r="D208" s="278">
        <v>0.13</v>
      </c>
      <c r="E208" s="278">
        <v>0.13</v>
      </c>
      <c r="F208" s="278">
        <v>0.13</v>
      </c>
      <c r="G208" s="279">
        <v>0.13</v>
      </c>
    </row>
    <row r="209" spans="1:7">
      <c r="A209" s="288" t="s">
        <v>278</v>
      </c>
      <c r="B209" s="277" t="s">
        <v>2600</v>
      </c>
      <c r="C209" s="278">
        <v>0.13</v>
      </c>
      <c r="D209" s="278">
        <v>0.13</v>
      </c>
      <c r="E209" s="278">
        <v>0.13</v>
      </c>
      <c r="F209" s="278">
        <v>0.13</v>
      </c>
      <c r="G209" s="279">
        <v>0.13</v>
      </c>
    </row>
    <row r="210" spans="1:7">
      <c r="A210" s="288" t="s">
        <v>278</v>
      </c>
      <c r="B210" s="277" t="s">
        <v>2609</v>
      </c>
      <c r="C210" s="278">
        <v>0.121</v>
      </c>
      <c r="D210" s="278">
        <v>0.121</v>
      </c>
      <c r="E210" s="278">
        <v>0.125</v>
      </c>
      <c r="F210" s="278">
        <v>0.13</v>
      </c>
      <c r="G210" s="279">
        <v>0.123</v>
      </c>
    </row>
    <row r="211" spans="1:7">
      <c r="A211" s="288" t="s">
        <v>278</v>
      </c>
      <c r="B211" s="277" t="s">
        <v>2617</v>
      </c>
      <c r="C211" s="278">
        <v>0.123</v>
      </c>
      <c r="D211" s="278">
        <v>0.123</v>
      </c>
      <c r="E211" s="278">
        <v>0.127</v>
      </c>
      <c r="F211" s="278">
        <v>0.115</v>
      </c>
      <c r="G211" s="279">
        <v>0.126</v>
      </c>
    </row>
    <row r="212" spans="1:7">
      <c r="A212" s="288" t="s">
        <v>278</v>
      </c>
      <c r="B212" s="277" t="s">
        <v>2625</v>
      </c>
      <c r="C212" s="278">
        <v>0.126</v>
      </c>
      <c r="D212" s="278">
        <v>0.126</v>
      </c>
      <c r="E212" s="278">
        <v>0.13</v>
      </c>
      <c r="F212" s="278">
        <v>0.13</v>
      </c>
      <c r="G212" s="279">
        <v>0.129</v>
      </c>
    </row>
    <row r="213" spans="1:7">
      <c r="A213" s="288" t="s">
        <v>278</v>
      </c>
      <c r="B213" s="277" t="s">
        <v>2633</v>
      </c>
      <c r="C213" s="278">
        <v>0.129</v>
      </c>
      <c r="D213" s="278">
        <v>0.13</v>
      </c>
      <c r="E213" s="278">
        <v>0.127</v>
      </c>
      <c r="F213" s="278">
        <v>0.13</v>
      </c>
      <c r="G213" s="279">
        <v>0.13</v>
      </c>
    </row>
    <row r="214" spans="1:7">
      <c r="A214" s="288" t="s">
        <v>278</v>
      </c>
      <c r="B214" s="277" t="s">
        <v>2641</v>
      </c>
      <c r="C214" s="278">
        <v>0.128</v>
      </c>
      <c r="D214" s="278">
        <v>0.128</v>
      </c>
      <c r="E214" s="278">
        <v>0.13</v>
      </c>
      <c r="F214" s="278">
        <v>0.13</v>
      </c>
      <c r="G214" s="279">
        <v>0.13</v>
      </c>
    </row>
    <row r="215" spans="1:7">
      <c r="A215" s="288" t="s">
        <v>278</v>
      </c>
      <c r="B215" s="277" t="s">
        <v>2648</v>
      </c>
      <c r="C215" s="278">
        <v>0.13</v>
      </c>
      <c r="D215" s="278">
        <v>0.13</v>
      </c>
      <c r="E215" s="278">
        <v>0.13</v>
      </c>
      <c r="F215" s="278">
        <v>0.129</v>
      </c>
      <c r="G215" s="279">
        <v>0.13</v>
      </c>
    </row>
    <row r="216" spans="1:7">
      <c r="A216" s="288" t="s">
        <v>278</v>
      </c>
      <c r="B216" s="277" t="s">
        <v>2655</v>
      </c>
      <c r="C216" s="278">
        <v>0.13</v>
      </c>
      <c r="D216" s="278">
        <v>0.13</v>
      </c>
      <c r="E216" s="278">
        <v>0.13</v>
      </c>
      <c r="F216" s="278">
        <v>0.13</v>
      </c>
      <c r="G216" s="279">
        <v>0.13</v>
      </c>
    </row>
    <row r="217" spans="1:7">
      <c r="A217" s="288" t="s">
        <v>278</v>
      </c>
      <c r="B217" s="277" t="s">
        <v>2662</v>
      </c>
      <c r="C217" s="278">
        <v>0.129</v>
      </c>
      <c r="D217" s="278">
        <v>0.129</v>
      </c>
      <c r="E217" s="278">
        <v>0.13</v>
      </c>
      <c r="F217" s="278">
        <v>0.13</v>
      </c>
      <c r="G217" s="279">
        <v>0.13</v>
      </c>
    </row>
    <row r="218" spans="1:7">
      <c r="A218" s="288" t="s">
        <v>278</v>
      </c>
      <c r="B218" s="277" t="s">
        <v>2669</v>
      </c>
      <c r="C218" s="289"/>
      <c r="D218" s="289"/>
      <c r="E218" s="289"/>
      <c r="F218" s="278">
        <v>0.05</v>
      </c>
      <c r="G218" s="295"/>
    </row>
    <row r="219" spans="1:7">
      <c r="A219" s="288" t="s">
        <v>278</v>
      </c>
      <c r="B219" s="277" t="s">
        <v>2676</v>
      </c>
      <c r="C219" s="289"/>
      <c r="D219" s="289"/>
      <c r="E219" s="289"/>
      <c r="F219" s="278">
        <v>0.05</v>
      </c>
      <c r="G219" s="295"/>
    </row>
    <row r="220" spans="1:7">
      <c r="A220" s="288" t="s">
        <v>278</v>
      </c>
      <c r="B220" s="277" t="s">
        <v>2683</v>
      </c>
      <c r="C220" s="289"/>
      <c r="D220" s="289"/>
      <c r="E220" s="289"/>
      <c r="F220" s="278">
        <v>0.05</v>
      </c>
      <c r="G220" s="295"/>
    </row>
    <row r="221" spans="1:7">
      <c r="A221" s="288" t="s">
        <v>278</v>
      </c>
      <c r="B221" s="277" t="s">
        <v>2690</v>
      </c>
      <c r="C221" s="289"/>
      <c r="D221" s="289"/>
      <c r="E221" s="289"/>
      <c r="F221" s="278">
        <v>0.05</v>
      </c>
      <c r="G221" s="295"/>
    </row>
    <row r="222" spans="1:7">
      <c r="A222" s="288" t="s">
        <v>278</v>
      </c>
      <c r="B222" s="277" t="s">
        <v>2695</v>
      </c>
      <c r="C222" s="289"/>
      <c r="D222" s="289"/>
      <c r="E222" s="289"/>
      <c r="F222" s="278">
        <v>0.05</v>
      </c>
      <c r="G222" s="295"/>
    </row>
    <row r="223" spans="1:7">
      <c r="A223" s="288" t="s">
        <v>278</v>
      </c>
      <c r="B223" s="277" t="s">
        <v>2700</v>
      </c>
      <c r="C223" s="289"/>
      <c r="D223" s="289"/>
      <c r="E223" s="289"/>
      <c r="F223" s="278">
        <v>0.05</v>
      </c>
      <c r="G223" s="295"/>
    </row>
    <row r="224" spans="1:7">
      <c r="A224" s="288" t="s">
        <v>278</v>
      </c>
      <c r="B224" s="277" t="s">
        <v>2705</v>
      </c>
      <c r="C224" s="289"/>
      <c r="D224" s="289"/>
      <c r="E224" s="289"/>
      <c r="F224" s="278">
        <v>0.05</v>
      </c>
      <c r="G224" s="295"/>
    </row>
    <row r="225" spans="1:7">
      <c r="A225" s="288" t="s">
        <v>278</v>
      </c>
      <c r="B225" s="277" t="s">
        <v>2710</v>
      </c>
      <c r="C225" s="289"/>
      <c r="D225" s="289"/>
      <c r="E225" s="289"/>
      <c r="F225" s="278">
        <v>0.05</v>
      </c>
      <c r="G225" s="295"/>
    </row>
    <row r="226" spans="1:7">
      <c r="A226" s="288" t="s">
        <v>278</v>
      </c>
      <c r="B226" s="277" t="s">
        <v>2715</v>
      </c>
      <c r="C226" s="289"/>
      <c r="D226" s="289"/>
      <c r="E226" s="289"/>
      <c r="F226" s="278">
        <v>0.05</v>
      </c>
      <c r="G226" s="295"/>
    </row>
    <row r="227" spans="1:7">
      <c r="A227" s="288" t="s">
        <v>278</v>
      </c>
      <c r="B227" s="277" t="s">
        <v>2774</v>
      </c>
      <c r="C227" s="289"/>
      <c r="D227" s="289"/>
      <c r="E227" s="289"/>
      <c r="F227" s="278">
        <v>0.05</v>
      </c>
      <c r="G227" s="295"/>
    </row>
    <row r="228" spans="1:7">
      <c r="A228" s="288" t="s">
        <v>278</v>
      </c>
      <c r="B228" s="277" t="s">
        <v>2775</v>
      </c>
      <c r="C228" s="289"/>
      <c r="D228" s="289"/>
      <c r="E228" s="289"/>
      <c r="F228" s="278">
        <v>0.05</v>
      </c>
      <c r="G228" s="295"/>
    </row>
    <row r="229" spans="1:7">
      <c r="A229" s="288" t="s">
        <v>278</v>
      </c>
      <c r="B229" s="277" t="s">
        <v>2776</v>
      </c>
      <c r="C229" s="289"/>
      <c r="D229" s="289"/>
      <c r="E229" s="289"/>
      <c r="F229" s="278">
        <v>0.05</v>
      </c>
      <c r="G229" s="295"/>
    </row>
    <row r="230" spans="1:7">
      <c r="A230" s="288" t="s">
        <v>278</v>
      </c>
      <c r="B230" s="277" t="s">
        <v>2734</v>
      </c>
      <c r="C230" s="289"/>
      <c r="D230" s="289"/>
      <c r="E230" s="289"/>
      <c r="F230" s="278">
        <v>0.05</v>
      </c>
      <c r="G230" s="295"/>
    </row>
    <row r="231" spans="1:7">
      <c r="A231" s="288" t="s">
        <v>278</v>
      </c>
      <c r="B231" s="277" t="s">
        <v>2738</v>
      </c>
      <c r="C231" s="289"/>
      <c r="D231" s="289"/>
      <c r="E231" s="289"/>
      <c r="F231" s="278">
        <v>0.05</v>
      </c>
      <c r="G231" s="295"/>
    </row>
    <row r="232" spans="1:7">
      <c r="A232" s="288" t="s">
        <v>278</v>
      </c>
      <c r="B232" s="277" t="s">
        <v>2777</v>
      </c>
      <c r="C232" s="289"/>
      <c r="D232" s="289"/>
      <c r="E232" s="289"/>
      <c r="F232" s="278">
        <v>0.05</v>
      </c>
      <c r="G232" s="295"/>
    </row>
    <row r="233" ht="14.25" spans="1:7">
      <c r="A233" s="291" t="s">
        <v>278</v>
      </c>
      <c r="B233" s="281" t="s">
        <v>2746</v>
      </c>
      <c r="C233" s="283"/>
      <c r="D233" s="283"/>
      <c r="E233" s="283"/>
      <c r="F233" s="282">
        <v>0.05</v>
      </c>
      <c r="G233" s="296"/>
    </row>
    <row r="234" spans="1:7">
      <c r="A234" s="287" t="s">
        <v>284</v>
      </c>
      <c r="B234" s="273" t="s">
        <v>2397</v>
      </c>
      <c r="C234" s="274">
        <v>0.13</v>
      </c>
      <c r="D234" s="274">
        <v>0.128</v>
      </c>
      <c r="E234" s="274">
        <v>0.142</v>
      </c>
      <c r="F234" s="274">
        <v>0.147</v>
      </c>
      <c r="G234" s="275">
        <v>0.14</v>
      </c>
    </row>
    <row r="235" spans="1:7">
      <c r="A235" s="288" t="s">
        <v>284</v>
      </c>
      <c r="B235" s="277" t="s">
        <v>2410</v>
      </c>
      <c r="C235" s="278">
        <v>0.136</v>
      </c>
      <c r="D235" s="278">
        <v>0.138</v>
      </c>
      <c r="E235" s="278">
        <v>0.145</v>
      </c>
      <c r="F235" s="278">
        <v>0.143</v>
      </c>
      <c r="G235" s="279">
        <v>0.141</v>
      </c>
    </row>
    <row r="236" spans="1:7">
      <c r="A236" s="288" t="s">
        <v>284</v>
      </c>
      <c r="B236" s="277" t="s">
        <v>2424</v>
      </c>
      <c r="C236" s="278">
        <v>0.15</v>
      </c>
      <c r="D236" s="278">
        <v>0.15</v>
      </c>
      <c r="E236" s="278">
        <v>0.15</v>
      </c>
      <c r="F236" s="278">
        <v>0.15</v>
      </c>
      <c r="G236" s="279">
        <v>0.15</v>
      </c>
    </row>
    <row r="237" spans="1:7">
      <c r="A237" s="288" t="s">
        <v>284</v>
      </c>
      <c r="B237" s="277" t="s">
        <v>2436</v>
      </c>
      <c r="C237" s="278">
        <v>0.15</v>
      </c>
      <c r="D237" s="278">
        <v>0.15</v>
      </c>
      <c r="E237" s="278">
        <v>0.15</v>
      </c>
      <c r="F237" s="278">
        <v>0.15</v>
      </c>
      <c r="G237" s="279">
        <v>0.15</v>
      </c>
    </row>
    <row r="238" spans="1:7">
      <c r="A238" s="288" t="s">
        <v>284</v>
      </c>
      <c r="B238" s="277" t="s">
        <v>2448</v>
      </c>
      <c r="C238" s="278">
        <v>0.149</v>
      </c>
      <c r="D238" s="278">
        <v>0.149</v>
      </c>
      <c r="E238" s="278">
        <v>0.15</v>
      </c>
      <c r="F238" s="278">
        <v>0.15</v>
      </c>
      <c r="G238" s="279">
        <v>0.15</v>
      </c>
    </row>
    <row r="239" spans="1:7">
      <c r="A239" s="288" t="s">
        <v>284</v>
      </c>
      <c r="B239" s="277" t="s">
        <v>2459</v>
      </c>
      <c r="C239" s="278">
        <v>0.15</v>
      </c>
      <c r="D239" s="278">
        <v>0.15</v>
      </c>
      <c r="E239" s="278">
        <v>0.15</v>
      </c>
      <c r="F239" s="278">
        <v>0.15</v>
      </c>
      <c r="G239" s="279">
        <v>0.15</v>
      </c>
    </row>
    <row r="240" spans="1:7">
      <c r="A240" s="288" t="s">
        <v>284</v>
      </c>
      <c r="B240" s="277" t="s">
        <v>2470</v>
      </c>
      <c r="C240" s="278">
        <v>0.15</v>
      </c>
      <c r="D240" s="278">
        <v>0.15</v>
      </c>
      <c r="E240" s="278">
        <v>0.15</v>
      </c>
      <c r="F240" s="278">
        <v>0.15</v>
      </c>
      <c r="G240" s="279">
        <v>0.15</v>
      </c>
    </row>
    <row r="241" spans="1:7">
      <c r="A241" s="288" t="s">
        <v>284</v>
      </c>
      <c r="B241" s="277" t="s">
        <v>2481</v>
      </c>
      <c r="C241" s="278">
        <v>0.141</v>
      </c>
      <c r="D241" s="278">
        <v>0.142</v>
      </c>
      <c r="E241" s="278">
        <v>0.149</v>
      </c>
      <c r="F241" s="278">
        <v>0.15</v>
      </c>
      <c r="G241" s="279">
        <v>0.144</v>
      </c>
    </row>
    <row r="242" spans="1:7">
      <c r="A242" s="288" t="s">
        <v>284</v>
      </c>
      <c r="B242" s="277" t="s">
        <v>2491</v>
      </c>
      <c r="C242" s="278">
        <v>0.141</v>
      </c>
      <c r="D242" s="278">
        <v>0.142</v>
      </c>
      <c r="E242" s="278">
        <v>0.148</v>
      </c>
      <c r="F242" s="278">
        <v>0.127</v>
      </c>
      <c r="G242" s="279">
        <v>0.144</v>
      </c>
    </row>
    <row r="243" spans="1:7">
      <c r="A243" s="288" t="s">
        <v>284</v>
      </c>
      <c r="B243" s="277" t="s">
        <v>2501</v>
      </c>
      <c r="C243" s="278">
        <v>0.147</v>
      </c>
      <c r="D243" s="278">
        <v>0.147</v>
      </c>
      <c r="E243" s="278">
        <v>0.15</v>
      </c>
      <c r="F243" s="278">
        <v>0.15</v>
      </c>
      <c r="G243" s="279">
        <v>0.149</v>
      </c>
    </row>
    <row r="244" spans="1:7">
      <c r="A244" s="288" t="s">
        <v>284</v>
      </c>
      <c r="B244" s="277" t="s">
        <v>2511</v>
      </c>
      <c r="C244" s="278">
        <v>0.15</v>
      </c>
      <c r="D244" s="278">
        <v>0.15</v>
      </c>
      <c r="E244" s="278">
        <v>0.15</v>
      </c>
      <c r="F244" s="278">
        <v>0.15</v>
      </c>
      <c r="G244" s="279">
        <v>0.15</v>
      </c>
    </row>
    <row r="245" spans="1:7">
      <c r="A245" s="288" t="s">
        <v>284</v>
      </c>
      <c r="B245" s="277" t="s">
        <v>2521</v>
      </c>
      <c r="C245" s="278">
        <v>0.142</v>
      </c>
      <c r="D245" s="278">
        <v>0.142</v>
      </c>
      <c r="E245" s="278">
        <v>0.15</v>
      </c>
      <c r="F245" s="278">
        <v>0.15</v>
      </c>
      <c r="G245" s="279">
        <v>0.145</v>
      </c>
    </row>
    <row r="246" spans="1:7">
      <c r="A246" s="288" t="s">
        <v>284</v>
      </c>
      <c r="B246" s="277" t="s">
        <v>2531</v>
      </c>
      <c r="C246" s="278">
        <v>0.142</v>
      </c>
      <c r="D246" s="278">
        <v>0.143</v>
      </c>
      <c r="E246" s="278">
        <v>0.15</v>
      </c>
      <c r="F246" s="278">
        <v>0.142</v>
      </c>
      <c r="G246" s="279">
        <v>0.144</v>
      </c>
    </row>
    <row r="247" spans="1:7">
      <c r="A247" s="288" t="s">
        <v>284</v>
      </c>
      <c r="B247" s="277" t="s">
        <v>2541</v>
      </c>
      <c r="C247" s="278">
        <v>0.149</v>
      </c>
      <c r="D247" s="278">
        <v>0.149</v>
      </c>
      <c r="E247" s="278">
        <v>0.15</v>
      </c>
      <c r="F247" s="278">
        <v>0.15</v>
      </c>
      <c r="G247" s="279">
        <v>0.15</v>
      </c>
    </row>
    <row r="248" spans="1:7">
      <c r="A248" s="288" t="s">
        <v>284</v>
      </c>
      <c r="B248" s="277" t="s">
        <v>2551</v>
      </c>
      <c r="C248" s="278">
        <v>0.144</v>
      </c>
      <c r="D248" s="278">
        <v>0.144</v>
      </c>
      <c r="E248" s="278">
        <v>0.149</v>
      </c>
      <c r="F248" s="278">
        <v>0.148</v>
      </c>
      <c r="G248" s="279">
        <v>0.146</v>
      </c>
    </row>
    <row r="249" spans="1:7">
      <c r="A249" s="288" t="s">
        <v>284</v>
      </c>
      <c r="B249" s="277" t="s">
        <v>2561</v>
      </c>
      <c r="C249" s="278">
        <v>0.14</v>
      </c>
      <c r="D249" s="278">
        <v>0.14</v>
      </c>
      <c r="E249" s="278">
        <v>0.147</v>
      </c>
      <c r="F249" s="278">
        <v>0.149</v>
      </c>
      <c r="G249" s="279">
        <v>0.142</v>
      </c>
    </row>
    <row r="250" spans="1:7">
      <c r="A250" s="288" t="s">
        <v>284</v>
      </c>
      <c r="B250" s="277" t="s">
        <v>2571</v>
      </c>
      <c r="C250" s="278">
        <v>0.144</v>
      </c>
      <c r="D250" s="278">
        <v>0.143</v>
      </c>
      <c r="E250" s="278">
        <v>0.149</v>
      </c>
      <c r="F250" s="278">
        <v>0.15</v>
      </c>
      <c r="G250" s="279">
        <v>0.146</v>
      </c>
    </row>
    <row r="251" spans="1:7">
      <c r="A251" s="288" t="s">
        <v>284</v>
      </c>
      <c r="B251" s="277" t="s">
        <v>2581</v>
      </c>
      <c r="C251" s="294"/>
      <c r="D251" s="289"/>
      <c r="E251" s="289"/>
      <c r="F251" s="278">
        <v>0.1</v>
      </c>
      <c r="G251" s="295"/>
    </row>
    <row r="252" spans="1:7">
      <c r="A252" s="288" t="s">
        <v>284</v>
      </c>
      <c r="B252" s="277" t="s">
        <v>2591</v>
      </c>
      <c r="C252" s="278">
        <v>0.144</v>
      </c>
      <c r="D252" s="278">
        <v>0.144</v>
      </c>
      <c r="E252" s="278">
        <v>0.15</v>
      </c>
      <c r="F252" s="278">
        <v>0.149</v>
      </c>
      <c r="G252" s="279">
        <v>0.146</v>
      </c>
    </row>
    <row r="253" spans="1:7">
      <c r="A253" s="288" t="s">
        <v>284</v>
      </c>
      <c r="B253" s="277" t="s">
        <v>2601</v>
      </c>
      <c r="C253" s="278">
        <v>0.142</v>
      </c>
      <c r="D253" s="278">
        <v>0.142</v>
      </c>
      <c r="E253" s="278">
        <v>0.146</v>
      </c>
      <c r="F253" s="278">
        <v>0.148</v>
      </c>
      <c r="G253" s="279">
        <v>0.145</v>
      </c>
    </row>
    <row r="254" spans="1:7">
      <c r="A254" s="288" t="s">
        <v>284</v>
      </c>
      <c r="B254" s="277" t="s">
        <v>2610</v>
      </c>
      <c r="C254" s="278">
        <v>0.15</v>
      </c>
      <c r="D254" s="278">
        <v>0.15</v>
      </c>
      <c r="E254" s="278">
        <v>0.15</v>
      </c>
      <c r="F254" s="278">
        <v>0.15</v>
      </c>
      <c r="G254" s="279">
        <v>0.15</v>
      </c>
    </row>
    <row r="255" spans="1:7">
      <c r="A255" s="288" t="s">
        <v>284</v>
      </c>
      <c r="B255" s="277" t="s">
        <v>2618</v>
      </c>
      <c r="C255" s="278">
        <v>0.143</v>
      </c>
      <c r="D255" s="278">
        <v>0.143</v>
      </c>
      <c r="E255" s="278">
        <v>0.15</v>
      </c>
      <c r="F255" s="278">
        <v>0.15</v>
      </c>
      <c r="G255" s="279">
        <v>0.145</v>
      </c>
    </row>
    <row r="256" spans="1:7">
      <c r="A256" s="288" t="s">
        <v>284</v>
      </c>
      <c r="B256" s="277" t="s">
        <v>2626</v>
      </c>
      <c r="C256" s="278">
        <v>0.15</v>
      </c>
      <c r="D256" s="278">
        <v>0.15</v>
      </c>
      <c r="E256" s="278">
        <v>0.15</v>
      </c>
      <c r="F256" s="278">
        <v>0.146</v>
      </c>
      <c r="G256" s="279">
        <v>0.15</v>
      </c>
    </row>
    <row r="257" spans="1:7">
      <c r="A257" s="288" t="s">
        <v>284</v>
      </c>
      <c r="B257" s="277" t="s">
        <v>2634</v>
      </c>
      <c r="C257" s="278">
        <v>0.142</v>
      </c>
      <c r="D257" s="278">
        <v>0.143</v>
      </c>
      <c r="E257" s="278">
        <v>0.148</v>
      </c>
      <c r="F257" s="278">
        <v>0.15</v>
      </c>
      <c r="G257" s="279">
        <v>0.145</v>
      </c>
    </row>
    <row r="258" spans="1:7">
      <c r="A258" s="288" t="s">
        <v>284</v>
      </c>
      <c r="B258" s="277" t="s">
        <v>2642</v>
      </c>
      <c r="C258" s="278">
        <v>0.143</v>
      </c>
      <c r="D258" s="278">
        <v>0.143</v>
      </c>
      <c r="E258" s="278">
        <v>0.15</v>
      </c>
      <c r="F258" s="278">
        <v>0.148</v>
      </c>
      <c r="G258" s="279">
        <v>0.146</v>
      </c>
    </row>
    <row r="259" spans="1:7">
      <c r="A259" s="288" t="s">
        <v>284</v>
      </c>
      <c r="B259" s="277" t="s">
        <v>2649</v>
      </c>
      <c r="C259" s="278">
        <v>0.144</v>
      </c>
      <c r="D259" s="278">
        <v>0.144</v>
      </c>
      <c r="E259" s="278">
        <v>0.149</v>
      </c>
      <c r="F259" s="278">
        <v>0.147</v>
      </c>
      <c r="G259" s="279">
        <v>0.146</v>
      </c>
    </row>
    <row r="260" spans="1:7">
      <c r="A260" s="288" t="s">
        <v>284</v>
      </c>
      <c r="B260" s="277" t="s">
        <v>2656</v>
      </c>
      <c r="C260" s="278">
        <v>0.109</v>
      </c>
      <c r="D260" s="278">
        <v>0.111</v>
      </c>
      <c r="E260" s="278">
        <v>0.131</v>
      </c>
      <c r="F260" s="278">
        <v>0.126</v>
      </c>
      <c r="G260" s="279">
        <v>0.119</v>
      </c>
    </row>
    <row r="261" spans="1:7">
      <c r="A261" s="288" t="s">
        <v>284</v>
      </c>
      <c r="B261" s="277" t="s">
        <v>2663</v>
      </c>
      <c r="C261" s="278">
        <v>0.1</v>
      </c>
      <c r="D261" s="278">
        <v>0.1</v>
      </c>
      <c r="E261" s="278">
        <v>0.118</v>
      </c>
      <c r="F261" s="278">
        <v>0.108</v>
      </c>
      <c r="G261" s="279">
        <v>0.107</v>
      </c>
    </row>
    <row r="262" spans="1:7">
      <c r="A262" s="288" t="s">
        <v>284</v>
      </c>
      <c r="B262" s="277" t="s">
        <v>2670</v>
      </c>
      <c r="C262" s="278">
        <v>0.1</v>
      </c>
      <c r="D262" s="278">
        <v>0.1</v>
      </c>
      <c r="E262" s="278">
        <v>0.1</v>
      </c>
      <c r="F262" s="278">
        <v>0.141</v>
      </c>
      <c r="G262" s="279">
        <v>0.1</v>
      </c>
    </row>
    <row r="263" spans="1:7">
      <c r="A263" s="288" t="s">
        <v>284</v>
      </c>
      <c r="B263" s="277" t="s">
        <v>2677</v>
      </c>
      <c r="C263" s="278">
        <v>0.148</v>
      </c>
      <c r="D263" s="278">
        <v>0.148</v>
      </c>
      <c r="E263" s="278">
        <v>0.15</v>
      </c>
      <c r="F263" s="278">
        <v>0.147</v>
      </c>
      <c r="G263" s="279">
        <v>0.15</v>
      </c>
    </row>
    <row r="264" spans="1:7">
      <c r="A264" s="288" t="s">
        <v>284</v>
      </c>
      <c r="B264" s="277" t="s">
        <v>2684</v>
      </c>
      <c r="C264" s="278">
        <v>0.143</v>
      </c>
      <c r="D264" s="278">
        <v>0.143</v>
      </c>
      <c r="E264" s="278">
        <v>0.15</v>
      </c>
      <c r="F264" s="278">
        <v>0.149</v>
      </c>
      <c r="G264" s="279">
        <v>0.146</v>
      </c>
    </row>
    <row r="265" spans="1:7">
      <c r="A265" s="288" t="s">
        <v>284</v>
      </c>
      <c r="B265" s="277" t="s">
        <v>2691</v>
      </c>
      <c r="C265" s="289"/>
      <c r="D265" s="289"/>
      <c r="E265" s="289"/>
      <c r="F265" s="278">
        <v>0.05</v>
      </c>
      <c r="G265" s="295"/>
    </row>
    <row r="266" spans="1:7">
      <c r="A266" s="288" t="s">
        <v>284</v>
      </c>
      <c r="B266" s="277" t="s">
        <v>2696</v>
      </c>
      <c r="C266" s="289"/>
      <c r="D266" s="289"/>
      <c r="E266" s="289"/>
      <c r="F266" s="278">
        <v>0.05</v>
      </c>
      <c r="G266" s="295"/>
    </row>
    <row r="267" spans="1:7">
      <c r="A267" s="288" t="s">
        <v>284</v>
      </c>
      <c r="B267" s="277" t="s">
        <v>2701</v>
      </c>
      <c r="C267" s="289"/>
      <c r="D267" s="289"/>
      <c r="E267" s="289"/>
      <c r="F267" s="278">
        <v>0.05</v>
      </c>
      <c r="G267" s="295"/>
    </row>
    <row r="268" spans="1:7">
      <c r="A268" s="288" t="s">
        <v>284</v>
      </c>
      <c r="B268" s="277" t="s">
        <v>2706</v>
      </c>
      <c r="C268" s="289"/>
      <c r="D268" s="289"/>
      <c r="E268" s="289"/>
      <c r="F268" s="278">
        <v>0.05</v>
      </c>
      <c r="G268" s="295"/>
    </row>
    <row r="269" spans="1:7">
      <c r="A269" s="288" t="s">
        <v>284</v>
      </c>
      <c r="B269" s="277" t="s">
        <v>2711</v>
      </c>
      <c r="C269" s="289"/>
      <c r="D269" s="289"/>
      <c r="E269" s="289"/>
      <c r="F269" s="278">
        <v>0.05</v>
      </c>
      <c r="G269" s="295"/>
    </row>
    <row r="270" spans="1:7">
      <c r="A270" s="288" t="s">
        <v>284</v>
      </c>
      <c r="B270" s="277" t="s">
        <v>2716</v>
      </c>
      <c r="C270" s="289"/>
      <c r="D270" s="289"/>
      <c r="E270" s="289"/>
      <c r="F270" s="278">
        <v>0.05</v>
      </c>
      <c r="G270" s="295"/>
    </row>
    <row r="271" spans="1:7">
      <c r="A271" s="288" t="s">
        <v>284</v>
      </c>
      <c r="B271" s="277" t="s">
        <v>2721</v>
      </c>
      <c r="C271" s="289"/>
      <c r="D271" s="289"/>
      <c r="E271" s="289"/>
      <c r="F271" s="278">
        <v>0.05</v>
      </c>
      <c r="G271" s="295"/>
    </row>
    <row r="272" spans="1:7">
      <c r="A272" s="288" t="s">
        <v>284</v>
      </c>
      <c r="B272" s="277" t="s">
        <v>2726</v>
      </c>
      <c r="C272" s="289"/>
      <c r="D272" s="289"/>
      <c r="E272" s="289"/>
      <c r="F272" s="278">
        <v>0.05</v>
      </c>
      <c r="G272" s="295"/>
    </row>
    <row r="273" spans="1:7">
      <c r="A273" s="288" t="s">
        <v>284</v>
      </c>
      <c r="B273" s="277" t="s">
        <v>2731</v>
      </c>
      <c r="C273" s="289"/>
      <c r="D273" s="289"/>
      <c r="E273" s="289"/>
      <c r="F273" s="278">
        <v>0.05</v>
      </c>
      <c r="G273" s="295"/>
    </row>
    <row r="274" spans="1:7">
      <c r="A274" s="288" t="s">
        <v>284</v>
      </c>
      <c r="B274" s="277" t="s">
        <v>2735</v>
      </c>
      <c r="C274" s="289"/>
      <c r="D274" s="289"/>
      <c r="E274" s="289"/>
      <c r="F274" s="278">
        <v>0.05</v>
      </c>
      <c r="G274" s="295"/>
    </row>
    <row r="275" spans="1:7">
      <c r="A275" s="288" t="s">
        <v>284</v>
      </c>
      <c r="B275" s="277" t="s">
        <v>2739</v>
      </c>
      <c r="C275" s="289"/>
      <c r="D275" s="289"/>
      <c r="E275" s="289"/>
      <c r="F275" s="278">
        <v>0.05</v>
      </c>
      <c r="G275" s="295"/>
    </row>
    <row r="276" ht="14.25" spans="1:7">
      <c r="A276" s="291" t="s">
        <v>284</v>
      </c>
      <c r="B276" s="281" t="s">
        <v>2743</v>
      </c>
      <c r="C276" s="283"/>
      <c r="D276" s="283"/>
      <c r="E276" s="283"/>
      <c r="F276" s="282">
        <v>0.05</v>
      </c>
      <c r="G276" s="296"/>
    </row>
    <row r="277" spans="1:7">
      <c r="A277" s="287" t="s">
        <v>288</v>
      </c>
      <c r="B277" s="273" t="s">
        <v>2398</v>
      </c>
      <c r="C277" s="274">
        <v>0.15</v>
      </c>
      <c r="D277" s="274">
        <v>0.15</v>
      </c>
      <c r="E277" s="274">
        <v>0.15</v>
      </c>
      <c r="F277" s="274">
        <v>0.15</v>
      </c>
      <c r="G277" s="275">
        <v>0.15</v>
      </c>
    </row>
    <row r="278" spans="1:7">
      <c r="A278" s="288" t="s">
        <v>288</v>
      </c>
      <c r="B278" s="277" t="s">
        <v>2411</v>
      </c>
      <c r="C278" s="278">
        <v>0.15</v>
      </c>
      <c r="D278" s="278">
        <v>0.15</v>
      </c>
      <c r="E278" s="278">
        <v>0.15</v>
      </c>
      <c r="F278" s="278">
        <v>0.15</v>
      </c>
      <c r="G278" s="279">
        <v>0.15</v>
      </c>
    </row>
    <row r="279" spans="1:7">
      <c r="A279" s="288" t="s">
        <v>288</v>
      </c>
      <c r="B279" s="277" t="s">
        <v>2425</v>
      </c>
      <c r="C279" s="278">
        <v>0.15</v>
      </c>
      <c r="D279" s="278">
        <v>0.15</v>
      </c>
      <c r="E279" s="278">
        <v>0.15</v>
      </c>
      <c r="F279" s="278">
        <v>0.15</v>
      </c>
      <c r="G279" s="279">
        <v>0.15</v>
      </c>
    </row>
    <row r="280" spans="1:7">
      <c r="A280" s="288" t="s">
        <v>288</v>
      </c>
      <c r="B280" s="277" t="s">
        <v>2437</v>
      </c>
      <c r="C280" s="278">
        <v>0.15</v>
      </c>
      <c r="D280" s="278">
        <v>0.15</v>
      </c>
      <c r="E280" s="278">
        <v>0.15</v>
      </c>
      <c r="F280" s="278">
        <v>0.15</v>
      </c>
      <c r="G280" s="279">
        <v>0.15</v>
      </c>
    </row>
    <row r="281" spans="1:7">
      <c r="A281" s="288" t="s">
        <v>288</v>
      </c>
      <c r="B281" s="277" t="s">
        <v>2449</v>
      </c>
      <c r="C281" s="278">
        <v>0.15</v>
      </c>
      <c r="D281" s="278">
        <v>0.15</v>
      </c>
      <c r="E281" s="278">
        <v>0.15</v>
      </c>
      <c r="F281" s="278">
        <v>0.15</v>
      </c>
      <c r="G281" s="279">
        <v>0.15</v>
      </c>
    </row>
    <row r="282" spans="1:7">
      <c r="A282" s="288" t="s">
        <v>288</v>
      </c>
      <c r="B282" s="277" t="s">
        <v>2460</v>
      </c>
      <c r="C282" s="278">
        <v>0.15</v>
      </c>
      <c r="D282" s="278">
        <v>0.15</v>
      </c>
      <c r="E282" s="278">
        <v>0.15</v>
      </c>
      <c r="F282" s="278">
        <v>0.145</v>
      </c>
      <c r="G282" s="279">
        <v>0.15</v>
      </c>
    </row>
    <row r="283" spans="1:7">
      <c r="A283" s="288" t="s">
        <v>288</v>
      </c>
      <c r="B283" s="277" t="s">
        <v>2471</v>
      </c>
      <c r="C283" s="278">
        <v>0.15</v>
      </c>
      <c r="D283" s="278">
        <v>0.15</v>
      </c>
      <c r="E283" s="278">
        <v>0.15</v>
      </c>
      <c r="F283" s="278">
        <v>0.142</v>
      </c>
      <c r="G283" s="279">
        <v>0.15</v>
      </c>
    </row>
    <row r="284" spans="1:7">
      <c r="A284" s="288" t="s">
        <v>288</v>
      </c>
      <c r="B284" s="277" t="s">
        <v>2482</v>
      </c>
      <c r="C284" s="278">
        <v>0.15</v>
      </c>
      <c r="D284" s="278">
        <v>0.15</v>
      </c>
      <c r="E284" s="278">
        <v>0.15</v>
      </c>
      <c r="F284" s="278">
        <v>0.15</v>
      </c>
      <c r="G284" s="279">
        <v>0.15</v>
      </c>
    </row>
    <row r="285" spans="1:7">
      <c r="A285" s="288" t="s">
        <v>288</v>
      </c>
      <c r="B285" s="277" t="s">
        <v>2492</v>
      </c>
      <c r="C285" s="278">
        <v>0.15</v>
      </c>
      <c r="D285" s="278">
        <v>0.15</v>
      </c>
      <c r="E285" s="278">
        <v>0.15</v>
      </c>
      <c r="F285" s="278">
        <v>0.15</v>
      </c>
      <c r="G285" s="279">
        <v>0.15</v>
      </c>
    </row>
    <row r="286" spans="1:7">
      <c r="A286" s="288" t="s">
        <v>288</v>
      </c>
      <c r="B286" s="277" t="s">
        <v>2502</v>
      </c>
      <c r="C286" s="278">
        <v>0.145</v>
      </c>
      <c r="D286" s="278">
        <v>0.145</v>
      </c>
      <c r="E286" s="278">
        <v>0.15</v>
      </c>
      <c r="F286" s="278">
        <v>0.141</v>
      </c>
      <c r="G286" s="279">
        <v>0.145</v>
      </c>
    </row>
    <row r="287" spans="1:7">
      <c r="A287" s="288" t="s">
        <v>288</v>
      </c>
      <c r="B287" s="277" t="s">
        <v>2512</v>
      </c>
      <c r="C287" s="278">
        <v>0.11</v>
      </c>
      <c r="D287" s="278">
        <v>0.111</v>
      </c>
      <c r="E287" s="278">
        <v>0.141</v>
      </c>
      <c r="F287" s="278">
        <v>0.11</v>
      </c>
      <c r="G287" s="279">
        <v>0.12</v>
      </c>
    </row>
    <row r="288" spans="1:7">
      <c r="A288" s="288" t="s">
        <v>288</v>
      </c>
      <c r="B288" s="277" t="s">
        <v>2522</v>
      </c>
      <c r="C288" s="278">
        <v>0.142</v>
      </c>
      <c r="D288" s="278">
        <v>0.143</v>
      </c>
      <c r="E288" s="278">
        <v>0.15</v>
      </c>
      <c r="F288" s="278">
        <v>0.142</v>
      </c>
      <c r="G288" s="279">
        <v>0.144</v>
      </c>
    </row>
    <row r="289" spans="1:7">
      <c r="A289" s="288" t="s">
        <v>288</v>
      </c>
      <c r="B289" s="277" t="s">
        <v>2532</v>
      </c>
      <c r="C289" s="278">
        <v>0.143</v>
      </c>
      <c r="D289" s="278">
        <v>0.143</v>
      </c>
      <c r="E289" s="278">
        <v>0.148</v>
      </c>
      <c r="F289" s="278">
        <v>0.144</v>
      </c>
      <c r="G289" s="279">
        <v>0.144</v>
      </c>
    </row>
    <row r="290" spans="1:7">
      <c r="A290" s="288" t="s">
        <v>288</v>
      </c>
      <c r="B290" s="277" t="s">
        <v>2542</v>
      </c>
      <c r="C290" s="278">
        <v>0.148</v>
      </c>
      <c r="D290" s="278">
        <v>0.149</v>
      </c>
      <c r="E290" s="278">
        <v>0.15</v>
      </c>
      <c r="F290" s="278">
        <v>0.127</v>
      </c>
      <c r="G290" s="279">
        <v>0.15</v>
      </c>
    </row>
    <row r="291" spans="1:7">
      <c r="A291" s="288" t="s">
        <v>288</v>
      </c>
      <c r="B291" s="277" t="s">
        <v>2552</v>
      </c>
      <c r="C291" s="278">
        <v>0.15</v>
      </c>
      <c r="D291" s="278">
        <v>0.15</v>
      </c>
      <c r="E291" s="278">
        <v>0.15</v>
      </c>
      <c r="F291" s="278">
        <v>0.149</v>
      </c>
      <c r="G291" s="279">
        <v>0.15</v>
      </c>
    </row>
    <row r="292" spans="1:7">
      <c r="A292" s="288" t="s">
        <v>288</v>
      </c>
      <c r="B292" s="277" t="s">
        <v>2562</v>
      </c>
      <c r="C292" s="278">
        <v>0.15</v>
      </c>
      <c r="D292" s="278">
        <v>0.15</v>
      </c>
      <c r="E292" s="278">
        <v>0.15</v>
      </c>
      <c r="F292" s="278">
        <v>0.144</v>
      </c>
      <c r="G292" s="279">
        <v>0.15</v>
      </c>
    </row>
    <row r="293" spans="1:7">
      <c r="A293" s="288" t="s">
        <v>288</v>
      </c>
      <c r="B293" s="277" t="s">
        <v>2572</v>
      </c>
      <c r="C293" s="278">
        <v>0.15</v>
      </c>
      <c r="D293" s="278">
        <v>0.15</v>
      </c>
      <c r="E293" s="278">
        <v>0.15</v>
      </c>
      <c r="F293" s="278">
        <v>0.145</v>
      </c>
      <c r="G293" s="279">
        <v>0.15</v>
      </c>
    </row>
    <row r="294" spans="1:7">
      <c r="A294" s="288" t="s">
        <v>288</v>
      </c>
      <c r="B294" s="277" t="s">
        <v>2582</v>
      </c>
      <c r="C294" s="278">
        <v>0.15</v>
      </c>
      <c r="D294" s="278">
        <v>0.15</v>
      </c>
      <c r="E294" s="278">
        <v>0.15</v>
      </c>
      <c r="F294" s="278">
        <v>0.149</v>
      </c>
      <c r="G294" s="279">
        <v>0.15</v>
      </c>
    </row>
    <row r="295" spans="1:7">
      <c r="A295" s="288" t="s">
        <v>288</v>
      </c>
      <c r="B295" s="277" t="s">
        <v>2592</v>
      </c>
      <c r="C295" s="278">
        <v>0.15</v>
      </c>
      <c r="D295" s="278">
        <v>0.15</v>
      </c>
      <c r="E295" s="278">
        <v>0.15</v>
      </c>
      <c r="F295" s="278">
        <v>0.148</v>
      </c>
      <c r="G295" s="279">
        <v>0.15</v>
      </c>
    </row>
    <row r="296" spans="1:7">
      <c r="A296" s="288" t="s">
        <v>288</v>
      </c>
      <c r="B296" s="277" t="s">
        <v>2602</v>
      </c>
      <c r="C296" s="278">
        <v>0.15</v>
      </c>
      <c r="D296" s="278">
        <v>0.15</v>
      </c>
      <c r="E296" s="278">
        <v>0.15</v>
      </c>
      <c r="F296" s="278">
        <v>0.144</v>
      </c>
      <c r="G296" s="279">
        <v>0.15</v>
      </c>
    </row>
    <row r="297" spans="1:7">
      <c r="A297" s="288" t="s">
        <v>288</v>
      </c>
      <c r="B297" s="277" t="s">
        <v>2611</v>
      </c>
      <c r="C297" s="278">
        <v>0.15</v>
      </c>
      <c r="D297" s="278">
        <v>0.15</v>
      </c>
      <c r="E297" s="278">
        <v>0.15</v>
      </c>
      <c r="F297" s="278">
        <v>0.145</v>
      </c>
      <c r="G297" s="279">
        <v>0.15</v>
      </c>
    </row>
    <row r="298" spans="1:7">
      <c r="A298" s="288" t="s">
        <v>288</v>
      </c>
      <c r="B298" s="277" t="s">
        <v>2619</v>
      </c>
      <c r="C298" s="278">
        <v>0.15</v>
      </c>
      <c r="D298" s="278">
        <v>0.15</v>
      </c>
      <c r="E298" s="278">
        <v>0.15</v>
      </c>
      <c r="F298" s="278">
        <v>0.15</v>
      </c>
      <c r="G298" s="279">
        <v>0.15</v>
      </c>
    </row>
    <row r="299" spans="1:7">
      <c r="A299" s="288" t="s">
        <v>288</v>
      </c>
      <c r="B299" s="297" t="s">
        <v>2627</v>
      </c>
      <c r="C299" s="278">
        <v>0.15</v>
      </c>
      <c r="D299" s="278">
        <v>0.15</v>
      </c>
      <c r="E299" s="278">
        <v>0.15</v>
      </c>
      <c r="F299" s="278">
        <v>0.145</v>
      </c>
      <c r="G299" s="279">
        <v>0.15</v>
      </c>
    </row>
    <row r="300" spans="1:7">
      <c r="A300" s="288" t="s">
        <v>288</v>
      </c>
      <c r="B300" s="297" t="s">
        <v>2635</v>
      </c>
      <c r="C300" s="278">
        <v>0.15</v>
      </c>
      <c r="D300" s="278">
        <v>0.15</v>
      </c>
      <c r="E300" s="278">
        <v>0.15</v>
      </c>
      <c r="F300" s="278">
        <v>0.146</v>
      </c>
      <c r="G300" s="279">
        <v>0.15</v>
      </c>
    </row>
    <row r="301" spans="1:7">
      <c r="A301" s="288" t="s">
        <v>288</v>
      </c>
      <c r="B301" s="297" t="s">
        <v>2643</v>
      </c>
      <c r="C301" s="278">
        <v>0.126</v>
      </c>
      <c r="D301" s="278">
        <v>0.124</v>
      </c>
      <c r="E301" s="278">
        <v>0.141</v>
      </c>
      <c r="F301" s="278">
        <v>0.144</v>
      </c>
      <c r="G301" s="279">
        <v>0.13</v>
      </c>
    </row>
    <row r="302" spans="1:7">
      <c r="A302" s="288" t="s">
        <v>288</v>
      </c>
      <c r="B302" s="277" t="s">
        <v>2650</v>
      </c>
      <c r="C302" s="278">
        <v>0.15</v>
      </c>
      <c r="D302" s="278">
        <v>0.15</v>
      </c>
      <c r="E302" s="278">
        <v>0.15</v>
      </c>
      <c r="F302" s="278">
        <v>0.147</v>
      </c>
      <c r="G302" s="279">
        <v>0.15</v>
      </c>
    </row>
    <row r="303" spans="1:7">
      <c r="A303" s="288" t="s">
        <v>288</v>
      </c>
      <c r="B303" s="277" t="s">
        <v>2657</v>
      </c>
      <c r="C303" s="278">
        <v>0.15</v>
      </c>
      <c r="D303" s="278">
        <v>0.15</v>
      </c>
      <c r="E303" s="278">
        <v>0.15</v>
      </c>
      <c r="F303" s="278">
        <v>0.142</v>
      </c>
      <c r="G303" s="279">
        <v>0.15</v>
      </c>
    </row>
    <row r="304" spans="1:7">
      <c r="A304" s="288" t="s">
        <v>288</v>
      </c>
      <c r="B304" s="277" t="s">
        <v>2664</v>
      </c>
      <c r="C304" s="278">
        <v>0.15</v>
      </c>
      <c r="D304" s="278">
        <v>0.15</v>
      </c>
      <c r="E304" s="278">
        <v>0.15</v>
      </c>
      <c r="F304" s="278">
        <v>0.145</v>
      </c>
      <c r="G304" s="279">
        <v>0.15</v>
      </c>
    </row>
    <row r="305" spans="1:7">
      <c r="A305" s="288" t="s">
        <v>288</v>
      </c>
      <c r="B305" s="277" t="s">
        <v>2671</v>
      </c>
      <c r="C305" s="278">
        <v>0.15</v>
      </c>
      <c r="D305" s="278">
        <v>0.15</v>
      </c>
      <c r="E305" s="278">
        <v>0.15</v>
      </c>
      <c r="F305" s="278">
        <v>0.111</v>
      </c>
      <c r="G305" s="279">
        <v>0.15</v>
      </c>
    </row>
    <row r="306" spans="1:7">
      <c r="A306" s="288" t="s">
        <v>288</v>
      </c>
      <c r="B306" s="277" t="s">
        <v>2678</v>
      </c>
      <c r="C306" s="278">
        <v>0.15</v>
      </c>
      <c r="D306" s="278">
        <v>0.15</v>
      </c>
      <c r="E306" s="278">
        <v>0.15</v>
      </c>
      <c r="F306" s="278">
        <v>0.126</v>
      </c>
      <c r="G306" s="279">
        <v>0.15</v>
      </c>
    </row>
    <row r="307" spans="1:7">
      <c r="A307" s="288" t="s">
        <v>288</v>
      </c>
      <c r="B307" s="277" t="s">
        <v>2685</v>
      </c>
      <c r="C307" s="278">
        <v>0.15</v>
      </c>
      <c r="D307" s="278">
        <v>0.15</v>
      </c>
      <c r="E307" s="278">
        <v>0.15</v>
      </c>
      <c r="F307" s="278">
        <v>0.12</v>
      </c>
      <c r="G307" s="279">
        <v>0.15</v>
      </c>
    </row>
    <row r="308" spans="1:7">
      <c r="A308" s="288" t="s">
        <v>288</v>
      </c>
      <c r="B308" s="277" t="s">
        <v>2692</v>
      </c>
      <c r="C308" s="278">
        <v>0.15</v>
      </c>
      <c r="D308" s="278">
        <v>0.15</v>
      </c>
      <c r="E308" s="278">
        <v>0.15</v>
      </c>
      <c r="F308" s="278">
        <v>0.13</v>
      </c>
      <c r="G308" s="279">
        <v>0.15</v>
      </c>
    </row>
    <row r="309" spans="1:7">
      <c r="A309" s="288" t="s">
        <v>288</v>
      </c>
      <c r="B309" s="277" t="s">
        <v>2697</v>
      </c>
      <c r="C309" s="278">
        <v>0.15</v>
      </c>
      <c r="D309" s="278">
        <v>0.15</v>
      </c>
      <c r="E309" s="278">
        <v>0.15</v>
      </c>
      <c r="F309" s="278">
        <v>0.141</v>
      </c>
      <c r="G309" s="279">
        <v>0.15</v>
      </c>
    </row>
    <row r="310" spans="1:7">
      <c r="A310" s="288" t="s">
        <v>288</v>
      </c>
      <c r="B310" s="277" t="s">
        <v>2702</v>
      </c>
      <c r="C310" s="278">
        <v>0.15</v>
      </c>
      <c r="D310" s="278">
        <v>0.15</v>
      </c>
      <c r="E310" s="278">
        <v>0.15</v>
      </c>
      <c r="F310" s="278">
        <v>0.15</v>
      </c>
      <c r="G310" s="279">
        <v>0.15</v>
      </c>
    </row>
    <row r="311" spans="1:7">
      <c r="A311" s="288" t="s">
        <v>288</v>
      </c>
      <c r="B311" s="277" t="s">
        <v>2707</v>
      </c>
      <c r="C311" s="278">
        <v>0.132</v>
      </c>
      <c r="D311" s="278">
        <v>0.133</v>
      </c>
      <c r="E311" s="278">
        <v>0.145</v>
      </c>
      <c r="F311" s="278">
        <v>0.142</v>
      </c>
      <c r="G311" s="279">
        <v>0.14</v>
      </c>
    </row>
    <row r="312" spans="1:7">
      <c r="A312" s="288" t="s">
        <v>288</v>
      </c>
      <c r="B312" s="277" t="s">
        <v>2712</v>
      </c>
      <c r="C312" s="278">
        <v>0.138</v>
      </c>
      <c r="D312" s="278">
        <v>0.14</v>
      </c>
      <c r="E312" s="278">
        <v>0.146</v>
      </c>
      <c r="F312" s="278">
        <v>0.149</v>
      </c>
      <c r="G312" s="279">
        <v>0.142</v>
      </c>
    </row>
    <row r="313" spans="1:7">
      <c r="A313" s="288" t="s">
        <v>288</v>
      </c>
      <c r="B313" s="277" t="s">
        <v>2717</v>
      </c>
      <c r="C313" s="278">
        <v>0.125</v>
      </c>
      <c r="D313" s="278">
        <v>0.127</v>
      </c>
      <c r="E313" s="278">
        <v>0.144</v>
      </c>
      <c r="F313" s="278">
        <v>0.115</v>
      </c>
      <c r="G313" s="279">
        <v>0.136</v>
      </c>
    </row>
    <row r="314" spans="1:7">
      <c r="A314" s="288" t="s">
        <v>288</v>
      </c>
      <c r="B314" s="277" t="s">
        <v>2722</v>
      </c>
      <c r="C314" s="294"/>
      <c r="D314" s="294"/>
      <c r="E314" s="294"/>
      <c r="F314" s="278">
        <v>0.05</v>
      </c>
      <c r="G314" s="295"/>
    </row>
    <row r="315" spans="1:7">
      <c r="A315" s="288" t="s">
        <v>288</v>
      </c>
      <c r="B315" s="277" t="s">
        <v>2727</v>
      </c>
      <c r="C315" s="294"/>
      <c r="D315" s="294"/>
      <c r="E315" s="294"/>
      <c r="F315" s="278">
        <v>0.05</v>
      </c>
      <c r="G315" s="295"/>
    </row>
    <row r="316" spans="1:7">
      <c r="A316" s="288" t="s">
        <v>288</v>
      </c>
      <c r="B316" s="277" t="s">
        <v>2732</v>
      </c>
      <c r="C316" s="289"/>
      <c r="D316" s="289"/>
      <c r="E316" s="289"/>
      <c r="F316" s="278">
        <v>0.05</v>
      </c>
      <c r="G316" s="295"/>
    </row>
    <row r="317" spans="1:7">
      <c r="A317" s="288" t="s">
        <v>288</v>
      </c>
      <c r="B317" s="277" t="s">
        <v>2736</v>
      </c>
      <c r="C317" s="289"/>
      <c r="D317" s="289"/>
      <c r="E317" s="289"/>
      <c r="F317" s="278">
        <v>0.05</v>
      </c>
      <c r="G317" s="295"/>
    </row>
    <row r="318" spans="1:7">
      <c r="A318" s="288" t="s">
        <v>288</v>
      </c>
      <c r="B318" s="277" t="s">
        <v>2740</v>
      </c>
      <c r="C318" s="289"/>
      <c r="D318" s="289"/>
      <c r="E318" s="289"/>
      <c r="F318" s="278">
        <v>0.05</v>
      </c>
      <c r="G318" s="295"/>
    </row>
    <row r="319" spans="1:7">
      <c r="A319" s="288" t="s">
        <v>288</v>
      </c>
      <c r="B319" s="277" t="s">
        <v>2744</v>
      </c>
      <c r="C319" s="289"/>
      <c r="D319" s="289"/>
      <c r="E319" s="289"/>
      <c r="F319" s="278">
        <v>0.05</v>
      </c>
      <c r="G319" s="295"/>
    </row>
    <row r="320" spans="1:7">
      <c r="A320" s="288" t="s">
        <v>288</v>
      </c>
      <c r="B320" s="277" t="s">
        <v>2747</v>
      </c>
      <c r="C320" s="289"/>
      <c r="D320" s="289"/>
      <c r="E320" s="289"/>
      <c r="F320" s="278">
        <v>0.05</v>
      </c>
      <c r="G320" s="295"/>
    </row>
    <row r="321" spans="1:7">
      <c r="A321" s="288" t="s">
        <v>288</v>
      </c>
      <c r="B321" s="277" t="s">
        <v>2749</v>
      </c>
      <c r="C321" s="289"/>
      <c r="D321" s="289"/>
      <c r="E321" s="289"/>
      <c r="F321" s="278">
        <v>0.05</v>
      </c>
      <c r="G321" s="295"/>
    </row>
    <row r="322" spans="1:7">
      <c r="A322" s="288" t="s">
        <v>288</v>
      </c>
      <c r="B322" s="277" t="s">
        <v>2751</v>
      </c>
      <c r="C322" s="289"/>
      <c r="D322" s="289"/>
      <c r="E322" s="289"/>
      <c r="F322" s="278">
        <v>0.05</v>
      </c>
      <c r="G322" s="295"/>
    </row>
    <row r="323" spans="1:7">
      <c r="A323" s="288" t="s">
        <v>288</v>
      </c>
      <c r="B323" s="277" t="s">
        <v>2753</v>
      </c>
      <c r="C323" s="289"/>
      <c r="D323" s="289"/>
      <c r="E323" s="289"/>
      <c r="F323" s="278">
        <v>0.05</v>
      </c>
      <c r="G323" s="295"/>
    </row>
    <row r="324" spans="1:7">
      <c r="A324" s="288" t="s">
        <v>288</v>
      </c>
      <c r="B324" s="277" t="s">
        <v>2755</v>
      </c>
      <c r="C324" s="289"/>
      <c r="D324" s="289"/>
      <c r="E324" s="289"/>
      <c r="F324" s="278">
        <v>0.05</v>
      </c>
      <c r="G324" s="295"/>
    </row>
    <row r="325" spans="1:7">
      <c r="A325" s="288" t="s">
        <v>288</v>
      </c>
      <c r="B325" s="277" t="s">
        <v>2757</v>
      </c>
      <c r="C325" s="289"/>
      <c r="D325" s="289"/>
      <c r="E325" s="289"/>
      <c r="F325" s="278">
        <v>0.05</v>
      </c>
      <c r="G325" s="295"/>
    </row>
    <row r="326" ht="14.25" spans="1:7">
      <c r="A326" s="291" t="s">
        <v>288</v>
      </c>
      <c r="B326" s="281" t="s">
        <v>2759</v>
      </c>
      <c r="C326" s="283"/>
      <c r="D326" s="283"/>
      <c r="E326" s="283"/>
      <c r="F326" s="282">
        <v>0.05</v>
      </c>
      <c r="G326" s="296"/>
    </row>
    <row r="327" spans="1:7">
      <c r="A327" s="287" t="s">
        <v>292</v>
      </c>
      <c r="B327" s="273" t="s">
        <v>2399</v>
      </c>
      <c r="C327" s="274">
        <v>0.15</v>
      </c>
      <c r="D327" s="274">
        <v>0.15</v>
      </c>
      <c r="E327" s="274">
        <v>0.15</v>
      </c>
      <c r="F327" s="274">
        <v>0.15</v>
      </c>
      <c r="G327" s="275">
        <v>0.15</v>
      </c>
    </row>
    <row r="328" spans="1:7">
      <c r="A328" s="288" t="s">
        <v>292</v>
      </c>
      <c r="B328" s="277" t="s">
        <v>2412</v>
      </c>
      <c r="C328" s="278">
        <v>0.15</v>
      </c>
      <c r="D328" s="278">
        <v>0.15</v>
      </c>
      <c r="E328" s="278">
        <v>0.15</v>
      </c>
      <c r="F328" s="278">
        <v>0.126</v>
      </c>
      <c r="G328" s="279">
        <v>0.15</v>
      </c>
    </row>
    <row r="329" spans="1:7">
      <c r="A329" s="288" t="s">
        <v>292</v>
      </c>
      <c r="B329" s="277" t="s">
        <v>2426</v>
      </c>
      <c r="C329" s="278">
        <v>0.15</v>
      </c>
      <c r="D329" s="278">
        <v>0.15</v>
      </c>
      <c r="E329" s="278">
        <v>0.15</v>
      </c>
      <c r="F329" s="278">
        <v>0.15</v>
      </c>
      <c r="G329" s="279">
        <v>0.15</v>
      </c>
    </row>
    <row r="330" spans="1:7">
      <c r="A330" s="288" t="s">
        <v>292</v>
      </c>
      <c r="B330" s="277" t="s">
        <v>2438</v>
      </c>
      <c r="C330" s="278">
        <v>0.15</v>
      </c>
      <c r="D330" s="278">
        <v>0.15</v>
      </c>
      <c r="E330" s="278">
        <v>0.15</v>
      </c>
      <c r="F330" s="278">
        <v>0.15</v>
      </c>
      <c r="G330" s="279">
        <v>0.15</v>
      </c>
    </row>
    <row r="331" spans="1:7">
      <c r="A331" s="288" t="s">
        <v>292</v>
      </c>
      <c r="B331" s="277" t="s">
        <v>2450</v>
      </c>
      <c r="C331" s="278">
        <v>0.15</v>
      </c>
      <c r="D331" s="278">
        <v>0.15</v>
      </c>
      <c r="E331" s="278">
        <v>0.15</v>
      </c>
      <c r="F331" s="278">
        <v>0.15</v>
      </c>
      <c r="G331" s="279">
        <v>0.15</v>
      </c>
    </row>
    <row r="332" spans="1:7">
      <c r="A332" s="288" t="s">
        <v>292</v>
      </c>
      <c r="B332" s="277" t="s">
        <v>2461</v>
      </c>
      <c r="C332" s="278">
        <v>0.15</v>
      </c>
      <c r="D332" s="278">
        <v>0.15</v>
      </c>
      <c r="E332" s="278">
        <v>0.15</v>
      </c>
      <c r="F332" s="278">
        <v>0.15</v>
      </c>
      <c r="G332" s="279">
        <v>0.15</v>
      </c>
    </row>
    <row r="333" spans="1:7">
      <c r="A333" s="288" t="s">
        <v>292</v>
      </c>
      <c r="B333" s="277" t="s">
        <v>2472</v>
      </c>
      <c r="C333" s="278">
        <v>0.149</v>
      </c>
      <c r="D333" s="278">
        <v>0.149</v>
      </c>
      <c r="E333" s="278">
        <v>0.15</v>
      </c>
      <c r="F333" s="278">
        <v>0.116</v>
      </c>
      <c r="G333" s="279">
        <v>0.15</v>
      </c>
    </row>
    <row r="334" spans="1:7">
      <c r="A334" s="288" t="s">
        <v>292</v>
      </c>
      <c r="B334" s="277" t="s">
        <v>2483</v>
      </c>
      <c r="C334" s="278">
        <v>0.15</v>
      </c>
      <c r="D334" s="278">
        <v>0.15</v>
      </c>
      <c r="E334" s="278">
        <v>0.15</v>
      </c>
      <c r="F334" s="278">
        <v>0.13</v>
      </c>
      <c r="G334" s="279">
        <v>0.15</v>
      </c>
    </row>
    <row r="335" spans="1:7">
      <c r="A335" s="288" t="s">
        <v>292</v>
      </c>
      <c r="B335" s="277" t="s">
        <v>2493</v>
      </c>
      <c r="C335" s="278">
        <v>0.15</v>
      </c>
      <c r="D335" s="278">
        <v>0.15</v>
      </c>
      <c r="E335" s="278">
        <v>0.15</v>
      </c>
      <c r="F335" s="278">
        <v>0.144</v>
      </c>
      <c r="G335" s="279">
        <v>0.15</v>
      </c>
    </row>
    <row r="336" spans="1:7">
      <c r="A336" s="288" t="s">
        <v>292</v>
      </c>
      <c r="B336" s="277" t="s">
        <v>2503</v>
      </c>
      <c r="C336" s="278">
        <v>0.15</v>
      </c>
      <c r="D336" s="278">
        <v>0.15</v>
      </c>
      <c r="E336" s="278">
        <v>0.15</v>
      </c>
      <c r="F336" s="278">
        <v>0.142</v>
      </c>
      <c r="G336" s="279">
        <v>0.15</v>
      </c>
    </row>
    <row r="337" spans="1:7">
      <c r="A337" s="288" t="s">
        <v>292</v>
      </c>
      <c r="B337" s="277" t="s">
        <v>2513</v>
      </c>
      <c r="C337" s="278">
        <v>0.15</v>
      </c>
      <c r="D337" s="278">
        <v>0.15</v>
      </c>
      <c r="E337" s="278">
        <v>0.15</v>
      </c>
      <c r="F337" s="278">
        <v>0.145</v>
      </c>
      <c r="G337" s="279">
        <v>0.15</v>
      </c>
    </row>
    <row r="338" spans="1:7">
      <c r="A338" s="288" t="s">
        <v>292</v>
      </c>
      <c r="B338" s="277" t="s">
        <v>2523</v>
      </c>
      <c r="C338" s="278">
        <v>0.15</v>
      </c>
      <c r="D338" s="278">
        <v>0.15</v>
      </c>
      <c r="E338" s="278">
        <v>0.15</v>
      </c>
      <c r="F338" s="278">
        <v>0.15</v>
      </c>
      <c r="G338" s="279">
        <v>0.15</v>
      </c>
    </row>
    <row r="339" spans="1:7">
      <c r="A339" s="288" t="s">
        <v>292</v>
      </c>
      <c r="B339" s="277" t="s">
        <v>2533</v>
      </c>
      <c r="C339" s="278">
        <v>0.15</v>
      </c>
      <c r="D339" s="278">
        <v>0.15</v>
      </c>
      <c r="E339" s="278">
        <v>0.15</v>
      </c>
      <c r="F339" s="278">
        <v>0.147</v>
      </c>
      <c r="G339" s="279">
        <v>0.15</v>
      </c>
    </row>
    <row r="340" spans="1:7">
      <c r="A340" s="288" t="s">
        <v>292</v>
      </c>
      <c r="B340" s="277" t="s">
        <v>2543</v>
      </c>
      <c r="C340" s="278">
        <v>0.146</v>
      </c>
      <c r="D340" s="278">
        <v>0.146</v>
      </c>
      <c r="E340" s="278">
        <v>0.15</v>
      </c>
      <c r="F340" s="278">
        <v>0.141</v>
      </c>
      <c r="G340" s="279">
        <v>0.147</v>
      </c>
    </row>
    <row r="341" spans="1:7">
      <c r="A341" s="288" t="s">
        <v>292</v>
      </c>
      <c r="B341" s="277" t="s">
        <v>2553</v>
      </c>
      <c r="C341" s="278">
        <v>0.126</v>
      </c>
      <c r="D341" s="278">
        <v>0.124</v>
      </c>
      <c r="E341" s="278">
        <v>0.141</v>
      </c>
      <c r="F341" s="278">
        <v>0.144</v>
      </c>
      <c r="G341" s="279">
        <v>0.13</v>
      </c>
    </row>
    <row r="342" spans="1:7">
      <c r="A342" s="288" t="s">
        <v>292</v>
      </c>
      <c r="B342" s="277" t="s">
        <v>2563</v>
      </c>
      <c r="C342" s="278">
        <v>0.15</v>
      </c>
      <c r="D342" s="278">
        <v>0.15</v>
      </c>
      <c r="E342" s="278">
        <v>0.15</v>
      </c>
      <c r="F342" s="278">
        <v>0.144</v>
      </c>
      <c r="G342" s="279">
        <v>0.15</v>
      </c>
    </row>
    <row r="343" spans="1:7">
      <c r="A343" s="288" t="s">
        <v>292</v>
      </c>
      <c r="B343" s="277" t="s">
        <v>2573</v>
      </c>
      <c r="C343" s="278">
        <v>0.15</v>
      </c>
      <c r="D343" s="278">
        <v>0.15</v>
      </c>
      <c r="E343" s="278">
        <v>0.15</v>
      </c>
      <c r="F343" s="278">
        <v>0.128</v>
      </c>
      <c r="G343" s="279">
        <v>0.15</v>
      </c>
    </row>
    <row r="344" spans="1:7">
      <c r="A344" s="288" t="s">
        <v>292</v>
      </c>
      <c r="B344" s="277" t="s">
        <v>2583</v>
      </c>
      <c r="C344" s="278">
        <v>0.15</v>
      </c>
      <c r="D344" s="278">
        <v>0.15</v>
      </c>
      <c r="E344" s="278">
        <v>0.15</v>
      </c>
      <c r="F344" s="278">
        <v>0.148</v>
      </c>
      <c r="G344" s="279">
        <v>0.15</v>
      </c>
    </row>
    <row r="345" spans="1:7">
      <c r="A345" s="288" t="s">
        <v>292</v>
      </c>
      <c r="B345" s="277" t="s">
        <v>2593</v>
      </c>
      <c r="C345" s="278">
        <v>0.15</v>
      </c>
      <c r="D345" s="278">
        <v>0.15</v>
      </c>
      <c r="E345" s="278">
        <v>0.15</v>
      </c>
      <c r="F345" s="278">
        <v>0.138</v>
      </c>
      <c r="G345" s="279">
        <v>0.15</v>
      </c>
    </row>
    <row r="346" spans="1:7">
      <c r="A346" s="288" t="s">
        <v>292</v>
      </c>
      <c r="B346" s="277" t="s">
        <v>2603</v>
      </c>
      <c r="C346" s="278">
        <v>0.15</v>
      </c>
      <c r="D346" s="278">
        <v>0.15</v>
      </c>
      <c r="E346" s="278">
        <v>0.15</v>
      </c>
      <c r="F346" s="278">
        <v>0.144</v>
      </c>
      <c r="G346" s="279">
        <v>0.15</v>
      </c>
    </row>
    <row r="347" spans="1:7">
      <c r="A347" s="288" t="s">
        <v>292</v>
      </c>
      <c r="B347" s="277" t="s">
        <v>2612</v>
      </c>
      <c r="C347" s="278">
        <v>0.15</v>
      </c>
      <c r="D347" s="278">
        <v>0.15</v>
      </c>
      <c r="E347" s="278">
        <v>0.15</v>
      </c>
      <c r="F347" s="278">
        <v>0.146</v>
      </c>
      <c r="G347" s="279">
        <v>0.15</v>
      </c>
    </row>
    <row r="348" spans="1:7">
      <c r="A348" s="288" t="s">
        <v>292</v>
      </c>
      <c r="B348" s="277" t="s">
        <v>2620</v>
      </c>
      <c r="C348" s="278">
        <v>0.15</v>
      </c>
      <c r="D348" s="278">
        <v>0.15</v>
      </c>
      <c r="E348" s="278">
        <v>0.15</v>
      </c>
      <c r="F348" s="278">
        <v>0.144</v>
      </c>
      <c r="G348" s="279">
        <v>0.15</v>
      </c>
    </row>
    <row r="349" spans="1:7">
      <c r="A349" s="288" t="s">
        <v>292</v>
      </c>
      <c r="B349" s="277" t="s">
        <v>2628</v>
      </c>
      <c r="C349" s="278">
        <v>0.15</v>
      </c>
      <c r="D349" s="278">
        <v>0.15</v>
      </c>
      <c r="E349" s="278">
        <v>0.15</v>
      </c>
      <c r="F349" s="278">
        <v>0.15</v>
      </c>
      <c r="G349" s="279">
        <v>0.15</v>
      </c>
    </row>
    <row r="350" spans="1:7">
      <c r="A350" s="288" t="s">
        <v>292</v>
      </c>
      <c r="B350" s="277" t="s">
        <v>2636</v>
      </c>
      <c r="C350" s="278">
        <v>0.15</v>
      </c>
      <c r="D350" s="278">
        <v>0.15</v>
      </c>
      <c r="E350" s="278">
        <v>0.15</v>
      </c>
      <c r="F350" s="278">
        <v>0.147</v>
      </c>
      <c r="G350" s="279">
        <v>0.15</v>
      </c>
    </row>
    <row r="351" spans="1:7">
      <c r="A351" s="288" t="s">
        <v>292</v>
      </c>
      <c r="B351" s="277" t="s">
        <v>2644</v>
      </c>
      <c r="C351" s="278">
        <v>0.15</v>
      </c>
      <c r="D351" s="278">
        <v>0.15</v>
      </c>
      <c r="E351" s="278">
        <v>0.15</v>
      </c>
      <c r="F351" s="278">
        <v>0.13</v>
      </c>
      <c r="G351" s="279">
        <v>0.15</v>
      </c>
    </row>
    <row r="352" spans="1:7">
      <c r="A352" s="288" t="s">
        <v>292</v>
      </c>
      <c r="B352" s="277" t="s">
        <v>2651</v>
      </c>
      <c r="C352" s="278">
        <v>0.15</v>
      </c>
      <c r="D352" s="278">
        <v>0.15</v>
      </c>
      <c r="E352" s="278">
        <v>0.15</v>
      </c>
      <c r="F352" s="278">
        <v>0.146</v>
      </c>
      <c r="G352" s="279">
        <v>0.15</v>
      </c>
    </row>
    <row r="353" spans="1:7">
      <c r="A353" s="288" t="s">
        <v>292</v>
      </c>
      <c r="B353" s="277" t="s">
        <v>2658</v>
      </c>
      <c r="C353" s="278">
        <v>0.15</v>
      </c>
      <c r="D353" s="278">
        <v>0.15</v>
      </c>
      <c r="E353" s="278">
        <v>0.15</v>
      </c>
      <c r="F353" s="278">
        <v>0.145</v>
      </c>
      <c r="G353" s="279">
        <v>0.15</v>
      </c>
    </row>
    <row r="354" spans="1:7">
      <c r="A354" s="288" t="s">
        <v>292</v>
      </c>
      <c r="B354" s="277" t="s">
        <v>2665</v>
      </c>
      <c r="C354" s="278">
        <v>0.15</v>
      </c>
      <c r="D354" s="278">
        <v>0.15</v>
      </c>
      <c r="E354" s="278">
        <v>0.15</v>
      </c>
      <c r="F354" s="278">
        <v>0.141</v>
      </c>
      <c r="G354" s="279">
        <v>0.15</v>
      </c>
    </row>
    <row r="355" spans="1:7">
      <c r="A355" s="288" t="s">
        <v>292</v>
      </c>
      <c r="B355" s="277" t="s">
        <v>2672</v>
      </c>
      <c r="C355" s="278">
        <v>0.15</v>
      </c>
      <c r="D355" s="278">
        <v>0.15</v>
      </c>
      <c r="E355" s="278">
        <v>0.15</v>
      </c>
      <c r="F355" s="278">
        <v>0.15</v>
      </c>
      <c r="G355" s="279">
        <v>0.15</v>
      </c>
    </row>
    <row r="356" spans="1:7">
      <c r="A356" s="288" t="s">
        <v>292</v>
      </c>
      <c r="B356" s="277" t="s">
        <v>2679</v>
      </c>
      <c r="C356" s="278">
        <v>0.15</v>
      </c>
      <c r="D356" s="278">
        <v>0.15</v>
      </c>
      <c r="E356" s="278">
        <v>0.15</v>
      </c>
      <c r="F356" s="278">
        <v>0.15</v>
      </c>
      <c r="G356" s="279">
        <v>0.15</v>
      </c>
    </row>
    <row r="357" ht="14.25" spans="1:7">
      <c r="A357" s="291" t="s">
        <v>292</v>
      </c>
      <c r="B357" s="281" t="s">
        <v>2686</v>
      </c>
      <c r="C357" s="282">
        <v>0.126</v>
      </c>
      <c r="D357" s="282">
        <v>0.127</v>
      </c>
      <c r="E357" s="282">
        <v>0.143</v>
      </c>
      <c r="F357" s="282">
        <v>0.125</v>
      </c>
      <c r="G357" s="284">
        <v>0.129</v>
      </c>
    </row>
    <row r="358" spans="1:7">
      <c r="A358" s="287" t="s">
        <v>296</v>
      </c>
      <c r="B358" s="273" t="s">
        <v>2400</v>
      </c>
      <c r="C358" s="274">
        <v>0.15</v>
      </c>
      <c r="D358" s="274">
        <v>0.15</v>
      </c>
      <c r="E358" s="274">
        <v>0.15</v>
      </c>
      <c r="F358" s="274">
        <v>0.15</v>
      </c>
      <c r="G358" s="275">
        <v>0.15</v>
      </c>
    </row>
    <row r="359" spans="1:7">
      <c r="A359" s="288" t="s">
        <v>296</v>
      </c>
      <c r="B359" s="277" t="s">
        <v>2413</v>
      </c>
      <c r="C359" s="278">
        <v>0.1</v>
      </c>
      <c r="D359" s="278">
        <v>0.1</v>
      </c>
      <c r="E359" s="278">
        <v>0.1</v>
      </c>
      <c r="F359" s="278">
        <v>0.1</v>
      </c>
      <c r="G359" s="279">
        <v>0.1</v>
      </c>
    </row>
    <row r="360" spans="1:7">
      <c r="A360" s="288" t="s">
        <v>296</v>
      </c>
      <c r="B360" s="277" t="s">
        <v>2427</v>
      </c>
      <c r="C360" s="278">
        <v>0.15</v>
      </c>
      <c r="D360" s="278">
        <v>0.15</v>
      </c>
      <c r="E360" s="278">
        <v>0.15</v>
      </c>
      <c r="F360" s="278">
        <v>0.149</v>
      </c>
      <c r="G360" s="279">
        <v>0.15</v>
      </c>
    </row>
    <row r="361" spans="1:7">
      <c r="A361" s="288" t="s">
        <v>296</v>
      </c>
      <c r="B361" s="277" t="s">
        <v>2439</v>
      </c>
      <c r="C361" s="278">
        <v>0.15</v>
      </c>
      <c r="D361" s="278">
        <v>0.15</v>
      </c>
      <c r="E361" s="278">
        <v>0.15</v>
      </c>
      <c r="F361" s="278">
        <v>0.115</v>
      </c>
      <c r="G361" s="279">
        <v>0.15</v>
      </c>
    </row>
    <row r="362" spans="1:7">
      <c r="A362" s="288" t="s">
        <v>296</v>
      </c>
      <c r="B362" s="277" t="s">
        <v>2451</v>
      </c>
      <c r="C362" s="278">
        <v>0.15</v>
      </c>
      <c r="D362" s="278">
        <v>0.15</v>
      </c>
      <c r="E362" s="278">
        <v>0.15</v>
      </c>
      <c r="F362" s="278">
        <v>0.106</v>
      </c>
      <c r="G362" s="279">
        <v>0.15</v>
      </c>
    </row>
    <row r="363" spans="1:7">
      <c r="A363" s="288" t="s">
        <v>296</v>
      </c>
      <c r="B363" s="277" t="s">
        <v>2462</v>
      </c>
      <c r="C363" s="278">
        <v>0.15</v>
      </c>
      <c r="D363" s="278">
        <v>0.15</v>
      </c>
      <c r="E363" s="278">
        <v>0.15</v>
      </c>
      <c r="F363" s="278">
        <v>0.147</v>
      </c>
      <c r="G363" s="279">
        <v>0.15</v>
      </c>
    </row>
    <row r="364" spans="1:7">
      <c r="A364" s="288" t="s">
        <v>296</v>
      </c>
      <c r="B364" s="277" t="s">
        <v>2473</v>
      </c>
      <c r="C364" s="278">
        <v>0.15</v>
      </c>
      <c r="D364" s="278">
        <v>0.15</v>
      </c>
      <c r="E364" s="278">
        <v>0.15</v>
      </c>
      <c r="F364" s="278">
        <v>0.148</v>
      </c>
      <c r="G364" s="279">
        <v>0.15</v>
      </c>
    </row>
    <row r="365" spans="1:7">
      <c r="A365" s="288" t="s">
        <v>296</v>
      </c>
      <c r="B365" s="277" t="s">
        <v>2484</v>
      </c>
      <c r="C365" s="278">
        <v>0.15</v>
      </c>
      <c r="D365" s="278">
        <v>0.15</v>
      </c>
      <c r="E365" s="278">
        <v>0.15</v>
      </c>
      <c r="F365" s="278">
        <v>0.15</v>
      </c>
      <c r="G365" s="279">
        <v>0.15</v>
      </c>
    </row>
    <row r="366" spans="1:7">
      <c r="A366" s="288" t="s">
        <v>296</v>
      </c>
      <c r="B366" s="277" t="s">
        <v>2494</v>
      </c>
      <c r="C366" s="278">
        <v>0.15</v>
      </c>
      <c r="D366" s="278">
        <v>0.15</v>
      </c>
      <c r="E366" s="278">
        <v>0.15</v>
      </c>
      <c r="F366" s="278">
        <v>0.15</v>
      </c>
      <c r="G366" s="279">
        <v>0.15</v>
      </c>
    </row>
    <row r="367" spans="1:7">
      <c r="A367" s="288" t="s">
        <v>296</v>
      </c>
      <c r="B367" s="277" t="s">
        <v>2504</v>
      </c>
      <c r="C367" s="278">
        <v>0.15</v>
      </c>
      <c r="D367" s="278">
        <v>0.15</v>
      </c>
      <c r="E367" s="278">
        <v>0.15</v>
      </c>
      <c r="F367" s="278">
        <v>0.147</v>
      </c>
      <c r="G367" s="279">
        <v>0.15</v>
      </c>
    </row>
    <row r="368" spans="1:7">
      <c r="A368" s="288" t="s">
        <v>296</v>
      </c>
      <c r="B368" s="277" t="s">
        <v>2514</v>
      </c>
      <c r="C368" s="278">
        <v>0.15</v>
      </c>
      <c r="D368" s="278">
        <v>0.15</v>
      </c>
      <c r="E368" s="278">
        <v>0.15</v>
      </c>
      <c r="F368" s="278">
        <v>0.136</v>
      </c>
      <c r="G368" s="279">
        <v>0.15</v>
      </c>
    </row>
    <row r="369" spans="1:7">
      <c r="A369" s="288" t="s">
        <v>296</v>
      </c>
      <c r="B369" s="277" t="s">
        <v>2524</v>
      </c>
      <c r="C369" s="278">
        <v>0.15</v>
      </c>
      <c r="D369" s="278">
        <v>0.15</v>
      </c>
      <c r="E369" s="278">
        <v>0.15</v>
      </c>
      <c r="F369" s="278">
        <v>0.144</v>
      </c>
      <c r="G369" s="279">
        <v>0.15</v>
      </c>
    </row>
    <row r="370" spans="1:7">
      <c r="A370" s="288" t="s">
        <v>296</v>
      </c>
      <c r="B370" s="277" t="s">
        <v>2534</v>
      </c>
      <c r="C370" s="278">
        <v>0.15</v>
      </c>
      <c r="D370" s="278">
        <v>0.15</v>
      </c>
      <c r="E370" s="278">
        <v>0.15</v>
      </c>
      <c r="F370" s="278">
        <v>0.146</v>
      </c>
      <c r="G370" s="279">
        <v>0.15</v>
      </c>
    </row>
    <row r="371" spans="1:7">
      <c r="A371" s="288" t="s">
        <v>296</v>
      </c>
      <c r="B371" s="277" t="s">
        <v>2544</v>
      </c>
      <c r="C371" s="278">
        <v>0.15</v>
      </c>
      <c r="D371" s="278">
        <v>0.15</v>
      </c>
      <c r="E371" s="278">
        <v>0.15</v>
      </c>
      <c r="F371" s="278">
        <v>0.12</v>
      </c>
      <c r="G371" s="279">
        <v>0.15</v>
      </c>
    </row>
    <row r="372" spans="1:7">
      <c r="A372" s="288" t="s">
        <v>296</v>
      </c>
      <c r="B372" s="277" t="s">
        <v>2554</v>
      </c>
      <c r="C372" s="278">
        <v>0.15</v>
      </c>
      <c r="D372" s="278">
        <v>0.15</v>
      </c>
      <c r="E372" s="278">
        <v>0.15</v>
      </c>
      <c r="F372" s="278">
        <v>0.143</v>
      </c>
      <c r="G372" s="279">
        <v>0.15</v>
      </c>
    </row>
    <row r="373" spans="1:7">
      <c r="A373" s="288" t="s">
        <v>296</v>
      </c>
      <c r="B373" s="277" t="s">
        <v>2564</v>
      </c>
      <c r="C373" s="278">
        <v>0.15</v>
      </c>
      <c r="D373" s="278">
        <v>0.15</v>
      </c>
      <c r="E373" s="278">
        <v>0.15</v>
      </c>
      <c r="F373" s="278">
        <v>0.146</v>
      </c>
      <c r="G373" s="279">
        <v>0.15</v>
      </c>
    </row>
    <row r="374" spans="1:7">
      <c r="A374" s="288" t="s">
        <v>296</v>
      </c>
      <c r="B374" s="277" t="s">
        <v>2574</v>
      </c>
      <c r="C374" s="278">
        <v>0.15</v>
      </c>
      <c r="D374" s="278">
        <v>0.15</v>
      </c>
      <c r="E374" s="278">
        <v>0.15</v>
      </c>
      <c r="F374" s="278">
        <v>0.144</v>
      </c>
      <c r="G374" s="279">
        <v>0.15</v>
      </c>
    </row>
    <row r="375" spans="1:7">
      <c r="A375" s="288" t="s">
        <v>296</v>
      </c>
      <c r="B375" s="277" t="s">
        <v>2584</v>
      </c>
      <c r="C375" s="278">
        <v>0.15</v>
      </c>
      <c r="D375" s="278">
        <v>0.15</v>
      </c>
      <c r="E375" s="278">
        <v>0.15</v>
      </c>
      <c r="F375" s="278">
        <v>0.13</v>
      </c>
      <c r="G375" s="279">
        <v>0.15</v>
      </c>
    </row>
    <row r="376" spans="1:7">
      <c r="A376" s="288" t="s">
        <v>296</v>
      </c>
      <c r="B376" s="277" t="s">
        <v>2594</v>
      </c>
      <c r="C376" s="278">
        <v>0.15</v>
      </c>
      <c r="D376" s="278">
        <v>0.15</v>
      </c>
      <c r="E376" s="278">
        <v>0.15</v>
      </c>
      <c r="F376" s="278">
        <v>0.142</v>
      </c>
      <c r="G376" s="279">
        <v>0.15</v>
      </c>
    </row>
    <row r="377" ht="14.25" spans="1:7">
      <c r="A377" s="291" t="s">
        <v>296</v>
      </c>
      <c r="B377" s="281" t="s">
        <v>2604</v>
      </c>
      <c r="C377" s="282">
        <v>0.15</v>
      </c>
      <c r="D377" s="282">
        <v>0.15</v>
      </c>
      <c r="E377" s="282">
        <v>0.15</v>
      </c>
      <c r="F377" s="282">
        <v>0.14</v>
      </c>
      <c r="G377" s="284">
        <v>0.15</v>
      </c>
    </row>
    <row r="378" spans="1:7">
      <c r="A378" s="287" t="s">
        <v>300</v>
      </c>
      <c r="B378" s="273" t="s">
        <v>2401</v>
      </c>
      <c r="C378" s="274">
        <v>0.15</v>
      </c>
      <c r="D378" s="274">
        <v>0.15</v>
      </c>
      <c r="E378" s="274">
        <v>0.15</v>
      </c>
      <c r="F378" s="274">
        <v>0.107</v>
      </c>
      <c r="G378" s="275">
        <v>0.15</v>
      </c>
    </row>
    <row r="379" spans="1:7">
      <c r="A379" s="288" t="s">
        <v>300</v>
      </c>
      <c r="B379" s="277" t="s">
        <v>2414</v>
      </c>
      <c r="C379" s="278">
        <v>0.15</v>
      </c>
      <c r="D379" s="278">
        <v>0.15</v>
      </c>
      <c r="E379" s="278">
        <v>0.15</v>
      </c>
      <c r="F379" s="278">
        <v>0.115</v>
      </c>
      <c r="G379" s="279">
        <v>0.149</v>
      </c>
    </row>
    <row r="380" spans="1:7">
      <c r="A380" s="288" t="s">
        <v>300</v>
      </c>
      <c r="B380" s="277" t="s">
        <v>2428</v>
      </c>
      <c r="C380" s="278">
        <v>0.15</v>
      </c>
      <c r="D380" s="278">
        <v>0.15</v>
      </c>
      <c r="E380" s="278">
        <v>0.15</v>
      </c>
      <c r="F380" s="278">
        <v>0.1</v>
      </c>
      <c r="G380" s="279">
        <v>0.148</v>
      </c>
    </row>
    <row r="381" spans="1:7">
      <c r="A381" s="288" t="s">
        <v>300</v>
      </c>
      <c r="B381" s="277" t="s">
        <v>2440</v>
      </c>
      <c r="C381" s="278">
        <v>0.15</v>
      </c>
      <c r="D381" s="278">
        <v>0.15</v>
      </c>
      <c r="E381" s="278">
        <v>0.15</v>
      </c>
      <c r="F381" s="278">
        <v>0.126</v>
      </c>
      <c r="G381" s="279">
        <v>0.15</v>
      </c>
    </row>
    <row r="382" spans="1:7">
      <c r="A382" s="288" t="s">
        <v>300</v>
      </c>
      <c r="B382" s="277" t="s">
        <v>2452</v>
      </c>
      <c r="C382" s="278">
        <v>0.15</v>
      </c>
      <c r="D382" s="278">
        <v>0.15</v>
      </c>
      <c r="E382" s="278">
        <v>0.15</v>
      </c>
      <c r="F382" s="278">
        <v>0.15</v>
      </c>
      <c r="G382" s="279">
        <v>0.15</v>
      </c>
    </row>
    <row r="383" spans="1:7">
      <c r="A383" s="288" t="s">
        <v>300</v>
      </c>
      <c r="B383" s="277" t="s">
        <v>2463</v>
      </c>
      <c r="C383" s="278">
        <v>0.15</v>
      </c>
      <c r="D383" s="278">
        <v>0.15</v>
      </c>
      <c r="E383" s="278">
        <v>0.15</v>
      </c>
      <c r="F383" s="278">
        <v>0.147</v>
      </c>
      <c r="G383" s="279">
        <v>0.15</v>
      </c>
    </row>
    <row r="384" ht="14.25" spans="1:7">
      <c r="A384" s="298" t="s">
        <v>300</v>
      </c>
      <c r="B384" s="299" t="s">
        <v>2474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2778</v>
      </c>
      <c r="B1" s="259"/>
      <c r="C1" s="259"/>
      <c r="D1" s="259"/>
      <c r="E1" s="259"/>
      <c r="F1" s="260"/>
    </row>
    <row r="2" ht="14.25" spans="1:1">
      <c r="A2" s="261" t="s">
        <v>2779</v>
      </c>
    </row>
    <row r="3" ht="14.25" spans="1:6">
      <c r="A3" s="261" t="s">
        <v>2780</v>
      </c>
      <c r="F3" s="262" t="s">
        <v>2781</v>
      </c>
    </row>
    <row r="4" spans="1:6">
      <c r="A4" s="263" t="s">
        <v>404</v>
      </c>
      <c r="B4" s="263" t="s">
        <v>546</v>
      </c>
      <c r="C4" s="263" t="s">
        <v>2065</v>
      </c>
      <c r="D4" s="263" t="s">
        <v>2782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2783</v>
      </c>
      <c r="C1" s="205"/>
      <c r="D1" s="205"/>
      <c r="E1" s="205"/>
      <c r="F1" s="205"/>
      <c r="G1" s="205"/>
      <c r="H1" s="205"/>
      <c r="I1" s="205"/>
      <c r="J1" s="223"/>
      <c r="K1" s="205" t="s">
        <v>2784</v>
      </c>
      <c r="L1" s="205"/>
      <c r="M1" s="205"/>
      <c r="N1" s="205"/>
      <c r="O1" s="205"/>
      <c r="P1" s="205"/>
      <c r="Q1" s="223"/>
      <c r="R1" s="149" t="s">
        <v>2785</v>
      </c>
      <c r="S1" s="71"/>
      <c r="T1" s="71"/>
      <c r="U1" s="71"/>
      <c r="V1" s="71"/>
      <c r="W1" s="71"/>
      <c r="X1" s="223"/>
      <c r="Y1" s="149" t="s">
        <v>2786</v>
      </c>
      <c r="Z1" s="71"/>
      <c r="AA1" s="71"/>
      <c r="AB1" s="71"/>
      <c r="AC1" s="71"/>
      <c r="AD1" s="71"/>
    </row>
    <row r="2" s="72" customFormat="1" ht="14.25" spans="2:30">
      <c r="B2" s="206"/>
      <c r="C2" s="207"/>
      <c r="D2" s="82" t="s">
        <v>2787</v>
      </c>
      <c r="E2" s="83" t="s">
        <v>546</v>
      </c>
      <c r="F2" s="83" t="s">
        <v>2065</v>
      </c>
      <c r="G2" s="83" t="s">
        <v>412</v>
      </c>
      <c r="H2" s="83" t="s">
        <v>408</v>
      </c>
      <c r="I2" s="83" t="s">
        <v>280</v>
      </c>
      <c r="J2" s="224"/>
      <c r="K2" s="82" t="s">
        <v>2787</v>
      </c>
      <c r="L2" s="83" t="s">
        <v>546</v>
      </c>
      <c r="M2" s="83" t="s">
        <v>2065</v>
      </c>
      <c r="N2" s="83" t="s">
        <v>412</v>
      </c>
      <c r="O2" s="83" t="s">
        <v>408</v>
      </c>
      <c r="P2" s="83" t="s">
        <v>280</v>
      </c>
      <c r="Q2" s="224"/>
      <c r="R2" s="82" t="s">
        <v>2787</v>
      </c>
      <c r="S2" s="83" t="s">
        <v>546</v>
      </c>
      <c r="T2" s="83" t="s">
        <v>2065</v>
      </c>
      <c r="U2" s="83" t="s">
        <v>412</v>
      </c>
      <c r="V2" s="83" t="s">
        <v>408</v>
      </c>
      <c r="W2" s="83" t="s">
        <v>280</v>
      </c>
      <c r="X2" s="224"/>
      <c r="Y2" s="82" t="s">
        <v>2787</v>
      </c>
      <c r="Z2" s="83" t="s">
        <v>546</v>
      </c>
      <c r="AA2" s="83" t="s">
        <v>2065</v>
      </c>
      <c r="AB2" s="83" t="s">
        <v>412</v>
      </c>
      <c r="AC2" s="83" t="s">
        <v>408</v>
      </c>
      <c r="AD2" s="83" t="s">
        <v>280</v>
      </c>
    </row>
    <row r="3" s="200" customFormat="1" ht="12.75" spans="1:30">
      <c r="A3" s="208" t="s">
        <v>2788</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2789</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2790</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2791</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2792</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2793</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2794</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2795</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2796</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2797</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2798</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2799</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2800</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2801</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2802</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2803</v>
      </c>
    </row>
    <row r="21" spans="9:9">
      <c r="I21" t="s">
        <v>1437</v>
      </c>
    </row>
    <row r="23" s="71" customFormat="1" ht="12.75" spans="2:25">
      <c r="B23" s="204" t="s">
        <v>2804</v>
      </c>
      <c r="C23" s="205"/>
      <c r="D23" s="205"/>
      <c r="E23" s="205"/>
      <c r="F23" s="205"/>
      <c r="G23" s="205"/>
      <c r="H23" s="205"/>
      <c r="I23" s="205"/>
      <c r="J23" s="223"/>
      <c r="K23" s="205" t="s">
        <v>2784</v>
      </c>
      <c r="L23" s="205"/>
      <c r="M23" s="205"/>
      <c r="N23" s="205"/>
      <c r="O23" s="205"/>
      <c r="P23" s="205"/>
      <c r="Q23" s="223"/>
      <c r="R23" s="149" t="s">
        <v>2785</v>
      </c>
      <c r="X23" s="223"/>
      <c r="Y23" s="149" t="s">
        <v>2786</v>
      </c>
    </row>
    <row r="24" s="72" customFormat="1" ht="14.25" spans="2:30">
      <c r="B24" s="206"/>
      <c r="C24" s="207"/>
      <c r="D24" s="82" t="s">
        <v>2787</v>
      </c>
      <c r="E24" s="83" t="s">
        <v>546</v>
      </c>
      <c r="F24" s="83" t="s">
        <v>2065</v>
      </c>
      <c r="G24" s="83" t="s">
        <v>412</v>
      </c>
      <c r="H24" s="83"/>
      <c r="I24" s="83" t="s">
        <v>280</v>
      </c>
      <c r="J24" s="224"/>
      <c r="K24" s="82" t="s">
        <v>2787</v>
      </c>
      <c r="L24" s="83" t="s">
        <v>546</v>
      </c>
      <c r="M24" s="83" t="s">
        <v>2065</v>
      </c>
      <c r="N24" s="83" t="s">
        <v>412</v>
      </c>
      <c r="O24" s="83"/>
      <c r="P24" s="83" t="s">
        <v>280</v>
      </c>
      <c r="Q24" s="224"/>
      <c r="R24" s="82" t="s">
        <v>2787</v>
      </c>
      <c r="S24" s="83" t="s">
        <v>546</v>
      </c>
      <c r="T24" s="83" t="s">
        <v>2065</v>
      </c>
      <c r="U24" s="83" t="s">
        <v>412</v>
      </c>
      <c r="V24" s="83"/>
      <c r="W24" s="83" t="s">
        <v>280</v>
      </c>
      <c r="X24" s="224"/>
      <c r="Y24" s="82" t="s">
        <v>2787</v>
      </c>
      <c r="Z24" s="83" t="s">
        <v>546</v>
      </c>
      <c r="AA24" s="83" t="s">
        <v>2065</v>
      </c>
      <c r="AB24" s="83" t="s">
        <v>412</v>
      </c>
      <c r="AC24" s="83"/>
      <c r="AD24" s="83" t="s">
        <v>280</v>
      </c>
    </row>
    <row r="25" s="200" customFormat="1" ht="12.75" spans="1:30">
      <c r="A25" s="208" t="s">
        <v>2788</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2789</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2790</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2791</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2792</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2793</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2794</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2795</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2796</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2797</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2798</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2799</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2800</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2801</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2802</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2806</v>
      </c>
      <c r="C1" s="81"/>
      <c r="D1" s="81"/>
      <c r="E1" s="81"/>
      <c r="F1" s="81"/>
      <c r="G1" s="71" t="s">
        <v>2807</v>
      </c>
      <c r="N1" s="71" t="s">
        <v>2784</v>
      </c>
      <c r="S1" s="71" t="s">
        <v>2808</v>
      </c>
      <c r="X1" s="149" t="s">
        <v>2785</v>
      </c>
      <c r="AD1" s="149" t="s">
        <v>2786</v>
      </c>
    </row>
    <row r="2" s="72" customFormat="1" ht="14.25" spans="2:34">
      <c r="B2" s="82" t="s">
        <v>2809</v>
      </c>
      <c r="C2" s="82" t="s">
        <v>2810</v>
      </c>
      <c r="D2" s="83" t="s">
        <v>2065</v>
      </c>
      <c r="E2" s="83" t="s">
        <v>412</v>
      </c>
      <c r="F2" s="82" t="s">
        <v>2811</v>
      </c>
      <c r="G2" s="84"/>
      <c r="I2" s="82" t="s">
        <v>2809</v>
      </c>
      <c r="J2" s="83" t="s">
        <v>2074</v>
      </c>
      <c r="K2" s="83" t="s">
        <v>412</v>
      </c>
      <c r="L2" s="82" t="s">
        <v>2811</v>
      </c>
      <c r="N2" s="82" t="s">
        <v>2809</v>
      </c>
      <c r="O2" s="83" t="s">
        <v>2074</v>
      </c>
      <c r="P2" s="83" t="s">
        <v>412</v>
      </c>
      <c r="Q2" s="82" t="s">
        <v>2811</v>
      </c>
      <c r="S2" s="82" t="s">
        <v>2809</v>
      </c>
      <c r="T2" s="83" t="s">
        <v>2074</v>
      </c>
      <c r="U2" s="83" t="s">
        <v>412</v>
      </c>
      <c r="V2" s="82" t="s">
        <v>2811</v>
      </c>
      <c r="X2" s="82" t="s">
        <v>2809</v>
      </c>
      <c r="Y2" s="82" t="s">
        <v>2810</v>
      </c>
      <c r="Z2" s="83" t="s">
        <v>2065</v>
      </c>
      <c r="AA2" s="83" t="s">
        <v>412</v>
      </c>
      <c r="AB2" s="82" t="s">
        <v>2811</v>
      </c>
      <c r="AD2" s="82" t="s">
        <v>2809</v>
      </c>
      <c r="AE2" s="82" t="s">
        <v>2810</v>
      </c>
      <c r="AF2" s="83" t="s">
        <v>2065</v>
      </c>
      <c r="AG2" s="83" t="s">
        <v>412</v>
      </c>
      <c r="AH2" s="82" t="s">
        <v>2811</v>
      </c>
    </row>
    <row r="3" s="73" customFormat="1" ht="14.25" spans="1:34">
      <c r="A3" s="85" t="s">
        <v>2788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2890</v>
      </c>
      <c r="G91" s="179"/>
      <c r="N91" s="179"/>
      <c r="S91" s="179"/>
    </row>
    <row r="92" s="78" customFormat="1" spans="1:19">
      <c r="A92" s="78" t="s">
        <v>2891</v>
      </c>
      <c r="G92" s="179"/>
      <c r="N92" s="179"/>
      <c r="S92" s="179"/>
    </row>
    <row r="93" s="78" customFormat="1" spans="1:22">
      <c r="A93" s="78" t="s">
        <v>2892</v>
      </c>
      <c r="G93" s="179"/>
      <c r="I93" s="191"/>
      <c r="J93" s="191"/>
      <c r="K93" s="191"/>
      <c r="L93" s="191"/>
      <c r="N93" s="192"/>
      <c r="O93" s="191"/>
      <c r="P93" s="191"/>
      <c r="Q93" s="191"/>
      <c r="S93" s="192"/>
      <c r="T93" s="191"/>
      <c r="U93" s="191"/>
      <c r="V93" s="191"/>
    </row>
    <row r="94" s="78" customFormat="1" spans="1:19">
      <c r="A94" s="78" t="s">
        <v>2893</v>
      </c>
      <c r="G94" s="179"/>
      <c r="N94" s="179"/>
      <c r="S94" s="179"/>
    </row>
    <row r="101" ht="13.5"/>
    <row r="102" spans="7:22">
      <c r="G102" s="79"/>
      <c r="S102" s="196" t="s">
        <v>2894</v>
      </c>
      <c r="T102" s="108" t="s">
        <v>2895</v>
      </c>
      <c r="U102" s="108" t="s">
        <v>2896</v>
      </c>
      <c r="V102" s="108" t="s">
        <v>2897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2898</v>
      </c>
      <c r="E1" s="8">
        <f>'数据-取费表'!B22</f>
        <v>2</v>
      </c>
      <c r="F1" s="6" t="s">
        <v>2899</v>
      </c>
      <c r="G1" s="9">
        <f ca="1">INDIRECT("d"&amp;$K$1)/100</f>
        <v>0.0345</v>
      </c>
      <c r="H1" s="6" t="s">
        <v>2900</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2924</v>
      </c>
      <c r="C13" s="47">
        <v>45159</v>
      </c>
      <c r="D13" s="48">
        <v>3.45</v>
      </c>
      <c r="E13" s="48">
        <f>D13</f>
        <v>3.45</v>
      </c>
      <c r="F13" s="48">
        <f>D13</f>
        <v>3.45</v>
      </c>
      <c r="G13" s="48">
        <f>D13</f>
        <v>3.45</v>
      </c>
      <c r="H13" s="48">
        <v>4.2</v>
      </c>
      <c r="I13" s="48"/>
      <c r="J13" s="48"/>
      <c r="K13" s="45"/>
      <c r="L13" s="46" t="s">
        <v>2924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2925</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2926</v>
      </c>
      <c r="Y42" s="50" t="s">
        <v>2926</v>
      </c>
      <c r="Z42" s="50" t="s">
        <v>2926</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2926</v>
      </c>
      <c r="Y43" s="50" t="s">
        <v>2926</v>
      </c>
      <c r="Z43" s="50" t="s">
        <v>2926</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349.48</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t="str">
        <f>项目基本情况!B4</f>
        <v>郑燚</v>
      </c>
      <c r="B4" s="3452">
        <f ca="1">项目基本情况!C4</f>
        <v>1120070131</v>
      </c>
      <c r="C4" s="3453"/>
      <c r="D4" s="3454" t="s">
        <v>120</v>
      </c>
    </row>
    <row r="5" ht="56.25" customHeight="1" spans="1:4">
      <c r="A5" s="3451" t="str">
        <f>项目基本情况!D4</f>
        <v>吴薇</v>
      </c>
      <c r="B5" s="3452">
        <f ca="1">项目基本情况!E4</f>
        <v>1419970001</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45819</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2025-06-11T07:11:25Z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