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xing&amp;han\Desktop\海棠华著\"/>
    </mc:Choice>
  </mc:AlternateContent>
  <xr:revisionPtr revIDLastSave="0" documentId="13_ncr:1_{B6D4AFE1-A9DC-4D47-876D-8BBAD28559D9}" xr6:coauthVersionLast="45" xr6:coauthVersionMax="45" xr10:uidLastSave="{00000000-0000-0000-0000-000000000000}"/>
  <bookViews>
    <workbookView xWindow="-110" yWindow="-110" windowWidth="19420" windowHeight="1042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未售3.23" sheetId="81" r:id="rId14"/>
    <sheet name="三期未售" sheetId="78" state="hidden" r:id="rId15"/>
    <sheet name="面积表" sheetId="77"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土地比较法-住宅、综合" sheetId="39" r:id="rId23"/>
    <sheet name="Sheet4" sheetId="82" r:id="rId24"/>
    <sheet name="Sheet1" sheetId="79" r:id="rId25"/>
    <sheet name="成本法 (元)" sheetId="69" state="hidden" r:id="rId26"/>
    <sheet name="假设开发法" sheetId="12" r:id="rId27"/>
    <sheet name="比较法-住宅" sheetId="21" r:id="rId28"/>
    <sheet name="收益法" sheetId="15" r:id="rId29"/>
    <sheet name="Sheet2" sheetId="80"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7" hidden="1">'比较法-住宅'!$A$1:$L$49</definedName>
    <definedName name="_xlnm._FilterDatabase" localSheetId="14" hidden="1">三期未售!$A$1:$E$127</definedName>
    <definedName name="_xlnm._FilterDatabase" localSheetId="11"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30">'收益法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6" i="39" l="1"/>
  <c r="G46" i="39"/>
  <c r="E46" i="39"/>
  <c r="I38" i="39"/>
  <c r="I7" i="39"/>
  <c r="I5" i="39"/>
  <c r="E5" i="39"/>
  <c r="G5" i="39"/>
  <c r="E7" i="39"/>
  <c r="G7" i="39"/>
  <c r="N3" i="82"/>
  <c r="N4" i="82"/>
  <c r="N5" i="82"/>
  <c r="N6" i="82"/>
  <c r="N7" i="82"/>
  <c r="N8" i="82"/>
  <c r="N9" i="82"/>
  <c r="N10" i="82"/>
  <c r="N11" i="82"/>
  <c r="N12" i="82"/>
  <c r="N13" i="82"/>
  <c r="N14" i="82"/>
  <c r="N15" i="82"/>
  <c r="N16" i="82"/>
  <c r="N2" i="82"/>
  <c r="D20" i="12"/>
  <c r="D14" i="12"/>
  <c r="D10" i="68"/>
  <c r="AN14" i="3"/>
  <c r="K14" i="3"/>
  <c r="I14" i="3"/>
  <c r="AN13" i="3"/>
  <c r="K13" i="3"/>
  <c r="I13" i="3"/>
  <c r="K20" i="81"/>
  <c r="K19" i="81"/>
  <c r="K18" i="81"/>
  <c r="H13" i="3"/>
  <c r="H14" i="3"/>
  <c r="K17" i="81"/>
  <c r="L17" i="81"/>
  <c r="K16" i="81"/>
  <c r="Q17" i="81"/>
  <c r="L19" i="81"/>
  <c r="Q19" i="81"/>
  <c r="L20" i="81"/>
  <c r="Q20" i="81"/>
  <c r="Q21" i="81"/>
  <c r="R17" i="81"/>
  <c r="R21" i="81"/>
  <c r="S21" i="81"/>
  <c r="K21" i="81"/>
  <c r="M17" i="81"/>
  <c r="M19" i="81"/>
  <c r="M20" i="81"/>
  <c r="M21" i="81"/>
  <c r="L21" i="81"/>
  <c r="Q6" i="81"/>
  <c r="R6" i="81"/>
  <c r="N9" i="81"/>
  <c r="P3" i="81"/>
  <c r="Q9" i="81"/>
  <c r="R9" i="81"/>
  <c r="N10" i="81"/>
  <c r="P4" i="81"/>
  <c r="Q10" i="81"/>
  <c r="R10" i="81"/>
  <c r="N11" i="81"/>
  <c r="P5" i="81"/>
  <c r="Q11" i="81"/>
  <c r="R11" i="81"/>
  <c r="R12" i="81"/>
  <c r="Q12" i="81"/>
  <c r="O9" i="81"/>
  <c r="O10" i="81"/>
  <c r="O11" i="81"/>
  <c r="O12" i="81"/>
  <c r="S6" i="81"/>
  <c r="P6" i="81"/>
  <c r="N3" i="81"/>
  <c r="N4" i="81"/>
  <c r="N5" i="81"/>
  <c r="N6" i="81"/>
  <c r="M6" i="81"/>
  <c r="L6" i="81"/>
  <c r="K6" i="81"/>
  <c r="E101" i="81"/>
  <c r="F128" i="78"/>
  <c r="O16" i="78"/>
  <c r="O20" i="78"/>
  <c r="C11" i="4"/>
  <c r="B7" i="4"/>
  <c r="L27" i="1"/>
  <c r="G37" i="21"/>
  <c r="F126" i="21"/>
  <c r="F120" i="21"/>
  <c r="E120" i="21"/>
  <c r="D120" i="21"/>
  <c r="C120" i="21"/>
  <c r="E126" i="21"/>
  <c r="K9" i="78"/>
  <c r="K10" i="78"/>
  <c r="K8" i="78"/>
  <c r="D126" i="21"/>
  <c r="C126" i="21"/>
  <c r="I37" i="21"/>
  <c r="L51" i="79"/>
  <c r="L52" i="79"/>
  <c r="L54" i="79"/>
  <c r="L53" i="79"/>
  <c r="L50" i="79"/>
  <c r="L10" i="78"/>
  <c r="L9" i="78"/>
  <c r="J7" i="1"/>
  <c r="I7" i="1"/>
  <c r="H7" i="1"/>
  <c r="L8" i="78"/>
  <c r="L11" i="78"/>
  <c r="L23" i="1"/>
  <c r="N23" i="1"/>
  <c r="I17" i="3"/>
  <c r="M20" i="1"/>
  <c r="AN16" i="3"/>
  <c r="L24" i="1"/>
  <c r="M16" i="3"/>
  <c r="F20" i="6"/>
  <c r="M4" i="78"/>
  <c r="N10" i="78"/>
  <c r="O10" i="78"/>
  <c r="M3" i="78"/>
  <c r="N9" i="78"/>
  <c r="O9" i="78"/>
  <c r="M2" i="78"/>
  <c r="N8" i="78"/>
  <c r="J5" i="78"/>
  <c r="G19" i="6"/>
  <c r="I5" i="78"/>
  <c r="K3" i="78"/>
  <c r="K4" i="78"/>
  <c r="K2" i="78"/>
  <c r="K5" i="78"/>
  <c r="H5" i="78"/>
  <c r="A3" i="3"/>
  <c r="H15" i="78"/>
  <c r="O5" i="78"/>
  <c r="N24" i="1"/>
  <c r="M5" i="78"/>
  <c r="N11" i="78"/>
  <c r="O8" i="78"/>
  <c r="O11" i="78"/>
  <c r="N5" i="78"/>
  <c r="M19" i="1"/>
  <c r="F19" i="6"/>
  <c r="G38" i="39"/>
  <c r="E38" i="39"/>
  <c r="N3" i="79"/>
  <c r="N4" i="79"/>
  <c r="N5" i="79"/>
  <c r="N6" i="79"/>
  <c r="N7" i="79"/>
  <c r="N8" i="79"/>
  <c r="N9" i="79"/>
  <c r="N10" i="79"/>
  <c r="N11" i="79"/>
  <c r="N12" i="79"/>
  <c r="N13" i="79"/>
  <c r="N14" i="79"/>
  <c r="N15" i="79"/>
  <c r="N2" i="79"/>
  <c r="C38" i="39"/>
  <c r="P5" i="78"/>
  <c r="M21" i="1"/>
  <c r="N21" i="1"/>
  <c r="N16" i="79"/>
  <c r="AL15" i="3"/>
  <c r="D28" i="77"/>
  <c r="P27" i="77"/>
  <c r="P28" i="77"/>
  <c r="L27" i="77"/>
  <c r="Q26" i="77"/>
  <c r="N25" i="77"/>
  <c r="O25" i="77"/>
  <c r="N24" i="77"/>
  <c r="O24" i="77"/>
  <c r="N23" i="77"/>
  <c r="O23" i="77"/>
  <c r="M22" i="77"/>
  <c r="M27" i="77"/>
  <c r="M28" i="77"/>
  <c r="N21" i="77"/>
  <c r="O21" i="77"/>
  <c r="D19" i="77"/>
  <c r="C19" i="77"/>
  <c r="O18" i="77"/>
  <c r="N18" i="77"/>
  <c r="M18" i="77"/>
  <c r="L18" i="77"/>
  <c r="Q17" i="77"/>
  <c r="Q16" i="77"/>
  <c r="Q15" i="77"/>
  <c r="P14" i="77"/>
  <c r="Q13" i="77"/>
  <c r="M13" i="77"/>
  <c r="L13" i="77"/>
  <c r="L19" i="77"/>
  <c r="N12" i="77"/>
  <c r="O12" i="77"/>
  <c r="P12" i="77"/>
  <c r="N11" i="77"/>
  <c r="N13" i="77"/>
  <c r="N19" i="77"/>
  <c r="P10" i="77"/>
  <c r="O9" i="77"/>
  <c r="N7" i="77"/>
  <c r="N9" i="77"/>
  <c r="M9" i="77"/>
  <c r="D9" i="77"/>
  <c r="C9" i="77"/>
  <c r="Q8" i="77"/>
  <c r="Q9" i="77"/>
  <c r="P8" i="77"/>
  <c r="P9" i="77"/>
  <c r="Q6" i="77"/>
  <c r="O6" i="77"/>
  <c r="N6" i="77"/>
  <c r="L6" i="77"/>
  <c r="D6" i="77"/>
  <c r="C6" i="77"/>
  <c r="C29" i="77"/>
  <c r="P5" i="77"/>
  <c r="P4" i="77"/>
  <c r="P3" i="77"/>
  <c r="D29" i="77"/>
  <c r="Q18" i="77"/>
  <c r="Q19" i="77"/>
  <c r="Q27" i="77"/>
  <c r="Q28" i="77"/>
  <c r="Q29" i="77"/>
  <c r="AN17" i="3"/>
  <c r="L25" i="1"/>
  <c r="AN15" i="3"/>
  <c r="M19" i="77"/>
  <c r="O11" i="77"/>
  <c r="P11" i="77"/>
  <c r="P6" i="77"/>
  <c r="P13" i="77"/>
  <c r="P19" i="77"/>
  <c r="P29" i="77"/>
  <c r="O13" i="77"/>
  <c r="O19" i="77"/>
  <c r="M6" i="77"/>
  <c r="N22" i="77"/>
  <c r="O22" i="77"/>
  <c r="O27" i="77"/>
  <c r="O28" i="7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c r="AD10" i="71"/>
  <c r="AD11" i="71"/>
  <c r="AG11" i="71"/>
  <c r="AH11" i="71"/>
  <c r="AE11" i="71"/>
  <c r="AF11" i="71"/>
  <c r="N11" i="71"/>
  <c r="Q11" i="71"/>
  <c r="P11" i="71"/>
  <c r="O11" i="71"/>
  <c r="C11" i="71"/>
  <c r="C10" i="71"/>
  <c r="Q12" i="71"/>
  <c r="F11" i="71"/>
  <c r="P12" i="71"/>
  <c r="O12" i="71"/>
  <c r="N12" i="71"/>
  <c r="A2" i="53"/>
  <c r="K59" i="67"/>
  <c r="P74" i="67"/>
  <c r="P61" i="67"/>
  <c r="K59" i="15"/>
  <c r="P74" i="15"/>
  <c r="D116" i="39"/>
  <c r="E116" i="39"/>
  <c r="F116" i="39"/>
  <c r="G116" i="39"/>
  <c r="H116" i="39"/>
  <c r="I116" i="39"/>
  <c r="J116" i="39"/>
  <c r="K116" i="39"/>
  <c r="L116" i="39"/>
  <c r="M116" i="39"/>
  <c r="C116" i="39"/>
  <c r="A21" i="62"/>
  <c r="A20" i="62"/>
  <c r="A22" i="51"/>
  <c r="A21" i="51"/>
  <c r="B16" i="72"/>
  <c r="A20" i="51"/>
  <c r="A14" i="62"/>
  <c r="A13" i="62"/>
  <c r="B59" i="72"/>
  <c r="A19" i="62"/>
  <c r="B65" i="72"/>
  <c r="A12" i="62"/>
  <c r="B58" i="72"/>
  <c r="A120" i="9"/>
  <c r="H2" i="52"/>
  <c r="A1" i="52"/>
  <c r="A3" i="53"/>
  <c r="Q13" i="71"/>
  <c r="P13" i="71"/>
  <c r="O13" i="71"/>
  <c r="N13"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D9" i="43"/>
  <c r="AD12" i="43"/>
  <c r="AC9" i="43"/>
  <c r="AB9" i="43"/>
  <c r="AB12" i="43"/>
  <c r="AA9" i="43"/>
  <c r="AA12" i="43"/>
  <c r="Z9" i="43"/>
  <c r="Z12" i="43"/>
  <c r="AA10" i="43"/>
  <c r="AI10" i="43"/>
  <c r="Z10" i="43"/>
  <c r="AB10" i="43"/>
  <c r="AD10" i="43"/>
  <c r="AF10" i="43"/>
  <c r="AH10" i="43"/>
  <c r="AJ10" i="43"/>
  <c r="K49" i="9"/>
  <c r="E107" i="9"/>
  <c r="A122" i="9"/>
  <c r="A8" i="52"/>
  <c r="B54" i="72"/>
  <c r="E111" i="9"/>
  <c r="A126" i="9"/>
  <c r="E109" i="9"/>
  <c r="A124" i="9"/>
  <c r="B44" i="72"/>
  <c r="B42" i="72"/>
  <c r="B69" i="72"/>
  <c r="B68" i="72"/>
  <c r="B63" i="72"/>
  <c r="B62" i="72"/>
  <c r="B60" i="72"/>
  <c r="B67" i="72"/>
  <c r="B66" i="72"/>
  <c r="B10" i="72"/>
  <c r="C53" i="10"/>
  <c r="B51" i="10"/>
  <c r="B19" i="72"/>
  <c r="A18" i="51"/>
  <c r="B13" i="72"/>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D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B63" i="71"/>
  <c r="S63" i="71"/>
  <c r="Q62" i="71"/>
  <c r="P62" i="71"/>
  <c r="O62" i="71"/>
  <c r="N62"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F54" i="71"/>
  <c r="F53" i="71"/>
  <c r="Q53" i="71"/>
  <c r="V55" i="71"/>
  <c r="E55" i="71"/>
  <c r="C55"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D45" i="71"/>
  <c r="N44" i="71"/>
  <c r="B45" i="71"/>
  <c r="B46" i="71"/>
  <c r="B47" i="71"/>
  <c r="S47" i="71"/>
  <c r="D44" i="71"/>
  <c r="Q43" i="71"/>
  <c r="P43" i="71"/>
  <c r="O43" i="71"/>
  <c r="N43" i="71"/>
  <c r="Q42" i="71"/>
  <c r="P42" i="71"/>
  <c r="O42" i="71"/>
  <c r="N42" i="71"/>
  <c r="Q41" i="71"/>
  <c r="P41" i="71"/>
  <c r="O41" i="71"/>
  <c r="N41" i="71"/>
  <c r="N40" i="71"/>
  <c r="B41" i="71"/>
  <c r="B42" i="71"/>
  <c r="B43" i="71"/>
  <c r="S43" i="71"/>
  <c r="Q40" i="71"/>
  <c r="F41" i="71"/>
  <c r="F42" i="71"/>
  <c r="F43" i="71"/>
  <c r="V43" i="71"/>
  <c r="P40" i="71"/>
  <c r="E41" i="71"/>
  <c r="O40" i="71"/>
  <c r="C41"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C34" i="71"/>
  <c r="D34" i="71"/>
  <c r="N32" i="71"/>
  <c r="B33"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N28" i="71"/>
  <c r="B29" i="71"/>
  <c r="B30" i="71"/>
  <c r="B31" i="71"/>
  <c r="S31" i="71"/>
  <c r="D28" i="71"/>
  <c r="Q27" i="71"/>
  <c r="P27" i="71"/>
  <c r="O27" i="71"/>
  <c r="N27" i="71"/>
  <c r="Q26" i="71"/>
  <c r="AB26" i="71"/>
  <c r="P26" i="71"/>
  <c r="AA26" i="71"/>
  <c r="O26" i="71"/>
  <c r="Y26" i="71"/>
  <c r="Z26" i="71"/>
  <c r="N26" i="71"/>
  <c r="X26" i="71"/>
  <c r="Q25" i="71"/>
  <c r="AB25" i="71"/>
  <c r="P25" i="71"/>
  <c r="O25" i="71"/>
  <c r="Y25" i="71"/>
  <c r="Z25" i="71"/>
  <c r="N25" i="71"/>
  <c r="Q24" i="71"/>
  <c r="AB24" i="71"/>
  <c r="P24" i="71"/>
  <c r="O24" i="71"/>
  <c r="O21" i="71"/>
  <c r="O22" i="71"/>
  <c r="O23" i="71"/>
  <c r="Y21" i="71"/>
  <c r="Z21" i="71"/>
  <c r="N24" i="71"/>
  <c r="B25" i="71"/>
  <c r="B26" i="71"/>
  <c r="B27" i="71"/>
  <c r="S27" i="71"/>
  <c r="D24" i="71"/>
  <c r="Q23" i="71"/>
  <c r="AB23" i="71"/>
  <c r="P23" i="71"/>
  <c r="N23" i="71"/>
  <c r="X23" i="71"/>
  <c r="Q22" i="71"/>
  <c r="P22" i="71"/>
  <c r="AA22" i="71"/>
  <c r="Y22" i="71"/>
  <c r="Z22" i="71"/>
  <c r="N22" i="71"/>
  <c r="Q21" i="71"/>
  <c r="AB21" i="71"/>
  <c r="P21" i="71"/>
  <c r="N21" i="71"/>
  <c r="Q20" i="71"/>
  <c r="F21" i="71"/>
  <c r="F22" i="71"/>
  <c r="F23" i="71"/>
  <c r="V23" i="71"/>
  <c r="P20" i="71"/>
  <c r="O20" i="71"/>
  <c r="C21" i="71"/>
  <c r="N20" i="71"/>
  <c r="D20" i="71"/>
  <c r="Q19" i="71"/>
  <c r="P19" i="71"/>
  <c r="O19" i="71"/>
  <c r="Y19" i="71"/>
  <c r="Z19" i="71"/>
  <c r="N19" i="71"/>
  <c r="Q18" i="71"/>
  <c r="AB18" i="71"/>
  <c r="P18" i="71"/>
  <c r="AA18" i="71"/>
  <c r="O18" i="71"/>
  <c r="Y18" i="71"/>
  <c r="Z18" i="71"/>
  <c r="N18" i="71"/>
  <c r="Q17" i="71"/>
  <c r="AB17" i="71"/>
  <c r="P17" i="71"/>
  <c r="AA17" i="71"/>
  <c r="O17" i="71"/>
  <c r="N17" i="71"/>
  <c r="N16" i="71"/>
  <c r="X16" i="71"/>
  <c r="Q16" i="71"/>
  <c r="AB16" i="71"/>
  <c r="P16" i="71"/>
  <c r="O16" i="71"/>
  <c r="C17" i="71"/>
  <c r="D16" i="71"/>
  <c r="O15" i="71"/>
  <c r="N15" i="71"/>
  <c r="B17" i="71"/>
  <c r="B18" i="71"/>
  <c r="B19" i="71"/>
  <c r="S19" i="71"/>
  <c r="E17" i="71"/>
  <c r="AA16" i="71"/>
  <c r="B21" i="71"/>
  <c r="B22" i="71"/>
  <c r="B23" i="71"/>
  <c r="S23" i="71"/>
  <c r="X24" i="71"/>
  <c r="E25" i="71"/>
  <c r="E26" i="71"/>
  <c r="E27" i="71"/>
  <c r="U27" i="71"/>
  <c r="AA24" i="71"/>
  <c r="Y16" i="71"/>
  <c r="Z16" i="71"/>
  <c r="X18" i="71"/>
  <c r="AA19" i="71"/>
  <c r="Y20" i="71"/>
  <c r="Z20" i="71"/>
  <c r="X22" i="71"/>
  <c r="AA23" i="71"/>
  <c r="Y24" i="71"/>
  <c r="Z24" i="71"/>
  <c r="X25" i="71"/>
  <c r="AA25" i="71"/>
  <c r="C15" i="71"/>
  <c r="Y12" i="71"/>
  <c r="Z12" i="71"/>
  <c r="B15" i="71"/>
  <c r="S15" i="71"/>
  <c r="X12" i="71"/>
  <c r="D29" i="71"/>
  <c r="D33" i="71"/>
  <c r="C38" i="71"/>
  <c r="P15" i="71"/>
  <c r="E15" i="71"/>
  <c r="E42" i="71"/>
  <c r="E43" i="71"/>
  <c r="U43" i="71"/>
  <c r="Q52" i="71"/>
  <c r="Q15" i="71"/>
  <c r="AB12" i="71"/>
  <c r="C46" i="71"/>
  <c r="C47" i="71"/>
  <c r="C50" i="71"/>
  <c r="D50" i="71"/>
  <c r="D49" i="71"/>
  <c r="T55" i="71"/>
  <c r="O55" i="71"/>
  <c r="D55" i="71"/>
  <c r="C54" i="71"/>
  <c r="D54" i="71"/>
  <c r="Q55" i="71"/>
  <c r="C58" i="71"/>
  <c r="D58" i="71"/>
  <c r="E58" i="71"/>
  <c r="E57" i="71"/>
  <c r="D59" i="71"/>
  <c r="C62" i="71"/>
  <c r="D62" i="71"/>
  <c r="E62" i="71"/>
  <c r="E61" i="71"/>
  <c r="E66" i="71"/>
  <c r="E65" i="71"/>
  <c r="C70" i="71"/>
  <c r="C69" i="71"/>
  <c r="D69" i="71"/>
  <c r="T15" i="71"/>
  <c r="F15" i="71"/>
  <c r="F14" i="71"/>
  <c r="F13" i="71"/>
  <c r="AB15" i="71"/>
  <c r="AA3" i="71"/>
  <c r="AA15" i="71"/>
  <c r="O54" i="71"/>
  <c r="C51" i="71"/>
  <c r="D51" i="71"/>
  <c r="D70" i="71"/>
  <c r="C61" i="71"/>
  <c r="D61" i="71"/>
  <c r="C39" i="71"/>
  <c r="D38" i="71"/>
  <c r="T39" i="71"/>
  <c r="D39" i="71"/>
  <c r="T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S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F18" i="35"/>
  <c r="AA18" i="35"/>
  <c r="C18" i="35"/>
  <c r="Q21" i="37"/>
  <c r="Z21" i="37"/>
  <c r="D77" i="37"/>
  <c r="E77" i="37"/>
  <c r="F77" i="37"/>
  <c r="C21" i="37"/>
  <c r="Q21" i="34"/>
  <c r="Z21" i="34"/>
  <c r="D84" i="34"/>
  <c r="E84" i="34"/>
  <c r="F84" i="34"/>
  <c r="G84" i="34"/>
  <c r="F21" i="34"/>
  <c r="AA21" i="34"/>
  <c r="C21" i="34"/>
  <c r="Q21" i="33"/>
  <c r="Z21" i="33"/>
  <c r="D83" i="33"/>
  <c r="E83" i="33"/>
  <c r="F83" i="33"/>
  <c r="C21" i="33"/>
  <c r="C21" i="21"/>
  <c r="Q21" i="21"/>
  <c r="Z21" i="21"/>
  <c r="D83" i="21"/>
  <c r="F21" i="21"/>
  <c r="AA21" i="21"/>
  <c r="D81" i="21"/>
  <c r="G20" i="20"/>
  <c r="B86" i="43"/>
  <c r="C22" i="20"/>
  <c r="B55" i="43"/>
  <c r="B75" i="43"/>
  <c r="C25" i="40"/>
  <c r="C29" i="39"/>
  <c r="U18" i="36"/>
  <c r="S21" i="34"/>
  <c r="H25" i="40"/>
  <c r="J25" i="40"/>
  <c r="W25" i="40"/>
  <c r="J29" i="39"/>
  <c r="AC29" i="39"/>
  <c r="J18" i="36"/>
  <c r="W18" i="36"/>
  <c r="H18" i="35"/>
  <c r="U18" i="35"/>
  <c r="S18" i="35"/>
  <c r="G68" i="35"/>
  <c r="J18" i="35"/>
  <c r="H21" i="37"/>
  <c r="F21" i="37"/>
  <c r="S21" i="37"/>
  <c r="H21" i="34"/>
  <c r="U21" i="34"/>
  <c r="H21" i="33"/>
  <c r="AB21" i="33"/>
  <c r="F21" i="33"/>
  <c r="E83" i="21"/>
  <c r="H1" i="69"/>
  <c r="AC25" i="40"/>
  <c r="AB25" i="40"/>
  <c r="U25" i="40"/>
  <c r="AC18" i="36"/>
  <c r="AB21" i="37"/>
  <c r="U21" i="37"/>
  <c r="AA21" i="37"/>
  <c r="AB21" i="34"/>
  <c r="U21" i="33"/>
  <c r="AA21" i="33"/>
  <c r="S21" i="33"/>
  <c r="AB18" i="35"/>
  <c r="AC18" i="35"/>
  <c r="W18" i="35"/>
  <c r="G77" i="37"/>
  <c r="J21" i="37"/>
  <c r="J21" i="34"/>
  <c r="G83" i="33"/>
  <c r="J21" i="33"/>
  <c r="F83" i="21"/>
  <c r="H21" i="21"/>
  <c r="U21" i="21"/>
  <c r="F38" i="69"/>
  <c r="E37" i="69"/>
  <c r="F36" i="69"/>
  <c r="F35" i="69"/>
  <c r="F21" i="69"/>
  <c r="C21" i="69"/>
  <c r="F20" i="69"/>
  <c r="E10" i="69"/>
  <c r="E9" i="69"/>
  <c r="C7" i="69"/>
  <c r="AC21" i="37"/>
  <c r="W21" i="37"/>
  <c r="AC21" i="34"/>
  <c r="W21" i="34"/>
  <c r="AC21" i="33"/>
  <c r="W21" i="33"/>
  <c r="AB21" i="21"/>
  <c r="G83" i="21"/>
  <c r="J21" i="21"/>
  <c r="W21" i="21"/>
  <c r="F38" i="68"/>
  <c r="E37" i="68"/>
  <c r="F36" i="68"/>
  <c r="F35" i="68"/>
  <c r="F21" i="68"/>
  <c r="C21" i="68"/>
  <c r="F20" i="68"/>
  <c r="E10" i="68"/>
  <c r="E9" i="68"/>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9" i="66"/>
  <c r="I8" i="66"/>
  <c r="I7" i="66"/>
  <c r="I6" i="66"/>
  <c r="I5" i="66"/>
  <c r="I4" i="66"/>
  <c r="I3" i="66"/>
  <c r="I10" i="66"/>
  <c r="I21" i="66"/>
  <c r="D1" i="43"/>
  <c r="F113" i="43"/>
  <c r="N99" i="43"/>
  <c r="N108" i="43"/>
  <c r="D99" i="43"/>
  <c r="D108" i="43"/>
  <c r="E99" i="43"/>
  <c r="E100" i="43"/>
  <c r="E108" i="43"/>
  <c r="F99" i="43"/>
  <c r="F108" i="43"/>
  <c r="G99" i="43"/>
  <c r="G108" i="43"/>
  <c r="H99" i="43"/>
  <c r="H108" i="43"/>
  <c r="I99" i="43"/>
  <c r="I108" i="43"/>
  <c r="J99" i="43"/>
  <c r="J108" i="43"/>
  <c r="K99" i="43"/>
  <c r="K108" i="43"/>
  <c r="L99" i="43"/>
  <c r="L108" i="43"/>
  <c r="M99" i="43"/>
  <c r="M100" i="43"/>
  <c r="M108" i="43"/>
  <c r="C99" i="43"/>
  <c r="C108" i="43"/>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B11" i="1"/>
  <c r="A12" i="1"/>
  <c r="A13" i="1"/>
  <c r="B13" i="1"/>
  <c r="E13" i="1"/>
  <c r="A6"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B60" i="3"/>
  <c r="BC60" i="3"/>
  <c r="BD60" i="3"/>
  <c r="BE60" i="3"/>
  <c r="BF60" i="3"/>
  <c r="BG60" i="3"/>
  <c r="BH60" i="3"/>
  <c r="BI60" i="3"/>
  <c r="BJ60" i="3"/>
  <c r="BK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B56" i="3"/>
  <c r="BC56" i="3"/>
  <c r="BD56" i="3"/>
  <c r="BE56" i="3"/>
  <c r="BF56" i="3"/>
  <c r="BG56" i="3"/>
  <c r="BH56" i="3"/>
  <c r="BI56" i="3"/>
  <c r="BJ56" i="3"/>
  <c r="BK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B42" i="3"/>
  <c r="BC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M290" i="3"/>
  <c r="BN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B286" i="3"/>
  <c r="BC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B283" i="3"/>
  <c r="BC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M278" i="3"/>
  <c r="BN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B275" i="3"/>
  <c r="BC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B265" i="3"/>
  <c r="BC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M251" i="3"/>
  <c r="BN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B250" i="3"/>
  <c r="BC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B246" i="3"/>
  <c r="BC246" i="3"/>
  <c r="BA246" i="3"/>
  <c r="AZ246" i="3"/>
  <c r="AX246" i="3"/>
  <c r="AW246" i="3"/>
  <c r="AV246" i="3"/>
  <c r="AC246" i="3"/>
  <c r="H246" i="3"/>
  <c r="BT245" i="3"/>
  <c r="BS245" i="3"/>
  <c r="BR245" i="3"/>
  <c r="BQ245" i="3"/>
  <c r="BP245" i="3"/>
  <c r="BO245" i="3"/>
  <c r="BM245" i="3"/>
  <c r="BN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B243" i="3"/>
  <c r="BC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M240" i="3"/>
  <c r="BN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B238" i="3"/>
  <c r="BC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B236" i="3"/>
  <c r="BC236" i="3"/>
  <c r="BA236" i="3"/>
  <c r="AZ236" i="3"/>
  <c r="AX236" i="3"/>
  <c r="AW236" i="3"/>
  <c r="AV236" i="3"/>
  <c r="AC236" i="3"/>
  <c r="H236" i="3"/>
  <c r="BT235" i="3"/>
  <c r="BS235" i="3"/>
  <c r="BR235" i="3"/>
  <c r="BQ235" i="3"/>
  <c r="BP235" i="3"/>
  <c r="BO235" i="3"/>
  <c r="BM235" i="3"/>
  <c r="BN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M233" i="3"/>
  <c r="BN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BT231" i="3"/>
  <c r="BS231" i="3"/>
  <c r="BR231" i="3"/>
  <c r="BQ231" i="3"/>
  <c r="BP231" i="3"/>
  <c r="BO231" i="3"/>
  <c r="BM231" i="3"/>
  <c r="BN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M228" i="3"/>
  <c r="BN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B226" i="3"/>
  <c r="BC226" i="3"/>
  <c r="BA226" i="3"/>
  <c r="AZ226" i="3"/>
  <c r="AX226" i="3"/>
  <c r="AW226" i="3"/>
  <c r="AV226" i="3"/>
  <c r="AC226" i="3"/>
  <c r="H226" i="3"/>
  <c r="G226" i="3"/>
  <c r="BT225" i="3"/>
  <c r="BS225" i="3"/>
  <c r="BR225" i="3"/>
  <c r="BQ225" i="3"/>
  <c r="BP225" i="3"/>
  <c r="BO225" i="3"/>
  <c r="BM225" i="3"/>
  <c r="BN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B223" i="3"/>
  <c r="BC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B221" i="3"/>
  <c r="BC221" i="3"/>
  <c r="BA221" i="3"/>
  <c r="AZ221" i="3"/>
  <c r="AX221" i="3"/>
  <c r="AW221" i="3"/>
  <c r="AV221" i="3"/>
  <c r="AC221" i="3"/>
  <c r="H221" i="3"/>
  <c r="G221" i="3"/>
  <c r="BT220" i="3"/>
  <c r="BS220" i="3"/>
  <c r="BR220" i="3"/>
  <c r="BQ220" i="3"/>
  <c r="BP220" i="3"/>
  <c r="BO220" i="3"/>
  <c r="BM220" i="3"/>
  <c r="BN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M217" i="3"/>
  <c r="BN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M214" i="3"/>
  <c r="BN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M212" i="3"/>
  <c r="BN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B209" i="3"/>
  <c r="BC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B396" i="3"/>
  <c r="BC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M385" i="3"/>
  <c r="BN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B384" i="3"/>
  <c r="BC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M375" i="3"/>
  <c r="BN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B370" i="3"/>
  <c r="BC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B354" i="3"/>
  <c r="BC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B348" i="3"/>
  <c r="BC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B333" i="3"/>
  <c r="BC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B317" i="3"/>
  <c r="BC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BT491" i="3"/>
  <c r="BS491" i="3"/>
  <c r="BR491" i="3"/>
  <c r="BQ491" i="3"/>
  <c r="BP491" i="3"/>
  <c r="BO491" i="3"/>
  <c r="BM491" i="3"/>
  <c r="BN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BT485" i="3"/>
  <c r="BS485" i="3"/>
  <c r="BR485" i="3"/>
  <c r="BQ485" i="3"/>
  <c r="BP485" i="3"/>
  <c r="BO485" i="3"/>
  <c r="BM485" i="3"/>
  <c r="BN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BT481" i="3"/>
  <c r="BS481" i="3"/>
  <c r="BR481" i="3"/>
  <c r="BQ481" i="3"/>
  <c r="BP481" i="3"/>
  <c r="BO481" i="3"/>
  <c r="BM481" i="3"/>
  <c r="BN481" i="3"/>
  <c r="BL481" i="3"/>
  <c r="BK481" i="3"/>
  <c r="BJ481" i="3"/>
  <c r="BI481" i="3"/>
  <c r="BH481" i="3"/>
  <c r="BG481" i="3"/>
  <c r="BF481" i="3"/>
  <c r="BE481" i="3"/>
  <c r="BD481" i="3"/>
  <c r="BB481" i="3"/>
  <c r="BC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B474" i="3"/>
  <c r="BC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B471" i="3"/>
  <c r="BC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B467" i="3"/>
  <c r="BC467" i="3"/>
  <c r="BA467" i="3"/>
  <c r="AZ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M463" i="3"/>
  <c r="BN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B461" i="3"/>
  <c r="BC461" i="3"/>
  <c r="BA461" i="3"/>
  <c r="AZ461" i="3"/>
  <c r="AX461" i="3"/>
  <c r="AW461" i="3"/>
  <c r="AV461" i="3"/>
  <c r="AC461" i="3"/>
  <c r="H461" i="3"/>
  <c r="G461" i="3"/>
  <c r="BT460" i="3"/>
  <c r="BS460" i="3"/>
  <c r="BR460" i="3"/>
  <c r="BQ460" i="3"/>
  <c r="BP460" i="3"/>
  <c r="BO460" i="3"/>
  <c r="BM460" i="3"/>
  <c r="BN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B457" i="3"/>
  <c r="BC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M453" i="3"/>
  <c r="BN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M449" i="3"/>
  <c r="BN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M445" i="3"/>
  <c r="BN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M441" i="3"/>
  <c r="BN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B439" i="3"/>
  <c r="BC439" i="3"/>
  <c r="BA439" i="3"/>
  <c r="AZ439" i="3"/>
  <c r="AX439" i="3"/>
  <c r="AW439" i="3"/>
  <c r="AV439" i="3"/>
  <c r="AC439" i="3"/>
  <c r="H439" i="3"/>
  <c r="G439" i="3"/>
  <c r="BT438" i="3"/>
  <c r="BS438" i="3"/>
  <c r="BR438" i="3"/>
  <c r="BQ438" i="3"/>
  <c r="BP438" i="3"/>
  <c r="BO438" i="3"/>
  <c r="BM438" i="3"/>
  <c r="BN438" i="3"/>
  <c r="BL438" i="3"/>
  <c r="BK438" i="3"/>
  <c r="BJ438" i="3"/>
  <c r="BI438" i="3"/>
  <c r="BH438" i="3"/>
  <c r="BG438" i="3"/>
  <c r="BF438" i="3"/>
  <c r="BE438" i="3"/>
  <c r="BD438" i="3"/>
  <c r="BB438" i="3"/>
  <c r="BC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B436" i="3"/>
  <c r="BC436" i="3"/>
  <c r="BA436" i="3"/>
  <c r="AZ436" i="3"/>
  <c r="AX436" i="3"/>
  <c r="AW436" i="3"/>
  <c r="AV436" i="3"/>
  <c r="AC436" i="3"/>
  <c r="H436" i="3"/>
  <c r="G436" i="3"/>
  <c r="BT435" i="3"/>
  <c r="BS435" i="3"/>
  <c r="BR435" i="3"/>
  <c r="BQ435" i="3"/>
  <c r="BP435" i="3"/>
  <c r="BO435" i="3"/>
  <c r="BM435" i="3"/>
  <c r="BN435" i="3"/>
  <c r="BL435" i="3"/>
  <c r="BK435" i="3"/>
  <c r="BJ435" i="3"/>
  <c r="BI435" i="3"/>
  <c r="BH435" i="3"/>
  <c r="BG435" i="3"/>
  <c r="BF435" i="3"/>
  <c r="BE435" i="3"/>
  <c r="BD435" i="3"/>
  <c r="BB435" i="3"/>
  <c r="BC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M432" i="3"/>
  <c r="BN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B429" i="3"/>
  <c r="BC429" i="3"/>
  <c r="BA429" i="3"/>
  <c r="AZ429" i="3"/>
  <c r="AX429" i="3"/>
  <c r="AW429" i="3"/>
  <c r="AV429" i="3"/>
  <c r="AC429" i="3"/>
  <c r="H429" i="3"/>
  <c r="G429" i="3"/>
  <c r="BT428" i="3"/>
  <c r="BS428" i="3"/>
  <c r="BR428" i="3"/>
  <c r="BQ428" i="3"/>
  <c r="BP428" i="3"/>
  <c r="BO428" i="3"/>
  <c r="BM428" i="3"/>
  <c r="BN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B426" i="3"/>
  <c r="BC426" i="3"/>
  <c r="BA426" i="3"/>
  <c r="AZ426" i="3"/>
  <c r="AX426" i="3"/>
  <c r="AW426" i="3"/>
  <c r="AV426" i="3"/>
  <c r="AC426" i="3"/>
  <c r="H426" i="3"/>
  <c r="G426" i="3"/>
  <c r="BT425" i="3"/>
  <c r="BS425" i="3"/>
  <c r="BR425" i="3"/>
  <c r="BQ425" i="3"/>
  <c r="BP425" i="3"/>
  <c r="BO425" i="3"/>
  <c r="BM425" i="3"/>
  <c r="BN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M421" i="3"/>
  <c r="BN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M417" i="3"/>
  <c r="BN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B415" i="3"/>
  <c r="BC415" i="3"/>
  <c r="BA415" i="3"/>
  <c r="AZ415" i="3"/>
  <c r="AX415" i="3"/>
  <c r="AW415" i="3"/>
  <c r="AV415" i="3"/>
  <c r="AC415" i="3"/>
  <c r="H415" i="3"/>
  <c r="G415" i="3"/>
  <c r="BT414" i="3"/>
  <c r="BS414" i="3"/>
  <c r="BR414" i="3"/>
  <c r="BQ414" i="3"/>
  <c r="BP414" i="3"/>
  <c r="BO414" i="3"/>
  <c r="BM414" i="3"/>
  <c r="BN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M411" i="3"/>
  <c r="BN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B408" i="3"/>
  <c r="BC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B405" i="3"/>
  <c r="BC405" i="3"/>
  <c r="BA405" i="3"/>
  <c r="AZ405" i="3"/>
  <c r="AX405" i="3"/>
  <c r="AW405" i="3"/>
  <c r="AV405" i="3"/>
  <c r="AC405" i="3"/>
  <c r="H405" i="3"/>
  <c r="G405" i="3"/>
  <c r="BT404" i="3"/>
  <c r="BS404" i="3"/>
  <c r="BR404" i="3"/>
  <c r="BQ404" i="3"/>
  <c r="BP404" i="3"/>
  <c r="BO404" i="3"/>
  <c r="BM404" i="3"/>
  <c r="BN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B401" i="3"/>
  <c r="BC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B398" i="3"/>
  <c r="BC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C10" i="39"/>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R14" i="3"/>
  <c r="BR15" i="3"/>
  <c r="BR16" i="3"/>
  <c r="BR17"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M10" i="1"/>
  <c r="O10" i="1"/>
  <c r="P10" i="1"/>
  <c r="B22" i="1"/>
  <c r="B43" i="1"/>
  <c r="D78" i="9"/>
  <c r="BQ13" i="3"/>
  <c r="BQ14" i="3"/>
  <c r="BQ15" i="3"/>
  <c r="BQ16" i="3"/>
  <c r="BQ17" i="3"/>
  <c r="BS13" i="3"/>
  <c r="BS14" i="3"/>
  <c r="BS15" i="3"/>
  <c r="BS16" i="3"/>
  <c r="BS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M13" i="1"/>
  <c r="O13" i="1"/>
  <c r="P13" i="1"/>
  <c r="E22" i="6"/>
  <c r="E23" i="6"/>
  <c r="E24" i="6"/>
  <c r="E25" i="6"/>
  <c r="E26" i="6"/>
  <c r="BB13" i="3"/>
  <c r="BB14" i="3"/>
  <c r="BB15" i="3"/>
  <c r="BB16" i="3"/>
  <c r="BB17"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AC13"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C493" i="3"/>
  <c r="BD493" i="3"/>
  <c r="BE493" i="3"/>
  <c r="BF493" i="3"/>
  <c r="BG493" i="3"/>
  <c r="BH493" i="3"/>
  <c r="BI493" i="3"/>
  <c r="BJ493" i="3"/>
  <c r="BK493" i="3"/>
  <c r="BM493" i="3"/>
  <c r="BN493" i="3"/>
  <c r="BO493" i="3"/>
  <c r="BP493" i="3"/>
  <c r="BS493" i="3"/>
  <c r="BT493" i="3"/>
  <c r="H494" i="3"/>
  <c r="AC494" i="3"/>
  <c r="BC494" i="3"/>
  <c r="BD494" i="3"/>
  <c r="BE494" i="3"/>
  <c r="BF494" i="3"/>
  <c r="BG494" i="3"/>
  <c r="BH494" i="3"/>
  <c r="BI494" i="3"/>
  <c r="BJ494" i="3"/>
  <c r="BK494" i="3"/>
  <c r="BM494" i="3"/>
  <c r="BN494" i="3"/>
  <c r="BO494" i="3"/>
  <c r="BP494" i="3"/>
  <c r="BQ494" i="3"/>
  <c r="BS494" i="3"/>
  <c r="BT494" i="3"/>
  <c r="H495" i="3"/>
  <c r="AC495" i="3"/>
  <c r="BC495" i="3"/>
  <c r="BD495" i="3"/>
  <c r="BE495" i="3"/>
  <c r="BF495" i="3"/>
  <c r="BG495" i="3"/>
  <c r="BH495" i="3"/>
  <c r="BI495" i="3"/>
  <c r="BJ495" i="3"/>
  <c r="BK495" i="3"/>
  <c r="BM495" i="3"/>
  <c r="BN495" i="3"/>
  <c r="BO495" i="3"/>
  <c r="BP495" i="3"/>
  <c r="BQ495" i="3"/>
  <c r="BS495" i="3"/>
  <c r="BT495" i="3"/>
  <c r="BL495" i="3"/>
  <c r="H496" i="3"/>
  <c r="AC496" i="3"/>
  <c r="G496" i="3"/>
  <c r="BC496" i="3"/>
  <c r="BD496" i="3"/>
  <c r="BE496" i="3"/>
  <c r="BF496" i="3"/>
  <c r="BG496" i="3"/>
  <c r="BH496" i="3"/>
  <c r="BI496" i="3"/>
  <c r="BJ496" i="3"/>
  <c r="BK496" i="3"/>
  <c r="BM496" i="3"/>
  <c r="BN496" i="3"/>
  <c r="BO496" i="3"/>
  <c r="BP496" i="3"/>
  <c r="BQ496" i="3"/>
  <c r="BS496" i="3"/>
  <c r="BT496" i="3"/>
  <c r="H497" i="3"/>
  <c r="AC497" i="3"/>
  <c r="BC497" i="3"/>
  <c r="BD497" i="3"/>
  <c r="BE497" i="3"/>
  <c r="BF497" i="3"/>
  <c r="BG497" i="3"/>
  <c r="BH497" i="3"/>
  <c r="BI497" i="3"/>
  <c r="BJ497" i="3"/>
  <c r="BK497" i="3"/>
  <c r="BM497" i="3"/>
  <c r="BN497" i="3"/>
  <c r="BO497" i="3"/>
  <c r="BP497" i="3"/>
  <c r="BS497" i="3"/>
  <c r="BT497" i="3"/>
  <c r="H498" i="3"/>
  <c r="AC498" i="3"/>
  <c r="BC498" i="3"/>
  <c r="BD498" i="3"/>
  <c r="BE498" i="3"/>
  <c r="BF498" i="3"/>
  <c r="BG498" i="3"/>
  <c r="BH498" i="3"/>
  <c r="BI498" i="3"/>
  <c r="BJ498" i="3"/>
  <c r="BK498" i="3"/>
  <c r="BM498" i="3"/>
  <c r="BN498" i="3"/>
  <c r="BO498" i="3"/>
  <c r="BP498" i="3"/>
  <c r="BQ498" i="3"/>
  <c r="BS498" i="3"/>
  <c r="BT498" i="3"/>
  <c r="H499" i="3"/>
  <c r="AC499" i="3"/>
  <c r="BC499" i="3"/>
  <c r="BD499" i="3"/>
  <c r="BE499" i="3"/>
  <c r="BF499" i="3"/>
  <c r="BG499" i="3"/>
  <c r="BH499" i="3"/>
  <c r="BI499" i="3"/>
  <c r="BJ499" i="3"/>
  <c r="BK499" i="3"/>
  <c r="BM499" i="3"/>
  <c r="BN499" i="3"/>
  <c r="BO499" i="3"/>
  <c r="BP499" i="3"/>
  <c r="BS499" i="3"/>
  <c r="BT499" i="3"/>
  <c r="H500" i="3"/>
  <c r="AC500" i="3"/>
  <c r="BC500" i="3"/>
  <c r="BD500" i="3"/>
  <c r="BE500" i="3"/>
  <c r="BF500" i="3"/>
  <c r="BG500" i="3"/>
  <c r="BH500" i="3"/>
  <c r="BI500" i="3"/>
  <c r="BJ500" i="3"/>
  <c r="BK500" i="3"/>
  <c r="BM500" i="3"/>
  <c r="BN500" i="3"/>
  <c r="BO500" i="3"/>
  <c r="BP500" i="3"/>
  <c r="BQ500" i="3"/>
  <c r="BS500" i="3"/>
  <c r="BT500" i="3"/>
  <c r="H501" i="3"/>
  <c r="AC501" i="3"/>
  <c r="BC501" i="3"/>
  <c r="BD501" i="3"/>
  <c r="BE501" i="3"/>
  <c r="BF501" i="3"/>
  <c r="BG501" i="3"/>
  <c r="BH501" i="3"/>
  <c r="BI501" i="3"/>
  <c r="BJ501" i="3"/>
  <c r="BK501" i="3"/>
  <c r="BM501" i="3"/>
  <c r="BN501" i="3"/>
  <c r="BO501" i="3"/>
  <c r="BP501" i="3"/>
  <c r="BS501" i="3"/>
  <c r="BT501" i="3"/>
  <c r="H502" i="3"/>
  <c r="AC502" i="3"/>
  <c r="BC502" i="3"/>
  <c r="BD502" i="3"/>
  <c r="BE502" i="3"/>
  <c r="BF502" i="3"/>
  <c r="BG502" i="3"/>
  <c r="BH502" i="3"/>
  <c r="BI502" i="3"/>
  <c r="BJ502" i="3"/>
  <c r="BK502" i="3"/>
  <c r="BM502" i="3"/>
  <c r="BN502" i="3"/>
  <c r="BO502" i="3"/>
  <c r="BP502" i="3"/>
  <c r="BQ502" i="3"/>
  <c r="BS502" i="3"/>
  <c r="BT502" i="3"/>
  <c r="H503" i="3"/>
  <c r="AC503" i="3"/>
  <c r="BC503" i="3"/>
  <c r="BD503" i="3"/>
  <c r="BE503" i="3"/>
  <c r="BF503" i="3"/>
  <c r="BG503" i="3"/>
  <c r="BH503" i="3"/>
  <c r="BI503" i="3"/>
  <c r="BJ503" i="3"/>
  <c r="BK503" i="3"/>
  <c r="BM503" i="3"/>
  <c r="BN503" i="3"/>
  <c r="BO503" i="3"/>
  <c r="BP503" i="3"/>
  <c r="BS503" i="3"/>
  <c r="BT503" i="3"/>
  <c r="H504" i="3"/>
  <c r="AC504" i="3"/>
  <c r="BC504" i="3"/>
  <c r="BD504" i="3"/>
  <c r="BE504" i="3"/>
  <c r="BF504" i="3"/>
  <c r="BG504" i="3"/>
  <c r="BH504" i="3"/>
  <c r="BI504" i="3"/>
  <c r="BJ504" i="3"/>
  <c r="BK504" i="3"/>
  <c r="BM504" i="3"/>
  <c r="BN504" i="3"/>
  <c r="BO504" i="3"/>
  <c r="BP504" i="3"/>
  <c r="BQ504" i="3"/>
  <c r="BS504" i="3"/>
  <c r="BT504" i="3"/>
  <c r="H505" i="3"/>
  <c r="AC505" i="3"/>
  <c r="BC505" i="3"/>
  <c r="BD505" i="3"/>
  <c r="BE505" i="3"/>
  <c r="BF505" i="3"/>
  <c r="BG505" i="3"/>
  <c r="BH505" i="3"/>
  <c r="BI505" i="3"/>
  <c r="BJ505" i="3"/>
  <c r="BK505" i="3"/>
  <c r="BM505" i="3"/>
  <c r="BN505" i="3"/>
  <c r="BO505" i="3"/>
  <c r="BP505" i="3"/>
  <c r="BS505" i="3"/>
  <c r="BT505" i="3"/>
  <c r="H506" i="3"/>
  <c r="AC506" i="3"/>
  <c r="BC506" i="3"/>
  <c r="BD506" i="3"/>
  <c r="BE506" i="3"/>
  <c r="BF506" i="3"/>
  <c r="BG506" i="3"/>
  <c r="BH506" i="3"/>
  <c r="BI506" i="3"/>
  <c r="BJ506" i="3"/>
  <c r="BK506" i="3"/>
  <c r="BA506" i="3"/>
  <c r="BM506" i="3"/>
  <c r="BN506" i="3"/>
  <c r="BO506" i="3"/>
  <c r="BP506" i="3"/>
  <c r="BQ506" i="3"/>
  <c r="BS506" i="3"/>
  <c r="BT506" i="3"/>
  <c r="H507" i="3"/>
  <c r="AC507" i="3"/>
  <c r="BC507" i="3"/>
  <c r="BD507" i="3"/>
  <c r="BE507" i="3"/>
  <c r="BF507" i="3"/>
  <c r="BG507" i="3"/>
  <c r="BH507" i="3"/>
  <c r="BI507" i="3"/>
  <c r="BJ507" i="3"/>
  <c r="BK507" i="3"/>
  <c r="BM507" i="3"/>
  <c r="BN507" i="3"/>
  <c r="BO507" i="3"/>
  <c r="BP507" i="3"/>
  <c r="BS507" i="3"/>
  <c r="BT507" i="3"/>
  <c r="H508" i="3"/>
  <c r="AC508" i="3"/>
  <c r="BC508" i="3"/>
  <c r="BD508" i="3"/>
  <c r="BE508" i="3"/>
  <c r="BF508" i="3"/>
  <c r="BG508" i="3"/>
  <c r="BH508" i="3"/>
  <c r="BI508" i="3"/>
  <c r="BJ508" i="3"/>
  <c r="BK508" i="3"/>
  <c r="BM508" i="3"/>
  <c r="BN508" i="3"/>
  <c r="BO508" i="3"/>
  <c r="BP508" i="3"/>
  <c r="BQ508" i="3"/>
  <c r="BS508" i="3"/>
  <c r="BT508" i="3"/>
  <c r="H509" i="3"/>
  <c r="BC509" i="3"/>
  <c r="BD509" i="3"/>
  <c r="BE509" i="3"/>
  <c r="BF509" i="3"/>
  <c r="BG509" i="3"/>
  <c r="BH509" i="3"/>
  <c r="BI509" i="3"/>
  <c r="BJ509" i="3"/>
  <c r="BK509" i="3"/>
  <c r="BM509" i="3"/>
  <c r="BN509" i="3"/>
  <c r="BO509" i="3"/>
  <c r="BP509" i="3"/>
  <c r="BS509" i="3"/>
  <c r="BT509" i="3"/>
  <c r="H510" i="3"/>
  <c r="AC510" i="3"/>
  <c r="G510" i="3"/>
  <c r="BC510" i="3"/>
  <c r="BD510" i="3"/>
  <c r="BE510" i="3"/>
  <c r="BF510" i="3"/>
  <c r="BG510" i="3"/>
  <c r="BH510" i="3"/>
  <c r="BI510" i="3"/>
  <c r="BJ510" i="3"/>
  <c r="BK510" i="3"/>
  <c r="BM510" i="3"/>
  <c r="BN510" i="3"/>
  <c r="BO510" i="3"/>
  <c r="BP510" i="3"/>
  <c r="BQ510" i="3"/>
  <c r="BS510" i="3"/>
  <c r="BT510" i="3"/>
  <c r="BL510" i="3"/>
  <c r="H511" i="3"/>
  <c r="AC511" i="3"/>
  <c r="G511" i="3"/>
  <c r="BC511" i="3"/>
  <c r="BD511" i="3"/>
  <c r="BE511" i="3"/>
  <c r="BF511" i="3"/>
  <c r="BG511" i="3"/>
  <c r="BH511" i="3"/>
  <c r="BI511" i="3"/>
  <c r="BJ511" i="3"/>
  <c r="BK511" i="3"/>
  <c r="BM511" i="3"/>
  <c r="BN511" i="3"/>
  <c r="BO511" i="3"/>
  <c r="BP511" i="3"/>
  <c r="BS511" i="3"/>
  <c r="BT511" i="3"/>
  <c r="H512" i="3"/>
  <c r="AC512" i="3"/>
  <c r="BC512" i="3"/>
  <c r="BD512" i="3"/>
  <c r="BE512" i="3"/>
  <c r="BF512" i="3"/>
  <c r="BG512" i="3"/>
  <c r="BH512" i="3"/>
  <c r="BI512" i="3"/>
  <c r="BJ512" i="3"/>
  <c r="BK512" i="3"/>
  <c r="BM512" i="3"/>
  <c r="BN512" i="3"/>
  <c r="BO512" i="3"/>
  <c r="BP512" i="3"/>
  <c r="BQ512" i="3"/>
  <c r="BS512" i="3"/>
  <c r="BT512" i="3"/>
  <c r="BL512" i="3"/>
  <c r="H513" i="3"/>
  <c r="AC513" i="3"/>
  <c r="BC513" i="3"/>
  <c r="BD513" i="3"/>
  <c r="BE513" i="3"/>
  <c r="BF513" i="3"/>
  <c r="BG513" i="3"/>
  <c r="BH513" i="3"/>
  <c r="BI513" i="3"/>
  <c r="BJ513" i="3"/>
  <c r="BK513" i="3"/>
  <c r="BA513" i="3"/>
  <c r="BM513" i="3"/>
  <c r="BN513" i="3"/>
  <c r="BO513" i="3"/>
  <c r="BP513" i="3"/>
  <c r="BQ513" i="3"/>
  <c r="BS513" i="3"/>
  <c r="BT513" i="3"/>
  <c r="BL513" i="3"/>
  <c r="AZ513" i="3"/>
  <c r="H514" i="3"/>
  <c r="AC514" i="3"/>
  <c r="BC514" i="3"/>
  <c r="BD514" i="3"/>
  <c r="BE514" i="3"/>
  <c r="BF514" i="3"/>
  <c r="BG514" i="3"/>
  <c r="BH514" i="3"/>
  <c r="BI514" i="3"/>
  <c r="BJ514" i="3"/>
  <c r="BK514" i="3"/>
  <c r="BM514" i="3"/>
  <c r="BN514" i="3"/>
  <c r="BO514" i="3"/>
  <c r="BP514" i="3"/>
  <c r="BQ514" i="3"/>
  <c r="BS514" i="3"/>
  <c r="BT514" i="3"/>
  <c r="H515" i="3"/>
  <c r="AC515" i="3"/>
  <c r="BC515" i="3"/>
  <c r="BD515" i="3"/>
  <c r="BE515" i="3"/>
  <c r="BF515" i="3"/>
  <c r="BG515" i="3"/>
  <c r="BH515" i="3"/>
  <c r="BI515" i="3"/>
  <c r="BJ515" i="3"/>
  <c r="BK515" i="3"/>
  <c r="BM515" i="3"/>
  <c r="BN515" i="3"/>
  <c r="BO515" i="3"/>
  <c r="BP515" i="3"/>
  <c r="BS515" i="3"/>
  <c r="BT515" i="3"/>
  <c r="H516" i="3"/>
  <c r="AC516" i="3"/>
  <c r="BC516" i="3"/>
  <c r="BD516" i="3"/>
  <c r="BE516" i="3"/>
  <c r="BF516" i="3"/>
  <c r="BG516" i="3"/>
  <c r="BH516" i="3"/>
  <c r="BI516" i="3"/>
  <c r="BJ516" i="3"/>
  <c r="BK516" i="3"/>
  <c r="BA516" i="3"/>
  <c r="BM516" i="3"/>
  <c r="BN516" i="3"/>
  <c r="BO516" i="3"/>
  <c r="BP516" i="3"/>
  <c r="BQ516" i="3"/>
  <c r="BS516" i="3"/>
  <c r="BT516" i="3"/>
  <c r="BL516" i="3"/>
  <c r="AZ516" i="3"/>
  <c r="H517" i="3"/>
  <c r="AC517" i="3"/>
  <c r="BC517" i="3"/>
  <c r="BD517" i="3"/>
  <c r="BE517" i="3"/>
  <c r="BF517" i="3"/>
  <c r="BG517" i="3"/>
  <c r="BH517" i="3"/>
  <c r="BI517" i="3"/>
  <c r="BJ517" i="3"/>
  <c r="BK517" i="3"/>
  <c r="BM517" i="3"/>
  <c r="BN517" i="3"/>
  <c r="BO517" i="3"/>
  <c r="BP517" i="3"/>
  <c r="BQ517" i="3"/>
  <c r="BS517" i="3"/>
  <c r="BT517" i="3"/>
  <c r="BL517" i="3"/>
  <c r="H518" i="3"/>
  <c r="AC518" i="3"/>
  <c r="G518" i="3"/>
  <c r="BC518" i="3"/>
  <c r="BD518" i="3"/>
  <c r="BE518" i="3"/>
  <c r="BF518" i="3"/>
  <c r="BG518" i="3"/>
  <c r="BH518" i="3"/>
  <c r="BI518" i="3"/>
  <c r="BJ518" i="3"/>
  <c r="BK518" i="3"/>
  <c r="BM518" i="3"/>
  <c r="BN518" i="3"/>
  <c r="BO518" i="3"/>
  <c r="BP518" i="3"/>
  <c r="BQ518" i="3"/>
  <c r="BS518" i="3"/>
  <c r="BT518" i="3"/>
  <c r="H519" i="3"/>
  <c r="AC519" i="3"/>
  <c r="G519" i="3"/>
  <c r="BC519" i="3"/>
  <c r="BD519" i="3"/>
  <c r="BE519" i="3"/>
  <c r="BF519" i="3"/>
  <c r="BG519" i="3"/>
  <c r="BH519" i="3"/>
  <c r="BI519" i="3"/>
  <c r="BJ519" i="3"/>
  <c r="BK519" i="3"/>
  <c r="BM519" i="3"/>
  <c r="BN519" i="3"/>
  <c r="BO519" i="3"/>
  <c r="BP519" i="3"/>
  <c r="BS519" i="3"/>
  <c r="BT519" i="3"/>
  <c r="H520" i="3"/>
  <c r="AC520" i="3"/>
  <c r="BC520" i="3"/>
  <c r="BD520" i="3"/>
  <c r="BE520" i="3"/>
  <c r="BF520" i="3"/>
  <c r="BG520" i="3"/>
  <c r="BH520" i="3"/>
  <c r="BI520" i="3"/>
  <c r="BJ520" i="3"/>
  <c r="BK520" i="3"/>
  <c r="BM520" i="3"/>
  <c r="BN520" i="3"/>
  <c r="BO520" i="3"/>
  <c r="BP520" i="3"/>
  <c r="BQ520" i="3"/>
  <c r="BS520" i="3"/>
  <c r="BT520" i="3"/>
  <c r="H521" i="3"/>
  <c r="BC521" i="3"/>
  <c r="BD521" i="3"/>
  <c r="BE521" i="3"/>
  <c r="BF521" i="3"/>
  <c r="BG521" i="3"/>
  <c r="BH521" i="3"/>
  <c r="BI521" i="3"/>
  <c r="BJ521" i="3"/>
  <c r="BK521" i="3"/>
  <c r="BM521" i="3"/>
  <c r="BN521" i="3"/>
  <c r="BO521" i="3"/>
  <c r="BP521" i="3"/>
  <c r="BS521" i="3"/>
  <c r="BT521" i="3"/>
  <c r="H522" i="3"/>
  <c r="AC522" i="3"/>
  <c r="BC522" i="3"/>
  <c r="BD522" i="3"/>
  <c r="BE522" i="3"/>
  <c r="BF522" i="3"/>
  <c r="BG522" i="3"/>
  <c r="BH522" i="3"/>
  <c r="BI522" i="3"/>
  <c r="BJ522" i="3"/>
  <c r="BK522" i="3"/>
  <c r="BA522" i="3"/>
  <c r="BM522" i="3"/>
  <c r="BN522" i="3"/>
  <c r="BO522" i="3"/>
  <c r="BP522" i="3"/>
  <c r="BQ522" i="3"/>
  <c r="BS522" i="3"/>
  <c r="BT522" i="3"/>
  <c r="H523" i="3"/>
  <c r="AC523" i="3"/>
  <c r="BC523" i="3"/>
  <c r="BD523" i="3"/>
  <c r="BE523" i="3"/>
  <c r="BF523" i="3"/>
  <c r="BG523" i="3"/>
  <c r="BH523" i="3"/>
  <c r="BI523" i="3"/>
  <c r="BJ523" i="3"/>
  <c r="BK523" i="3"/>
  <c r="BA523" i="3"/>
  <c r="BM523" i="3"/>
  <c r="BN523" i="3"/>
  <c r="BO523" i="3"/>
  <c r="BP523" i="3"/>
  <c r="BQ523" i="3"/>
  <c r="BS523" i="3"/>
  <c r="BT523" i="3"/>
  <c r="BL523" i="3"/>
  <c r="H524" i="3"/>
  <c r="AC524" i="3"/>
  <c r="BC524" i="3"/>
  <c r="BD524" i="3"/>
  <c r="BE524" i="3"/>
  <c r="BF524" i="3"/>
  <c r="BG524" i="3"/>
  <c r="BH524" i="3"/>
  <c r="BI524" i="3"/>
  <c r="BJ524" i="3"/>
  <c r="BK524" i="3"/>
  <c r="BM524" i="3"/>
  <c r="BN524" i="3"/>
  <c r="BO524" i="3"/>
  <c r="BP524" i="3"/>
  <c r="BQ524" i="3"/>
  <c r="BS524" i="3"/>
  <c r="BT524" i="3"/>
  <c r="H525" i="3"/>
  <c r="AC525" i="3"/>
  <c r="G525" i="3"/>
  <c r="BC525" i="3"/>
  <c r="BD525" i="3"/>
  <c r="BE525" i="3"/>
  <c r="BF525" i="3"/>
  <c r="BG525" i="3"/>
  <c r="BH525" i="3"/>
  <c r="BI525" i="3"/>
  <c r="BJ525" i="3"/>
  <c r="BK525" i="3"/>
  <c r="BM525" i="3"/>
  <c r="BN525" i="3"/>
  <c r="BO525" i="3"/>
  <c r="BP525" i="3"/>
  <c r="BQ525" i="3"/>
  <c r="BS525" i="3"/>
  <c r="BT525" i="3"/>
  <c r="BL525" i="3"/>
  <c r="H526" i="3"/>
  <c r="AC526" i="3"/>
  <c r="G526" i="3"/>
  <c r="BC526" i="3"/>
  <c r="BD526" i="3"/>
  <c r="BE526" i="3"/>
  <c r="BF526" i="3"/>
  <c r="BG526" i="3"/>
  <c r="BH526" i="3"/>
  <c r="BI526" i="3"/>
  <c r="BJ526" i="3"/>
  <c r="BK526" i="3"/>
  <c r="BM526" i="3"/>
  <c r="BN526" i="3"/>
  <c r="BO526" i="3"/>
  <c r="BP526" i="3"/>
  <c r="BQ526" i="3"/>
  <c r="BS526" i="3"/>
  <c r="BT526" i="3"/>
  <c r="H527" i="3"/>
  <c r="AC527" i="3"/>
  <c r="BC527" i="3"/>
  <c r="BD527" i="3"/>
  <c r="BE527" i="3"/>
  <c r="BF527" i="3"/>
  <c r="BG527" i="3"/>
  <c r="BH527" i="3"/>
  <c r="BI527" i="3"/>
  <c r="BJ527" i="3"/>
  <c r="BK527" i="3"/>
  <c r="BM527" i="3"/>
  <c r="BN527" i="3"/>
  <c r="BO527" i="3"/>
  <c r="BP527" i="3"/>
  <c r="BS527" i="3"/>
  <c r="BT527" i="3"/>
  <c r="H528" i="3"/>
  <c r="AC528" i="3"/>
  <c r="BC528" i="3"/>
  <c r="BD528" i="3"/>
  <c r="BE528" i="3"/>
  <c r="BF528" i="3"/>
  <c r="BG528" i="3"/>
  <c r="BH528" i="3"/>
  <c r="BI528" i="3"/>
  <c r="BJ528" i="3"/>
  <c r="BK528" i="3"/>
  <c r="BM528" i="3"/>
  <c r="BN528" i="3"/>
  <c r="BO528" i="3"/>
  <c r="BP528" i="3"/>
  <c r="BQ528" i="3"/>
  <c r="BS528" i="3"/>
  <c r="BT528" i="3"/>
  <c r="H529" i="3"/>
  <c r="AC529" i="3"/>
  <c r="BC529" i="3"/>
  <c r="BD529" i="3"/>
  <c r="BE529" i="3"/>
  <c r="BF529" i="3"/>
  <c r="BG529" i="3"/>
  <c r="BH529" i="3"/>
  <c r="BI529" i="3"/>
  <c r="BJ529" i="3"/>
  <c r="BK529" i="3"/>
  <c r="BM529" i="3"/>
  <c r="BN529" i="3"/>
  <c r="BO529" i="3"/>
  <c r="BP529" i="3"/>
  <c r="BS529" i="3"/>
  <c r="BT529" i="3"/>
  <c r="H530" i="3"/>
  <c r="AC530" i="3"/>
  <c r="BC530" i="3"/>
  <c r="BD530" i="3"/>
  <c r="BE530" i="3"/>
  <c r="BF530" i="3"/>
  <c r="BG530" i="3"/>
  <c r="BH530" i="3"/>
  <c r="BI530" i="3"/>
  <c r="BJ530" i="3"/>
  <c r="BK530" i="3"/>
  <c r="BM530" i="3"/>
  <c r="BN530" i="3"/>
  <c r="BO530" i="3"/>
  <c r="BP530" i="3"/>
  <c r="BQ530" i="3"/>
  <c r="BS530" i="3"/>
  <c r="BT530" i="3"/>
  <c r="H531" i="3"/>
  <c r="AC531" i="3"/>
  <c r="BC531" i="3"/>
  <c r="BD531" i="3"/>
  <c r="BE531" i="3"/>
  <c r="BF531" i="3"/>
  <c r="BG531" i="3"/>
  <c r="BH531" i="3"/>
  <c r="BI531" i="3"/>
  <c r="BJ531" i="3"/>
  <c r="BK531" i="3"/>
  <c r="BM531" i="3"/>
  <c r="BN531" i="3"/>
  <c r="BO531" i="3"/>
  <c r="BP531" i="3"/>
  <c r="BS531" i="3"/>
  <c r="BT531" i="3"/>
  <c r="H532" i="3"/>
  <c r="AC532" i="3"/>
  <c r="BC532" i="3"/>
  <c r="BD532" i="3"/>
  <c r="BE532" i="3"/>
  <c r="BF532" i="3"/>
  <c r="BG532" i="3"/>
  <c r="BH532" i="3"/>
  <c r="BI532" i="3"/>
  <c r="BJ532" i="3"/>
  <c r="BK532" i="3"/>
  <c r="BM532" i="3"/>
  <c r="BN532" i="3"/>
  <c r="BO532" i="3"/>
  <c r="BP532" i="3"/>
  <c r="BQ532" i="3"/>
  <c r="BS532" i="3"/>
  <c r="BT532" i="3"/>
  <c r="H533" i="3"/>
  <c r="AC533" i="3"/>
  <c r="BC533" i="3"/>
  <c r="BD533" i="3"/>
  <c r="BE533" i="3"/>
  <c r="BF533" i="3"/>
  <c r="BG533" i="3"/>
  <c r="BH533" i="3"/>
  <c r="BI533" i="3"/>
  <c r="BJ533" i="3"/>
  <c r="BK533" i="3"/>
  <c r="BM533" i="3"/>
  <c r="BN533" i="3"/>
  <c r="BO533" i="3"/>
  <c r="BP533" i="3"/>
  <c r="BS533" i="3"/>
  <c r="BT533" i="3"/>
  <c r="H534" i="3"/>
  <c r="AC534" i="3"/>
  <c r="BC534" i="3"/>
  <c r="BD534" i="3"/>
  <c r="BE534" i="3"/>
  <c r="BF534" i="3"/>
  <c r="BG534" i="3"/>
  <c r="BH534" i="3"/>
  <c r="BI534" i="3"/>
  <c r="BJ534" i="3"/>
  <c r="BK534" i="3"/>
  <c r="BM534" i="3"/>
  <c r="BN534" i="3"/>
  <c r="BO534" i="3"/>
  <c r="BP534" i="3"/>
  <c r="BQ534" i="3"/>
  <c r="BS534" i="3"/>
  <c r="BT534" i="3"/>
  <c r="H535" i="3"/>
  <c r="AC535" i="3"/>
  <c r="BC535" i="3"/>
  <c r="BD535" i="3"/>
  <c r="BE535" i="3"/>
  <c r="BF535" i="3"/>
  <c r="BG535" i="3"/>
  <c r="BH535" i="3"/>
  <c r="BI535" i="3"/>
  <c r="BJ535" i="3"/>
  <c r="BK535" i="3"/>
  <c r="BM535" i="3"/>
  <c r="BN535" i="3"/>
  <c r="BO535" i="3"/>
  <c r="BP535" i="3"/>
  <c r="BS535" i="3"/>
  <c r="BT535" i="3"/>
  <c r="H536" i="3"/>
  <c r="AC536" i="3"/>
  <c r="BC536" i="3"/>
  <c r="BD536" i="3"/>
  <c r="BE536" i="3"/>
  <c r="BF536" i="3"/>
  <c r="BG536" i="3"/>
  <c r="BH536" i="3"/>
  <c r="BI536" i="3"/>
  <c r="BJ536" i="3"/>
  <c r="BK536" i="3"/>
  <c r="BM536" i="3"/>
  <c r="BN536" i="3"/>
  <c r="BO536" i="3"/>
  <c r="BP536" i="3"/>
  <c r="BQ536" i="3"/>
  <c r="BS536" i="3"/>
  <c r="BT536" i="3"/>
  <c r="H537" i="3"/>
  <c r="AC537" i="3"/>
  <c r="BC537" i="3"/>
  <c r="BD537" i="3"/>
  <c r="BE537" i="3"/>
  <c r="BF537" i="3"/>
  <c r="BG537" i="3"/>
  <c r="BH537" i="3"/>
  <c r="BI537" i="3"/>
  <c r="BJ537" i="3"/>
  <c r="BK537" i="3"/>
  <c r="BM537" i="3"/>
  <c r="BN537" i="3"/>
  <c r="BO537" i="3"/>
  <c r="BP537" i="3"/>
  <c r="BS537" i="3"/>
  <c r="BT537" i="3"/>
  <c r="H538" i="3"/>
  <c r="AC538" i="3"/>
  <c r="BC538" i="3"/>
  <c r="BD538" i="3"/>
  <c r="BE538" i="3"/>
  <c r="BF538" i="3"/>
  <c r="BG538" i="3"/>
  <c r="BH538" i="3"/>
  <c r="BI538" i="3"/>
  <c r="BJ538" i="3"/>
  <c r="BK538" i="3"/>
  <c r="BM538" i="3"/>
  <c r="BN538" i="3"/>
  <c r="BO538" i="3"/>
  <c r="BP538" i="3"/>
  <c r="BQ538" i="3"/>
  <c r="BS538" i="3"/>
  <c r="BT538" i="3"/>
  <c r="H539" i="3"/>
  <c r="AC539" i="3"/>
  <c r="BC539" i="3"/>
  <c r="BD539" i="3"/>
  <c r="BE539" i="3"/>
  <c r="BF539" i="3"/>
  <c r="BG539" i="3"/>
  <c r="BH539" i="3"/>
  <c r="BI539" i="3"/>
  <c r="BJ539" i="3"/>
  <c r="BK539" i="3"/>
  <c r="BM539" i="3"/>
  <c r="BN539" i="3"/>
  <c r="BO539" i="3"/>
  <c r="BP539" i="3"/>
  <c r="BS539" i="3"/>
  <c r="BT539" i="3"/>
  <c r="H540" i="3"/>
  <c r="AC540" i="3"/>
  <c r="BC540" i="3"/>
  <c r="BD540" i="3"/>
  <c r="BE540" i="3"/>
  <c r="BF540" i="3"/>
  <c r="BG540" i="3"/>
  <c r="BH540" i="3"/>
  <c r="BI540" i="3"/>
  <c r="BJ540" i="3"/>
  <c r="BK540" i="3"/>
  <c r="BM540" i="3"/>
  <c r="BN540" i="3"/>
  <c r="BO540" i="3"/>
  <c r="BP540" i="3"/>
  <c r="BQ540" i="3"/>
  <c r="BS540" i="3"/>
  <c r="BT540" i="3"/>
  <c r="H541" i="3"/>
  <c r="AC541" i="3"/>
  <c r="BC541" i="3"/>
  <c r="BD541" i="3"/>
  <c r="BE541" i="3"/>
  <c r="BF541" i="3"/>
  <c r="BG541" i="3"/>
  <c r="BH541" i="3"/>
  <c r="BI541" i="3"/>
  <c r="BJ541" i="3"/>
  <c r="BK541" i="3"/>
  <c r="BM541" i="3"/>
  <c r="BN541" i="3"/>
  <c r="BO541" i="3"/>
  <c r="BP541" i="3"/>
  <c r="BS541" i="3"/>
  <c r="BT541" i="3"/>
  <c r="H542" i="3"/>
  <c r="AC542" i="3"/>
  <c r="G542" i="3"/>
  <c r="BC542" i="3"/>
  <c r="BD542" i="3"/>
  <c r="BE542" i="3"/>
  <c r="BF542" i="3"/>
  <c r="BG542" i="3"/>
  <c r="BH542" i="3"/>
  <c r="BI542" i="3"/>
  <c r="BJ542" i="3"/>
  <c r="BK542" i="3"/>
  <c r="BM542" i="3"/>
  <c r="BN542" i="3"/>
  <c r="BO542" i="3"/>
  <c r="BP542" i="3"/>
  <c r="BQ542" i="3"/>
  <c r="BS542" i="3"/>
  <c r="BT542" i="3"/>
  <c r="H543" i="3"/>
  <c r="AC543" i="3"/>
  <c r="BC543" i="3"/>
  <c r="BD543" i="3"/>
  <c r="BE543" i="3"/>
  <c r="BF543" i="3"/>
  <c r="BG543" i="3"/>
  <c r="BH543" i="3"/>
  <c r="BI543" i="3"/>
  <c r="BJ543" i="3"/>
  <c r="BK543" i="3"/>
  <c r="BM543" i="3"/>
  <c r="BN543" i="3"/>
  <c r="BO543" i="3"/>
  <c r="BP543" i="3"/>
  <c r="BS543" i="3"/>
  <c r="BT543" i="3"/>
  <c r="H544" i="3"/>
  <c r="AC544" i="3"/>
  <c r="BC544" i="3"/>
  <c r="BD544" i="3"/>
  <c r="BE544" i="3"/>
  <c r="BF544" i="3"/>
  <c r="BG544" i="3"/>
  <c r="BH544" i="3"/>
  <c r="BI544" i="3"/>
  <c r="BJ544" i="3"/>
  <c r="BK544" i="3"/>
  <c r="BM544" i="3"/>
  <c r="BN544" i="3"/>
  <c r="BO544" i="3"/>
  <c r="BP544" i="3"/>
  <c r="BQ544" i="3"/>
  <c r="BS544" i="3"/>
  <c r="BT544" i="3"/>
  <c r="H545" i="3"/>
  <c r="AC545" i="3"/>
  <c r="BC545" i="3"/>
  <c r="BD545" i="3"/>
  <c r="BE545" i="3"/>
  <c r="BF545" i="3"/>
  <c r="BG545" i="3"/>
  <c r="BH545" i="3"/>
  <c r="BI545" i="3"/>
  <c r="BJ545" i="3"/>
  <c r="BK545" i="3"/>
  <c r="BM545" i="3"/>
  <c r="BN545" i="3"/>
  <c r="BO545" i="3"/>
  <c r="BP545" i="3"/>
  <c r="BS545" i="3"/>
  <c r="BT545" i="3"/>
  <c r="H546" i="3"/>
  <c r="AC546" i="3"/>
  <c r="BC546" i="3"/>
  <c r="BD546" i="3"/>
  <c r="BE546" i="3"/>
  <c r="BF546" i="3"/>
  <c r="BG546" i="3"/>
  <c r="BH546" i="3"/>
  <c r="BI546" i="3"/>
  <c r="BJ546" i="3"/>
  <c r="BK546" i="3"/>
  <c r="BM546" i="3"/>
  <c r="BN546" i="3"/>
  <c r="BO546" i="3"/>
  <c r="BP546" i="3"/>
  <c r="BQ546" i="3"/>
  <c r="BS546" i="3"/>
  <c r="BT546" i="3"/>
  <c r="H547" i="3"/>
  <c r="AC547" i="3"/>
  <c r="BC547" i="3"/>
  <c r="BD547" i="3"/>
  <c r="BE547" i="3"/>
  <c r="BF547" i="3"/>
  <c r="BG547" i="3"/>
  <c r="BH547" i="3"/>
  <c r="BI547" i="3"/>
  <c r="BJ547" i="3"/>
  <c r="BK547" i="3"/>
  <c r="BM547" i="3"/>
  <c r="BN547" i="3"/>
  <c r="BO547" i="3"/>
  <c r="BP547" i="3"/>
  <c r="BS547" i="3"/>
  <c r="BT547" i="3"/>
  <c r="H548" i="3"/>
  <c r="AC548" i="3"/>
  <c r="BC548" i="3"/>
  <c r="BD548" i="3"/>
  <c r="BE548" i="3"/>
  <c r="BF548" i="3"/>
  <c r="BG548" i="3"/>
  <c r="BH548" i="3"/>
  <c r="BI548" i="3"/>
  <c r="BJ548" i="3"/>
  <c r="BK548" i="3"/>
  <c r="BM548" i="3"/>
  <c r="BN548" i="3"/>
  <c r="BO548" i="3"/>
  <c r="BP548" i="3"/>
  <c r="BQ548" i="3"/>
  <c r="BS548" i="3"/>
  <c r="BT548" i="3"/>
  <c r="H549" i="3"/>
  <c r="AC549" i="3"/>
  <c r="G549" i="3"/>
  <c r="BC549" i="3"/>
  <c r="BD549" i="3"/>
  <c r="BE549" i="3"/>
  <c r="BF549" i="3"/>
  <c r="BG549" i="3"/>
  <c r="BH549" i="3"/>
  <c r="BI549" i="3"/>
  <c r="BJ549" i="3"/>
  <c r="BK549" i="3"/>
  <c r="BM549" i="3"/>
  <c r="BN549" i="3"/>
  <c r="BO549" i="3"/>
  <c r="BP549" i="3"/>
  <c r="BS549" i="3"/>
  <c r="BT549" i="3"/>
  <c r="H550" i="3"/>
  <c r="AC550" i="3"/>
  <c r="G550" i="3"/>
  <c r="BC550" i="3"/>
  <c r="BD550" i="3"/>
  <c r="BE550" i="3"/>
  <c r="BF550" i="3"/>
  <c r="BG550" i="3"/>
  <c r="BH550" i="3"/>
  <c r="BI550" i="3"/>
  <c r="BJ550" i="3"/>
  <c r="BK550" i="3"/>
  <c r="BM550" i="3"/>
  <c r="BN550" i="3"/>
  <c r="BO550" i="3"/>
  <c r="BP550" i="3"/>
  <c r="BQ550" i="3"/>
  <c r="BS550" i="3"/>
  <c r="BT550" i="3"/>
  <c r="BL550" i="3"/>
  <c r="H551" i="3"/>
  <c r="AC551" i="3"/>
  <c r="G551" i="3"/>
  <c r="BC551" i="3"/>
  <c r="BD551" i="3"/>
  <c r="BE551" i="3"/>
  <c r="BF551" i="3"/>
  <c r="BG551" i="3"/>
  <c r="BH551" i="3"/>
  <c r="BI551" i="3"/>
  <c r="BJ551" i="3"/>
  <c r="BK551" i="3"/>
  <c r="BM551" i="3"/>
  <c r="BN551" i="3"/>
  <c r="BO551" i="3"/>
  <c r="BP551" i="3"/>
  <c r="BS551" i="3"/>
  <c r="BT551" i="3"/>
  <c r="H552" i="3"/>
  <c r="AC552" i="3"/>
  <c r="G552" i="3"/>
  <c r="BC552" i="3"/>
  <c r="BD552" i="3"/>
  <c r="BE552" i="3"/>
  <c r="BF552" i="3"/>
  <c r="BG552" i="3"/>
  <c r="BH552" i="3"/>
  <c r="BI552" i="3"/>
  <c r="BJ552" i="3"/>
  <c r="BK552" i="3"/>
  <c r="BA552" i="3"/>
  <c r="BM552" i="3"/>
  <c r="BN552" i="3"/>
  <c r="BO552" i="3"/>
  <c r="BP552" i="3"/>
  <c r="BQ552" i="3"/>
  <c r="BS552" i="3"/>
  <c r="BT552" i="3"/>
  <c r="BL552" i="3"/>
  <c r="H553" i="3"/>
  <c r="AC553" i="3"/>
  <c r="G553" i="3"/>
  <c r="BC553" i="3"/>
  <c r="BD553" i="3"/>
  <c r="BE553" i="3"/>
  <c r="BF553" i="3"/>
  <c r="BG553" i="3"/>
  <c r="BH553" i="3"/>
  <c r="BI553" i="3"/>
  <c r="BJ553" i="3"/>
  <c r="BK553" i="3"/>
  <c r="BM553" i="3"/>
  <c r="BN553" i="3"/>
  <c r="BO553" i="3"/>
  <c r="BP553" i="3"/>
  <c r="BS553" i="3"/>
  <c r="BT553" i="3"/>
  <c r="H554" i="3"/>
  <c r="AC554" i="3"/>
  <c r="BC554" i="3"/>
  <c r="BD554" i="3"/>
  <c r="BE554" i="3"/>
  <c r="BF554" i="3"/>
  <c r="BG554" i="3"/>
  <c r="BH554" i="3"/>
  <c r="BI554" i="3"/>
  <c r="BJ554" i="3"/>
  <c r="BK554" i="3"/>
  <c r="BM554" i="3"/>
  <c r="BN554" i="3"/>
  <c r="BO554" i="3"/>
  <c r="BP554" i="3"/>
  <c r="BQ554" i="3"/>
  <c r="BS554" i="3"/>
  <c r="BT554" i="3"/>
  <c r="BL554" i="3"/>
  <c r="H555" i="3"/>
  <c r="AC555" i="3"/>
  <c r="BC555" i="3"/>
  <c r="BD555" i="3"/>
  <c r="BE555" i="3"/>
  <c r="BF555" i="3"/>
  <c r="BG555" i="3"/>
  <c r="BH555" i="3"/>
  <c r="BI555" i="3"/>
  <c r="BJ555" i="3"/>
  <c r="BK555" i="3"/>
  <c r="BM555" i="3"/>
  <c r="BN555" i="3"/>
  <c r="BO555" i="3"/>
  <c r="BP555" i="3"/>
  <c r="BS555" i="3"/>
  <c r="BT555" i="3"/>
  <c r="H556" i="3"/>
  <c r="AC556" i="3"/>
  <c r="G556" i="3"/>
  <c r="BC556" i="3"/>
  <c r="BD556" i="3"/>
  <c r="BE556" i="3"/>
  <c r="BF556" i="3"/>
  <c r="BG556" i="3"/>
  <c r="BH556" i="3"/>
  <c r="BI556" i="3"/>
  <c r="BJ556" i="3"/>
  <c r="BK556" i="3"/>
  <c r="BM556" i="3"/>
  <c r="BN556" i="3"/>
  <c r="BO556" i="3"/>
  <c r="BP556" i="3"/>
  <c r="BQ556" i="3"/>
  <c r="BS556" i="3"/>
  <c r="BT556" i="3"/>
  <c r="H557" i="3"/>
  <c r="BC557" i="3"/>
  <c r="BD557" i="3"/>
  <c r="BE557" i="3"/>
  <c r="BF557" i="3"/>
  <c r="BG557" i="3"/>
  <c r="BH557" i="3"/>
  <c r="BI557" i="3"/>
  <c r="BJ557" i="3"/>
  <c r="BK557" i="3"/>
  <c r="BM557" i="3"/>
  <c r="BN557" i="3"/>
  <c r="BO557" i="3"/>
  <c r="BP557" i="3"/>
  <c r="BS557" i="3"/>
  <c r="BT557" i="3"/>
  <c r="H558" i="3"/>
  <c r="AC558" i="3"/>
  <c r="G558" i="3"/>
  <c r="BC558" i="3"/>
  <c r="BD558" i="3"/>
  <c r="BE558" i="3"/>
  <c r="BF558" i="3"/>
  <c r="BG558" i="3"/>
  <c r="BH558" i="3"/>
  <c r="BI558" i="3"/>
  <c r="BJ558" i="3"/>
  <c r="BK558" i="3"/>
  <c r="BM558" i="3"/>
  <c r="BN558" i="3"/>
  <c r="BO558" i="3"/>
  <c r="BP558" i="3"/>
  <c r="BQ558" i="3"/>
  <c r="BS558" i="3"/>
  <c r="BT558" i="3"/>
  <c r="H559" i="3"/>
  <c r="AC559" i="3"/>
  <c r="BC559" i="3"/>
  <c r="BD559" i="3"/>
  <c r="BE559" i="3"/>
  <c r="BF559" i="3"/>
  <c r="BG559" i="3"/>
  <c r="BH559" i="3"/>
  <c r="BI559" i="3"/>
  <c r="BJ559" i="3"/>
  <c r="BK559" i="3"/>
  <c r="BM559" i="3"/>
  <c r="BN559" i="3"/>
  <c r="BO559" i="3"/>
  <c r="BP559" i="3"/>
  <c r="BS559" i="3"/>
  <c r="BT559" i="3"/>
  <c r="H560" i="3"/>
  <c r="AC560" i="3"/>
  <c r="BC560" i="3"/>
  <c r="BD560" i="3"/>
  <c r="BE560" i="3"/>
  <c r="BF560" i="3"/>
  <c r="BG560" i="3"/>
  <c r="BH560" i="3"/>
  <c r="BI560" i="3"/>
  <c r="BJ560" i="3"/>
  <c r="BK560" i="3"/>
  <c r="BM560" i="3"/>
  <c r="BN560" i="3"/>
  <c r="BO560" i="3"/>
  <c r="BP560" i="3"/>
  <c r="BQ560" i="3"/>
  <c r="BS560" i="3"/>
  <c r="BT560" i="3"/>
  <c r="H561" i="3"/>
  <c r="AC561" i="3"/>
  <c r="BC561" i="3"/>
  <c r="BD561" i="3"/>
  <c r="BE561" i="3"/>
  <c r="BF561" i="3"/>
  <c r="BG561" i="3"/>
  <c r="BH561" i="3"/>
  <c r="BI561" i="3"/>
  <c r="BJ561" i="3"/>
  <c r="BK561" i="3"/>
  <c r="BM561" i="3"/>
  <c r="BN561" i="3"/>
  <c r="BO561" i="3"/>
  <c r="BP561" i="3"/>
  <c r="BS561" i="3"/>
  <c r="BT561" i="3"/>
  <c r="H562" i="3"/>
  <c r="AC562" i="3"/>
  <c r="G562" i="3"/>
  <c r="BC562" i="3"/>
  <c r="BD562" i="3"/>
  <c r="BE562" i="3"/>
  <c r="BF562" i="3"/>
  <c r="BG562" i="3"/>
  <c r="BH562" i="3"/>
  <c r="BI562" i="3"/>
  <c r="BJ562" i="3"/>
  <c r="BK562" i="3"/>
  <c r="BM562" i="3"/>
  <c r="BN562" i="3"/>
  <c r="BO562" i="3"/>
  <c r="BP562" i="3"/>
  <c r="BQ562" i="3"/>
  <c r="BS562" i="3"/>
  <c r="BT562" i="3"/>
  <c r="H563" i="3"/>
  <c r="AC563" i="3"/>
  <c r="BC563" i="3"/>
  <c r="BD563" i="3"/>
  <c r="BE563" i="3"/>
  <c r="BF563" i="3"/>
  <c r="BG563" i="3"/>
  <c r="BH563" i="3"/>
  <c r="BI563" i="3"/>
  <c r="BJ563" i="3"/>
  <c r="BK563" i="3"/>
  <c r="BM563" i="3"/>
  <c r="BN563" i="3"/>
  <c r="BO563" i="3"/>
  <c r="BP563" i="3"/>
  <c r="BS563" i="3"/>
  <c r="BT563" i="3"/>
  <c r="H564" i="3"/>
  <c r="AC564" i="3"/>
  <c r="BC564" i="3"/>
  <c r="BD564" i="3"/>
  <c r="BE564" i="3"/>
  <c r="BF564" i="3"/>
  <c r="BG564" i="3"/>
  <c r="BH564" i="3"/>
  <c r="BI564" i="3"/>
  <c r="BJ564" i="3"/>
  <c r="BK564" i="3"/>
  <c r="BM564" i="3"/>
  <c r="BN564" i="3"/>
  <c r="BO564" i="3"/>
  <c r="BP564" i="3"/>
  <c r="BQ564" i="3"/>
  <c r="BS564" i="3"/>
  <c r="BT564" i="3"/>
  <c r="H565" i="3"/>
  <c r="AC565" i="3"/>
  <c r="BC565" i="3"/>
  <c r="BD565" i="3"/>
  <c r="BE565" i="3"/>
  <c r="BF565" i="3"/>
  <c r="BG565" i="3"/>
  <c r="BH565" i="3"/>
  <c r="BI565" i="3"/>
  <c r="BJ565" i="3"/>
  <c r="BK565" i="3"/>
  <c r="BM565" i="3"/>
  <c r="BN565" i="3"/>
  <c r="BO565" i="3"/>
  <c r="BP565" i="3"/>
  <c r="BS565" i="3"/>
  <c r="BT565" i="3"/>
  <c r="H566" i="3"/>
  <c r="AC566" i="3"/>
  <c r="G566" i="3"/>
  <c r="BC566" i="3"/>
  <c r="BD566" i="3"/>
  <c r="BE566" i="3"/>
  <c r="BF566" i="3"/>
  <c r="BG566" i="3"/>
  <c r="BH566" i="3"/>
  <c r="BI566" i="3"/>
  <c r="BJ566" i="3"/>
  <c r="BK566" i="3"/>
  <c r="BM566" i="3"/>
  <c r="BN566" i="3"/>
  <c r="BO566" i="3"/>
  <c r="BP566" i="3"/>
  <c r="BQ566" i="3"/>
  <c r="BS566" i="3"/>
  <c r="BT566" i="3"/>
  <c r="H567" i="3"/>
  <c r="AC567" i="3"/>
  <c r="BC567" i="3"/>
  <c r="BD567" i="3"/>
  <c r="BE567" i="3"/>
  <c r="BF567" i="3"/>
  <c r="BG567" i="3"/>
  <c r="BH567" i="3"/>
  <c r="BI567" i="3"/>
  <c r="BJ567" i="3"/>
  <c r="BK567" i="3"/>
  <c r="BM567" i="3"/>
  <c r="BN567" i="3"/>
  <c r="BO567" i="3"/>
  <c r="BP567" i="3"/>
  <c r="BS567" i="3"/>
  <c r="BT567" i="3"/>
  <c r="H568" i="3"/>
  <c r="AC568" i="3"/>
  <c r="BC568" i="3"/>
  <c r="BD568" i="3"/>
  <c r="BE568" i="3"/>
  <c r="BF568" i="3"/>
  <c r="BG568" i="3"/>
  <c r="BH568" i="3"/>
  <c r="BI568" i="3"/>
  <c r="BJ568" i="3"/>
  <c r="BK568" i="3"/>
  <c r="BM568" i="3"/>
  <c r="BN568" i="3"/>
  <c r="BO568" i="3"/>
  <c r="BP568" i="3"/>
  <c r="BQ568" i="3"/>
  <c r="BS568" i="3"/>
  <c r="BT568" i="3"/>
  <c r="H569" i="3"/>
  <c r="AC569" i="3"/>
  <c r="BC569" i="3"/>
  <c r="BD569" i="3"/>
  <c r="BE569" i="3"/>
  <c r="BF569" i="3"/>
  <c r="BG569" i="3"/>
  <c r="BH569" i="3"/>
  <c r="BI569" i="3"/>
  <c r="BJ569" i="3"/>
  <c r="BK569" i="3"/>
  <c r="BM569" i="3"/>
  <c r="BN569" i="3"/>
  <c r="BO569" i="3"/>
  <c r="BP569" i="3"/>
  <c r="BS569" i="3"/>
  <c r="BT569" i="3"/>
  <c r="H570" i="3"/>
  <c r="AC570" i="3"/>
  <c r="G570" i="3"/>
  <c r="BC570" i="3"/>
  <c r="BD570" i="3"/>
  <c r="BE570" i="3"/>
  <c r="BF570" i="3"/>
  <c r="BG570" i="3"/>
  <c r="BH570" i="3"/>
  <c r="BI570" i="3"/>
  <c r="BJ570" i="3"/>
  <c r="BK570" i="3"/>
  <c r="BM570" i="3"/>
  <c r="BN570" i="3"/>
  <c r="BO570" i="3"/>
  <c r="BP570" i="3"/>
  <c r="BQ570" i="3"/>
  <c r="BS570" i="3"/>
  <c r="BT570" i="3"/>
  <c r="BL570" i="3"/>
  <c r="H571" i="3"/>
  <c r="AC571" i="3"/>
  <c r="BC571" i="3"/>
  <c r="BD571" i="3"/>
  <c r="BE571" i="3"/>
  <c r="BF571" i="3"/>
  <c r="BG571" i="3"/>
  <c r="BH571" i="3"/>
  <c r="BI571" i="3"/>
  <c r="BJ571" i="3"/>
  <c r="BK571" i="3"/>
  <c r="BM571" i="3"/>
  <c r="BN571" i="3"/>
  <c r="BO571" i="3"/>
  <c r="BP571" i="3"/>
  <c r="BS571" i="3"/>
  <c r="BT571" i="3"/>
  <c r="H572" i="3"/>
  <c r="AC572" i="3"/>
  <c r="BC572" i="3"/>
  <c r="BD572" i="3"/>
  <c r="BE572" i="3"/>
  <c r="BF572" i="3"/>
  <c r="BG572" i="3"/>
  <c r="BH572" i="3"/>
  <c r="BI572" i="3"/>
  <c r="BJ572" i="3"/>
  <c r="BK572" i="3"/>
  <c r="BA572" i="3"/>
  <c r="BM572" i="3"/>
  <c r="BN572" i="3"/>
  <c r="BO572" i="3"/>
  <c r="BP572" i="3"/>
  <c r="BQ572" i="3"/>
  <c r="BS572" i="3"/>
  <c r="BT572" i="3"/>
  <c r="BL572" i="3"/>
  <c r="H573" i="3"/>
  <c r="AC573" i="3"/>
  <c r="BC573" i="3"/>
  <c r="BD573" i="3"/>
  <c r="BE573" i="3"/>
  <c r="BF573" i="3"/>
  <c r="BG573" i="3"/>
  <c r="BH573" i="3"/>
  <c r="BI573" i="3"/>
  <c r="BJ573" i="3"/>
  <c r="BK573" i="3"/>
  <c r="BM573" i="3"/>
  <c r="BN573" i="3"/>
  <c r="BO573" i="3"/>
  <c r="BP573" i="3"/>
  <c r="BS573" i="3"/>
  <c r="BT573" i="3"/>
  <c r="H574" i="3"/>
  <c r="AC574" i="3"/>
  <c r="G574" i="3"/>
  <c r="BC574" i="3"/>
  <c r="BD574" i="3"/>
  <c r="BE574" i="3"/>
  <c r="BF574" i="3"/>
  <c r="BG574" i="3"/>
  <c r="BH574" i="3"/>
  <c r="BI574" i="3"/>
  <c r="BJ574" i="3"/>
  <c r="BK574" i="3"/>
  <c r="BM574" i="3"/>
  <c r="BN574" i="3"/>
  <c r="BO574" i="3"/>
  <c r="BP574" i="3"/>
  <c r="BQ574" i="3"/>
  <c r="BS574" i="3"/>
  <c r="BT574" i="3"/>
  <c r="H575" i="3"/>
  <c r="AC575" i="3"/>
  <c r="BC575" i="3"/>
  <c r="BD575" i="3"/>
  <c r="BE575" i="3"/>
  <c r="BF575" i="3"/>
  <c r="BG575" i="3"/>
  <c r="BH575" i="3"/>
  <c r="BI575" i="3"/>
  <c r="BJ575" i="3"/>
  <c r="BK575" i="3"/>
  <c r="BA575" i="3"/>
  <c r="BM575" i="3"/>
  <c r="BN575" i="3"/>
  <c r="BO575" i="3"/>
  <c r="BP575" i="3"/>
  <c r="BS575" i="3"/>
  <c r="BT575" i="3"/>
  <c r="H576" i="3"/>
  <c r="AC576" i="3"/>
  <c r="G576" i="3"/>
  <c r="BC576" i="3"/>
  <c r="BD576" i="3"/>
  <c r="BE576" i="3"/>
  <c r="BF576" i="3"/>
  <c r="BG576" i="3"/>
  <c r="BH576" i="3"/>
  <c r="BI576" i="3"/>
  <c r="BJ576" i="3"/>
  <c r="BK576" i="3"/>
  <c r="BA576" i="3"/>
  <c r="BM576" i="3"/>
  <c r="BN576" i="3"/>
  <c r="BO576" i="3"/>
  <c r="BP576" i="3"/>
  <c r="BQ576" i="3"/>
  <c r="BS576" i="3"/>
  <c r="BT576" i="3"/>
  <c r="H577" i="3"/>
  <c r="AC577" i="3"/>
  <c r="G577" i="3"/>
  <c r="BC577" i="3"/>
  <c r="BD577" i="3"/>
  <c r="BE577" i="3"/>
  <c r="BF577" i="3"/>
  <c r="BG577" i="3"/>
  <c r="BH577" i="3"/>
  <c r="BI577" i="3"/>
  <c r="BJ577" i="3"/>
  <c r="BK577" i="3"/>
  <c r="BM577" i="3"/>
  <c r="BN577" i="3"/>
  <c r="BO577" i="3"/>
  <c r="BP577" i="3"/>
  <c r="BS577" i="3"/>
  <c r="BT577" i="3"/>
  <c r="H578" i="3"/>
  <c r="AC578" i="3"/>
  <c r="G578" i="3"/>
  <c r="BC578" i="3"/>
  <c r="BD578" i="3"/>
  <c r="BE578" i="3"/>
  <c r="BF578" i="3"/>
  <c r="BG578" i="3"/>
  <c r="BH578" i="3"/>
  <c r="BI578" i="3"/>
  <c r="BJ578" i="3"/>
  <c r="BK578" i="3"/>
  <c r="BM578" i="3"/>
  <c r="BN578" i="3"/>
  <c r="BO578" i="3"/>
  <c r="BP578" i="3"/>
  <c r="BQ578" i="3"/>
  <c r="BS578" i="3"/>
  <c r="BT578" i="3"/>
  <c r="H579" i="3"/>
  <c r="AC579" i="3"/>
  <c r="G579" i="3"/>
  <c r="BC579" i="3"/>
  <c r="BD579" i="3"/>
  <c r="BE579" i="3"/>
  <c r="BF579" i="3"/>
  <c r="BG579" i="3"/>
  <c r="BH579" i="3"/>
  <c r="BI579" i="3"/>
  <c r="BJ579" i="3"/>
  <c r="BK579" i="3"/>
  <c r="BM579" i="3"/>
  <c r="BN579" i="3"/>
  <c r="BO579" i="3"/>
  <c r="BP579" i="3"/>
  <c r="BS579" i="3"/>
  <c r="BT579" i="3"/>
  <c r="H580" i="3"/>
  <c r="AC580" i="3"/>
  <c r="BC580" i="3"/>
  <c r="BD580" i="3"/>
  <c r="BE580" i="3"/>
  <c r="BF580" i="3"/>
  <c r="BG580" i="3"/>
  <c r="BH580" i="3"/>
  <c r="BI580" i="3"/>
  <c r="BJ580" i="3"/>
  <c r="BK580" i="3"/>
  <c r="BA580" i="3"/>
  <c r="BM580" i="3"/>
  <c r="BN580" i="3"/>
  <c r="BO580" i="3"/>
  <c r="BP580" i="3"/>
  <c r="BQ580" i="3"/>
  <c r="BS580" i="3"/>
  <c r="BT580" i="3"/>
  <c r="H581" i="3"/>
  <c r="AC581" i="3"/>
  <c r="BC581" i="3"/>
  <c r="BD581" i="3"/>
  <c r="BE581" i="3"/>
  <c r="BF581" i="3"/>
  <c r="BG581" i="3"/>
  <c r="BH581" i="3"/>
  <c r="BI581" i="3"/>
  <c r="BJ581" i="3"/>
  <c r="BK581" i="3"/>
  <c r="BA581" i="3"/>
  <c r="BM581" i="3"/>
  <c r="BN581" i="3"/>
  <c r="BO581" i="3"/>
  <c r="BP581" i="3"/>
  <c r="BS581" i="3"/>
  <c r="BT581" i="3"/>
  <c r="H582" i="3"/>
  <c r="AC582" i="3"/>
  <c r="G582" i="3"/>
  <c r="BC582" i="3"/>
  <c r="BD582" i="3"/>
  <c r="BE582" i="3"/>
  <c r="BF582" i="3"/>
  <c r="BG582" i="3"/>
  <c r="BH582" i="3"/>
  <c r="BI582" i="3"/>
  <c r="BJ582" i="3"/>
  <c r="BK582" i="3"/>
  <c r="BM582" i="3"/>
  <c r="BN582" i="3"/>
  <c r="BO582" i="3"/>
  <c r="BP582" i="3"/>
  <c r="BQ582" i="3"/>
  <c r="BS582" i="3"/>
  <c r="BT582" i="3"/>
  <c r="H583" i="3"/>
  <c r="AC583" i="3"/>
  <c r="BC583" i="3"/>
  <c r="BD583" i="3"/>
  <c r="BE583" i="3"/>
  <c r="BF583" i="3"/>
  <c r="BG583" i="3"/>
  <c r="BH583" i="3"/>
  <c r="BI583" i="3"/>
  <c r="BJ583" i="3"/>
  <c r="BK583" i="3"/>
  <c r="BM583" i="3"/>
  <c r="BN583" i="3"/>
  <c r="BO583" i="3"/>
  <c r="BP583" i="3"/>
  <c r="BS583" i="3"/>
  <c r="BT583" i="3"/>
  <c r="H584" i="3"/>
  <c r="AC584" i="3"/>
  <c r="BC584" i="3"/>
  <c r="BD584" i="3"/>
  <c r="BE584" i="3"/>
  <c r="BF584" i="3"/>
  <c r="BG584" i="3"/>
  <c r="BH584" i="3"/>
  <c r="BI584" i="3"/>
  <c r="BJ584" i="3"/>
  <c r="BK584" i="3"/>
  <c r="BM584" i="3"/>
  <c r="BN584" i="3"/>
  <c r="BO584" i="3"/>
  <c r="BP584" i="3"/>
  <c r="BQ584" i="3"/>
  <c r="BS584" i="3"/>
  <c r="BT584" i="3"/>
  <c r="H7" i="12"/>
  <c r="I7" i="12"/>
  <c r="J7" i="12"/>
  <c r="K7" i="12"/>
  <c r="H111" i="21"/>
  <c r="B110" i="39"/>
  <c r="B112" i="39"/>
  <c r="J30" i="36"/>
  <c r="W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AA8" i="40"/>
  <c r="J38" i="39"/>
  <c r="W38" i="39"/>
  <c r="H38" i="39"/>
  <c r="AB38" i="39"/>
  <c r="F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F25" i="37"/>
  <c r="AA25" i="37"/>
  <c r="H25" i="37"/>
  <c r="U25" i="37"/>
  <c r="B110" i="37"/>
  <c r="J39" i="37"/>
  <c r="AC39" i="37"/>
  <c r="B108" i="37"/>
  <c r="C23" i="37"/>
  <c r="C19" i="37"/>
  <c r="C17" i="37"/>
  <c r="C15" i="37"/>
  <c r="B112" i="37"/>
  <c r="D107" i="37"/>
  <c r="E107" i="37"/>
  <c r="F107" i="37"/>
  <c r="G107" i="37"/>
  <c r="D105" i="37"/>
  <c r="E105" i="37"/>
  <c r="D103" i="37"/>
  <c r="J35" i="37"/>
  <c r="W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H27" i="37"/>
  <c r="U27" i="37"/>
  <c r="B82"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B57" i="35"/>
  <c r="B61" i="35"/>
  <c r="J13" i="35"/>
  <c r="B59" i="35"/>
  <c r="B131" i="34"/>
  <c r="B129" i="34"/>
  <c r="B127" i="34"/>
  <c r="J45" i="34"/>
  <c r="B99" i="34"/>
  <c r="B97" i="34"/>
  <c r="B95" i="34"/>
  <c r="B93" i="34"/>
  <c r="B75" i="34"/>
  <c r="B73" i="34"/>
  <c r="B71" i="34"/>
  <c r="H12" i="34"/>
  <c r="B130" i="33"/>
  <c r="B128" i="33"/>
  <c r="B126" i="33"/>
  <c r="B98" i="33"/>
  <c r="B96" i="33"/>
  <c r="F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Q11" i="34"/>
  <c r="Z11" i="34"/>
  <c r="Q10" i="34"/>
  <c r="Z10" i="34"/>
  <c r="F10" i="34"/>
  <c r="AA10" i="34"/>
  <c r="Q9" i="34"/>
  <c r="Z9" i="34"/>
  <c r="J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D85" i="21"/>
  <c r="E81" i="21"/>
  <c r="F19" i="21"/>
  <c r="AA19" i="21"/>
  <c r="H19" i="21"/>
  <c r="D77" i="21"/>
  <c r="E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E19" i="6"/>
  <c r="J5" i="3"/>
  <c r="BE10" i="3"/>
  <c r="BC585" i="3"/>
  <c r="BD585" i="3"/>
  <c r="BE585" i="3"/>
  <c r="BF585" i="3"/>
  <c r="BG585" i="3"/>
  <c r="BH585" i="3"/>
  <c r="BI585" i="3"/>
  <c r="BJ585" i="3"/>
  <c r="BK585" i="3"/>
  <c r="BM585" i="3"/>
  <c r="BN585" i="3"/>
  <c r="BO585" i="3"/>
  <c r="BP585" i="3"/>
  <c r="BQ585" i="3"/>
  <c r="BS585" i="3"/>
  <c r="BT585" i="3"/>
  <c r="BC586" i="3"/>
  <c r="BD586" i="3"/>
  <c r="BE586" i="3"/>
  <c r="BF586" i="3"/>
  <c r="BG586" i="3"/>
  <c r="BH586" i="3"/>
  <c r="BI586" i="3"/>
  <c r="BJ586" i="3"/>
  <c r="BK586" i="3"/>
  <c r="BM586" i="3"/>
  <c r="BN586" i="3"/>
  <c r="BO586" i="3"/>
  <c r="BP586" i="3"/>
  <c r="BQ586" i="3"/>
  <c r="BS586" i="3"/>
  <c r="BT586" i="3"/>
  <c r="BL586" i="3"/>
  <c r="BC587" i="3"/>
  <c r="BD587" i="3"/>
  <c r="BE587" i="3"/>
  <c r="BF587" i="3"/>
  <c r="BG587" i="3"/>
  <c r="BH587" i="3"/>
  <c r="BI587" i="3"/>
  <c r="BJ587" i="3"/>
  <c r="BK587" i="3"/>
  <c r="BM587" i="3"/>
  <c r="BN587" i="3"/>
  <c r="BO587" i="3"/>
  <c r="BP587" i="3"/>
  <c r="BQ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c r="C11" i="21"/>
  <c r="H11" i="21"/>
  <c r="U11" i="21"/>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J19" i="21"/>
  <c r="W19" i="21"/>
  <c r="J12" i="21"/>
  <c r="AC12" i="21"/>
  <c r="H12" i="21"/>
  <c r="AB12" i="21"/>
  <c r="J26" i="21"/>
  <c r="W26" i="21"/>
  <c r="F26" i="21"/>
  <c r="S26" i="21"/>
  <c r="AB41" i="21"/>
  <c r="S41" i="21"/>
  <c r="AA41" i="21"/>
  <c r="F45" i="39"/>
  <c r="S45" i="39"/>
  <c r="J45" i="39"/>
  <c r="F36" i="39"/>
  <c r="S36" i="39"/>
  <c r="H36" i="39"/>
  <c r="AB36" i="39"/>
  <c r="J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J33" i="36"/>
  <c r="W33" i="36"/>
  <c r="H22" i="35"/>
  <c r="AB22" i="35"/>
  <c r="AC27" i="35"/>
  <c r="W28" i="35"/>
  <c r="U31" i="35"/>
  <c r="W36" i="35"/>
  <c r="W22" i="35"/>
  <c r="S31" i="35"/>
  <c r="F36" i="34"/>
  <c r="J35" i="34"/>
  <c r="U34" i="34"/>
  <c r="H39" i="33"/>
  <c r="AB39" i="33"/>
  <c r="F26" i="33"/>
  <c r="AA26" i="33"/>
  <c r="U33" i="33"/>
  <c r="U35" i="33"/>
  <c r="S40" i="33"/>
  <c r="W39" i="33"/>
  <c r="H39" i="37"/>
  <c r="AB39" i="37"/>
  <c r="S27" i="35"/>
  <c r="F11" i="40"/>
  <c r="AA11" i="40"/>
  <c r="H11" i="40"/>
  <c r="AB11" i="40"/>
  <c r="AB39" i="40"/>
  <c r="AA9" i="40"/>
  <c r="AC9" i="40"/>
  <c r="S34" i="40"/>
  <c r="W31" i="40"/>
  <c r="F42" i="39"/>
  <c r="AA42" i="39"/>
  <c r="F41" i="39"/>
  <c r="S41" i="39"/>
  <c r="H40" i="39"/>
  <c r="AB40" i="39"/>
  <c r="H39" i="39"/>
  <c r="U39"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J27" i="39"/>
  <c r="AC27" i="39"/>
  <c r="F27" i="39"/>
  <c r="S40" i="21"/>
  <c r="U34" i="21"/>
  <c r="C25" i="39"/>
  <c r="C27" i="39"/>
  <c r="C21" i="39"/>
  <c r="S40" i="39"/>
  <c r="C15" i="39"/>
  <c r="H32" i="33"/>
  <c r="AB32" i="33"/>
  <c r="H37" i="40"/>
  <c r="U37" i="40"/>
  <c r="H36" i="40"/>
  <c r="AB36" i="40"/>
  <c r="F35" i="40"/>
  <c r="AA35" i="40"/>
  <c r="H23" i="40"/>
  <c r="AB23" i="40"/>
  <c r="H17" i="40"/>
  <c r="U17" i="40"/>
  <c r="J15" i="40"/>
  <c r="W15" i="40"/>
  <c r="J11" i="40"/>
  <c r="W11" i="40"/>
  <c r="AB8" i="39"/>
  <c r="AC12" i="34"/>
  <c r="AB12" i="35"/>
  <c r="F37" i="39"/>
  <c r="AA37" i="39"/>
  <c r="J34" i="36"/>
  <c r="W34" i="36"/>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F25" i="34"/>
  <c r="S25" i="34"/>
  <c r="H23" i="34"/>
  <c r="AB23" i="34"/>
  <c r="U23" i="34"/>
  <c r="J23" i="34"/>
  <c r="F19" i="34"/>
  <c r="H17" i="34"/>
  <c r="U17" i="34"/>
  <c r="F15" i="34"/>
  <c r="J15" i="34"/>
  <c r="H15" i="34"/>
  <c r="AB15" i="34"/>
  <c r="S9" i="34"/>
  <c r="W8" i="34"/>
  <c r="J28" i="34"/>
  <c r="W28" i="34"/>
  <c r="F41" i="33"/>
  <c r="AA41" i="33"/>
  <c r="S38" i="33"/>
  <c r="E113" i="33"/>
  <c r="F113" i="33"/>
  <c r="F32" i="33"/>
  <c r="AA32" i="33"/>
  <c r="J19" i="33"/>
  <c r="AC19" i="33"/>
  <c r="J15" i="33"/>
  <c r="AC15" i="33"/>
  <c r="F11" i="33"/>
  <c r="AA11" i="33"/>
  <c r="S26" i="33"/>
  <c r="U40" i="33"/>
  <c r="W40" i="33"/>
  <c r="U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AC44" i="34"/>
  <c r="F44" i="34"/>
  <c r="AA44" i="34"/>
  <c r="J10" i="35"/>
  <c r="W10" i="35"/>
  <c r="J14" i="21"/>
  <c r="W14" i="21"/>
  <c r="F14" i="21"/>
  <c r="S14" i="21"/>
  <c r="H14" i="21"/>
  <c r="U14" i="21"/>
  <c r="H28" i="21"/>
  <c r="AB28" i="21"/>
  <c r="F28" i="21"/>
  <c r="AA28" i="21"/>
  <c r="J28" i="21"/>
  <c r="W28" i="21"/>
  <c r="H30" i="21"/>
  <c r="AB30" i="21"/>
  <c r="U30" i="21"/>
  <c r="F30" i="21"/>
  <c r="S30" i="21"/>
  <c r="J30" i="21"/>
  <c r="AC30"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W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W11" i="35"/>
  <c r="AC11" i="35"/>
  <c r="F11" i="35"/>
  <c r="S11" i="35"/>
  <c r="J26" i="36"/>
  <c r="W26" i="36"/>
  <c r="H28" i="36"/>
  <c r="U28" i="36"/>
  <c r="H32" i="36"/>
  <c r="AB32" i="36"/>
  <c r="J32" i="36"/>
  <c r="W32" i="36"/>
  <c r="J11" i="36"/>
  <c r="AC11" i="36"/>
  <c r="H11" i="36"/>
  <c r="U11" i="36"/>
  <c r="F11" i="36"/>
  <c r="AA11" i="36"/>
  <c r="H13" i="36"/>
  <c r="AB13" i="36"/>
  <c r="J13" i="36"/>
  <c r="F13" i="36"/>
  <c r="S13" i="36"/>
  <c r="F89" i="37"/>
  <c r="G89" i="37"/>
  <c r="H89" i="37"/>
  <c r="I89" i="37"/>
  <c r="J89" i="37"/>
  <c r="K89" i="37"/>
  <c r="L89" i="37"/>
  <c r="M89" i="37"/>
  <c r="J29" i="37"/>
  <c r="W29" i="37"/>
  <c r="F29" i="37"/>
  <c r="S29" i="37"/>
  <c r="F105" i="37"/>
  <c r="H36" i="37"/>
  <c r="AB36" i="37"/>
  <c r="J37" i="37"/>
  <c r="AC37" i="37"/>
  <c r="H37" i="37"/>
  <c r="U37" i="37"/>
  <c r="H40" i="37"/>
  <c r="U40" i="37"/>
  <c r="J40" i="37"/>
  <c r="AC40" i="37"/>
  <c r="F40" i="37"/>
  <c r="AA40" i="37"/>
  <c r="AC12" i="40"/>
  <c r="W12" i="40"/>
  <c r="H14" i="33"/>
  <c r="U14" i="33"/>
  <c r="F14" i="33"/>
  <c r="S14" i="33"/>
  <c r="J14" i="33"/>
  <c r="H30" i="33"/>
  <c r="AB30" i="33"/>
  <c r="J30" i="33"/>
  <c r="H44" i="33"/>
  <c r="J44" i="33"/>
  <c r="AC44" i="33"/>
  <c r="F44" i="33"/>
  <c r="AA44" i="33"/>
  <c r="S44" i="33"/>
  <c r="F46" i="33"/>
  <c r="AA46" i="33"/>
  <c r="H13" i="34"/>
  <c r="U13" i="34"/>
  <c r="J13" i="34"/>
  <c r="W13" i="34"/>
  <c r="F13" i="34"/>
  <c r="AA13" i="34"/>
  <c r="H29" i="34"/>
  <c r="AB29" i="34"/>
  <c r="J31" i="34"/>
  <c r="AC31" i="34"/>
  <c r="H31" i="34"/>
  <c r="AB31" i="34"/>
  <c r="F31" i="34"/>
  <c r="S31" i="34"/>
  <c r="H45" i="34"/>
  <c r="U45" i="34"/>
  <c r="W45" i="34"/>
  <c r="F45" i="34"/>
  <c r="S45" i="34"/>
  <c r="H47" i="34"/>
  <c r="U47" i="34"/>
  <c r="F47" i="34"/>
  <c r="S47" i="34"/>
  <c r="J47" i="34"/>
  <c r="AC47" i="34"/>
  <c r="F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AA12" i="40"/>
  <c r="H12" i="40"/>
  <c r="AB12" i="40"/>
  <c r="H30" i="40"/>
  <c r="AB30" i="40"/>
  <c r="H33" i="40"/>
  <c r="U33" i="40"/>
  <c r="J35" i="40"/>
  <c r="AC35" i="40"/>
  <c r="J37" i="40"/>
  <c r="AC37" i="40"/>
  <c r="J13" i="40"/>
  <c r="W13" i="40"/>
  <c r="F14" i="37"/>
  <c r="AA14" i="37"/>
  <c r="F27" i="37"/>
  <c r="AA27" i="37"/>
  <c r="F13" i="39"/>
  <c r="J13" i="39"/>
  <c r="W13" i="39"/>
  <c r="H13" i="39"/>
  <c r="H14" i="40"/>
  <c r="AB14" i="40"/>
  <c r="J14" i="40"/>
  <c r="W14" i="40"/>
  <c r="F14" i="40"/>
  <c r="AA14" i="40"/>
  <c r="J27" i="37"/>
  <c r="AC27" i="37"/>
  <c r="AA14" i="33"/>
  <c r="J36" i="37"/>
  <c r="AC36" i="37"/>
  <c r="G105" i="37"/>
  <c r="AB11" i="36"/>
  <c r="J10" i="36"/>
  <c r="AC10" i="36"/>
  <c r="AB26" i="33"/>
  <c r="W31" i="34"/>
  <c r="S11" i="36"/>
  <c r="W11" i="36"/>
  <c r="AC30" i="34"/>
  <c r="AA14" i="34"/>
  <c r="S45" i="33"/>
  <c r="AB31" i="33"/>
  <c r="U31" i="33"/>
  <c r="AC28" i="21"/>
  <c r="S44" i="34"/>
  <c r="F15" i="21"/>
  <c r="S15" i="21"/>
  <c r="J41" i="39"/>
  <c r="W41" i="39"/>
  <c r="W36" i="39"/>
  <c r="U36" i="39"/>
  <c r="G544" i="3"/>
  <c r="G540" i="3"/>
  <c r="G536" i="3"/>
  <c r="G535" i="3"/>
  <c r="G532" i="3"/>
  <c r="G531" i="3"/>
  <c r="G528" i="3"/>
  <c r="G527" i="3"/>
  <c r="G523" i="3"/>
  <c r="G514" i="3"/>
  <c r="G508" i="3"/>
  <c r="G504" i="3"/>
  <c r="G500" i="3"/>
  <c r="G584" i="3"/>
  <c r="G580" i="3"/>
  <c r="G572" i="3"/>
  <c r="G568" i="3"/>
  <c r="G564" i="3"/>
  <c r="G560" i="3"/>
  <c r="G554" i="3"/>
  <c r="BL584" i="3"/>
  <c r="BL568" i="3"/>
  <c r="BL564" i="3"/>
  <c r="BL560" i="3"/>
  <c r="BL546" i="3"/>
  <c r="BA546" i="3"/>
  <c r="AZ546" i="3"/>
  <c r="BL542" i="3"/>
  <c r="BL538" i="3"/>
  <c r="BL534" i="3"/>
  <c r="BL530" i="3"/>
  <c r="BL526" i="3"/>
  <c r="BL498" i="3"/>
  <c r="BL494" i="3"/>
  <c r="BL574" i="3"/>
  <c r="BL566" i="3"/>
  <c r="BL562" i="3"/>
  <c r="BL556" i="3"/>
  <c r="BA556" i="3"/>
  <c r="AZ556" i="3"/>
  <c r="BL544" i="3"/>
  <c r="BL540" i="3"/>
  <c r="BL536" i="3"/>
  <c r="BA536" i="3"/>
  <c r="AZ536" i="3"/>
  <c r="G533" i="3"/>
  <c r="BL532" i="3"/>
  <c r="G529" i="3"/>
  <c r="BL528" i="3"/>
  <c r="BL514" i="3"/>
  <c r="BL496" i="3"/>
  <c r="G493" i="3"/>
  <c r="BA568" i="3"/>
  <c r="BA566" i="3"/>
  <c r="AZ566" i="3"/>
  <c r="BA564" i="3"/>
  <c r="AZ564" i="3"/>
  <c r="BA562" i="3"/>
  <c r="AZ562" i="3"/>
  <c r="BA560" i="3"/>
  <c r="AZ560" i="3"/>
  <c r="BA558" i="3"/>
  <c r="BL558" i="3"/>
  <c r="AZ558" i="3"/>
  <c r="BA548" i="3"/>
  <c r="BA544" i="3"/>
  <c r="AZ544" i="3"/>
  <c r="BA542" i="3"/>
  <c r="AZ542" i="3"/>
  <c r="BA540" i="3"/>
  <c r="AZ540" i="3"/>
  <c r="BA538" i="3"/>
  <c r="AZ538" i="3"/>
  <c r="BA534" i="3"/>
  <c r="AZ534" i="3"/>
  <c r="BA532" i="3"/>
  <c r="AZ532" i="3"/>
  <c r="BA530" i="3"/>
  <c r="BA528" i="3"/>
  <c r="AZ528" i="3"/>
  <c r="BA526" i="3"/>
  <c r="AZ526" i="3"/>
  <c r="BA512" i="3"/>
  <c r="AZ512" i="3"/>
  <c r="BA508" i="3"/>
  <c r="BA502" i="3"/>
  <c r="BA500" i="3"/>
  <c r="BA496" i="3"/>
  <c r="BA494" i="3"/>
  <c r="BA583" i="3"/>
  <c r="BQ583" i="3"/>
  <c r="BL583" i="3"/>
  <c r="AZ583" i="3"/>
  <c r="BA577" i="3"/>
  <c r="BQ577" i="3"/>
  <c r="BL577" i="3"/>
  <c r="AZ577" i="3"/>
  <c r="BA569" i="3"/>
  <c r="BQ569" i="3"/>
  <c r="BL569" i="3"/>
  <c r="AZ569" i="3"/>
  <c r="BA567" i="3"/>
  <c r="BQ567" i="3"/>
  <c r="BL567" i="3"/>
  <c r="AZ567" i="3"/>
  <c r="BA565" i="3"/>
  <c r="BQ565" i="3"/>
  <c r="BL565" i="3"/>
  <c r="AZ565" i="3"/>
  <c r="BA563" i="3"/>
  <c r="BA561" i="3"/>
  <c r="BA559" i="3"/>
  <c r="BA549" i="3"/>
  <c r="BA547" i="3"/>
  <c r="BA545" i="3"/>
  <c r="BA543" i="3"/>
  <c r="BA541" i="3"/>
  <c r="BA539" i="3"/>
  <c r="BA537" i="3"/>
  <c r="BA535" i="3"/>
  <c r="BA533" i="3"/>
  <c r="BA531" i="3"/>
  <c r="BA529" i="3"/>
  <c r="BA527" i="3"/>
  <c r="BA525" i="3"/>
  <c r="BA515" i="3"/>
  <c r="BA505" i="3"/>
  <c r="BA503" i="3"/>
  <c r="BA497" i="3"/>
  <c r="BA495" i="3"/>
  <c r="G583" i="3"/>
  <c r="G581" i="3"/>
  <c r="G575" i="3"/>
  <c r="G573" i="3"/>
  <c r="G571" i="3"/>
  <c r="G569" i="3"/>
  <c r="G567" i="3"/>
  <c r="G565" i="3"/>
  <c r="G563" i="3"/>
  <c r="G561" i="3"/>
  <c r="BA557" i="3"/>
  <c r="AC557" i="3"/>
  <c r="G557" i="3"/>
  <c r="BQ557" i="3"/>
  <c r="BL557" i="3"/>
  <c r="BQ581" i="3"/>
  <c r="BQ579" i="3"/>
  <c r="BL579" i="3"/>
  <c r="BQ575" i="3"/>
  <c r="BQ573" i="3"/>
  <c r="BQ571" i="3"/>
  <c r="BL571" i="3"/>
  <c r="BQ563" i="3"/>
  <c r="BL563" i="3"/>
  <c r="AZ563" i="3"/>
  <c r="BQ561" i="3"/>
  <c r="BL561" i="3"/>
  <c r="AZ561" i="3"/>
  <c r="BQ559" i="3"/>
  <c r="BL559" i="3"/>
  <c r="G559" i="3"/>
  <c r="G555" i="3"/>
  <c r="G547" i="3"/>
  <c r="G545" i="3"/>
  <c r="G543" i="3"/>
  <c r="G541" i="3"/>
  <c r="G539" i="3"/>
  <c r="G537" i="3"/>
  <c r="BQ555" i="3"/>
  <c r="BQ553" i="3"/>
  <c r="BQ551" i="3"/>
  <c r="BL551" i="3"/>
  <c r="BQ549" i="3"/>
  <c r="BQ547" i="3"/>
  <c r="BL547" i="3"/>
  <c r="AZ547" i="3"/>
  <c r="BQ545" i="3"/>
  <c r="BL545" i="3"/>
  <c r="AZ545" i="3"/>
  <c r="BQ543" i="3"/>
  <c r="BL543" i="3"/>
  <c r="AZ543" i="3"/>
  <c r="BQ541" i="3"/>
  <c r="BL541" i="3"/>
  <c r="BQ539" i="3"/>
  <c r="BL539" i="3"/>
  <c r="AZ539" i="3"/>
  <c r="BQ537" i="3"/>
  <c r="BL537" i="3"/>
  <c r="AZ537" i="3"/>
  <c r="BQ535" i="3"/>
  <c r="BL535" i="3"/>
  <c r="AZ535" i="3"/>
  <c r="BQ533" i="3"/>
  <c r="BL533" i="3"/>
  <c r="BQ531" i="3"/>
  <c r="BL531" i="3"/>
  <c r="AZ531" i="3"/>
  <c r="BQ529" i="3"/>
  <c r="BL529" i="3"/>
  <c r="AZ529" i="3"/>
  <c r="BQ527" i="3"/>
  <c r="BL527" i="3"/>
  <c r="AZ527" i="3"/>
  <c r="AC521" i="3"/>
  <c r="G521" i="3"/>
  <c r="BQ521" i="3"/>
  <c r="BL520" i="3"/>
  <c r="G517" i="3"/>
  <c r="G515" i="3"/>
  <c r="G513" i="3"/>
  <c r="BQ519" i="3"/>
  <c r="BL519" i="3"/>
  <c r="BQ515" i="3"/>
  <c r="BQ511" i="3"/>
  <c r="BL511" i="3"/>
  <c r="AC509" i="3"/>
  <c r="BQ509" i="3"/>
  <c r="BL509" i="3"/>
  <c r="G507" i="3"/>
  <c r="G505" i="3"/>
  <c r="G503" i="3"/>
  <c r="G501" i="3"/>
  <c r="G499" i="3"/>
  <c r="G497" i="3"/>
  <c r="G495" i="3"/>
  <c r="BQ507" i="3"/>
  <c r="BL507" i="3"/>
  <c r="BQ505" i="3"/>
  <c r="BQ503" i="3"/>
  <c r="BQ501" i="3"/>
  <c r="BL501" i="3"/>
  <c r="BQ499" i="3"/>
  <c r="BQ497" i="3"/>
  <c r="BL497"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S28" i="31"/>
  <c r="S27" i="31"/>
  <c r="S26" i="31"/>
  <c r="S22" i="31"/>
  <c r="R22" i="31"/>
  <c r="B21" i="31"/>
  <c r="AC32" i="36"/>
  <c r="AC33" i="36"/>
  <c r="U35" i="35"/>
  <c r="AA12" i="35"/>
  <c r="AB28" i="37"/>
  <c r="U33" i="37"/>
  <c r="U39" i="37"/>
  <c r="W26" i="37"/>
  <c r="AC8" i="37"/>
  <c r="U26" i="37"/>
  <c r="W47" i="34"/>
  <c r="AB13" i="34"/>
  <c r="W37" i="34"/>
  <c r="AB37" i="34"/>
  <c r="AC36" i="34"/>
  <c r="AA13" i="33"/>
  <c r="AC31" i="33"/>
  <c r="AC45" i="33"/>
  <c r="W44" i="33"/>
  <c r="U11" i="33"/>
  <c r="U26" i="21"/>
  <c r="AC46" i="21"/>
  <c r="U12" i="21"/>
  <c r="AB38" i="21"/>
  <c r="F43" i="33"/>
  <c r="AA43" i="33"/>
  <c r="W15" i="34"/>
  <c r="AC15" i="34"/>
  <c r="W16" i="35"/>
  <c r="W40" i="37"/>
  <c r="H107" i="37"/>
  <c r="I107" i="37"/>
  <c r="J107" i="37"/>
  <c r="K107" i="37"/>
  <c r="L107" i="37"/>
  <c r="M107" i="37"/>
  <c r="H19" i="34"/>
  <c r="AB19" i="34"/>
  <c r="F36" i="35"/>
  <c r="S36" i="35"/>
  <c r="J9" i="37"/>
  <c r="W9" i="37"/>
  <c r="H9" i="37"/>
  <c r="AB9" i="37"/>
  <c r="F9" i="37"/>
  <c r="S9" i="37"/>
  <c r="J12" i="37"/>
  <c r="W12" i="37"/>
  <c r="H12" i="37"/>
  <c r="F12" i="37"/>
  <c r="S12" i="37"/>
  <c r="E71" i="37"/>
  <c r="F71" i="37"/>
  <c r="G71" i="37"/>
  <c r="F15" i="37"/>
  <c r="AA15" i="37"/>
  <c r="F31" i="37"/>
  <c r="S31" i="37"/>
  <c r="F12" i="39"/>
  <c r="S12" i="39"/>
  <c r="J42" i="39"/>
  <c r="AC42" i="39"/>
  <c r="H21" i="40"/>
  <c r="AB21" i="40"/>
  <c r="AC12" i="37"/>
  <c r="H31" i="37"/>
  <c r="U31" i="37"/>
  <c r="J15" i="37"/>
  <c r="W15" i="37"/>
  <c r="AT6" i="3"/>
  <c r="C12" i="43"/>
  <c r="H19" i="40"/>
  <c r="U19" i="40"/>
  <c r="F88" i="40"/>
  <c r="G88" i="40"/>
  <c r="F19" i="40"/>
  <c r="S19" i="40"/>
  <c r="S14" i="40"/>
  <c r="AC13" i="40"/>
  <c r="AB33" i="40"/>
  <c r="W23" i="39"/>
  <c r="AC43" i="39"/>
  <c r="W43" i="39"/>
  <c r="U45" i="39"/>
  <c r="AB45" i="39"/>
  <c r="H37" i="39"/>
  <c r="AB37" i="39"/>
  <c r="AC37" i="39"/>
  <c r="W37" i="39"/>
  <c r="H25" i="39"/>
  <c r="AB25" i="39"/>
  <c r="J25" i="39"/>
  <c r="F25" i="39"/>
  <c r="AA25" i="39"/>
  <c r="F15" i="39"/>
  <c r="AA15" i="39"/>
  <c r="H15" i="39"/>
  <c r="U15" i="39"/>
  <c r="J15" i="39"/>
  <c r="W15" i="39"/>
  <c r="H41" i="39"/>
  <c r="AB41" i="39"/>
  <c r="AB34" i="39"/>
  <c r="W14" i="39"/>
  <c r="W9" i="39"/>
  <c r="W8" i="39"/>
  <c r="J19" i="40"/>
  <c r="AC19" i="40"/>
  <c r="J50" i="40"/>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30" i="3"/>
  <c r="G546" i="3"/>
  <c r="G524" i="3"/>
  <c r="G303" i="3"/>
  <c r="BL304" i="3"/>
  <c r="G305" i="3"/>
  <c r="BL306" i="3"/>
  <c r="BA308" i="3"/>
  <c r="BA309" i="3"/>
  <c r="BL309" i="3"/>
  <c r="AZ309" i="3"/>
  <c r="G310" i="3"/>
  <c r="BA311" i="3"/>
  <c r="G319" i="3"/>
  <c r="BL320" i="3"/>
  <c r="G321" i="3"/>
  <c r="BL322" i="3"/>
  <c r="BA324" i="3"/>
  <c r="AZ324" i="3"/>
  <c r="BA325" i="3"/>
  <c r="BL325" i="3"/>
  <c r="AZ325" i="3"/>
  <c r="G326" i="3"/>
  <c r="BA327" i="3"/>
  <c r="G335" i="3"/>
  <c r="BL336" i="3"/>
  <c r="G337" i="3"/>
  <c r="BL338" i="3"/>
  <c r="BA340" i="3"/>
  <c r="BA341" i="3"/>
  <c r="BL341" i="3"/>
  <c r="AZ341" i="3"/>
  <c r="BA343" i="3"/>
  <c r="BA345" i="3"/>
  <c r="BL355" i="3"/>
  <c r="G356" i="3"/>
  <c r="BL357" i="3"/>
  <c r="BA359" i="3"/>
  <c r="AZ359" i="3"/>
  <c r="BA360" i="3"/>
  <c r="BL360" i="3"/>
  <c r="G361" i="3"/>
  <c r="BA362" i="3"/>
  <c r="BL362" i="3"/>
  <c r="AZ362" i="3"/>
  <c r="G370" i="3"/>
  <c r="BL371" i="3"/>
  <c r="G372" i="3"/>
  <c r="BL373" i="3"/>
  <c r="BA375" i="3"/>
  <c r="AZ375" i="3"/>
  <c r="BA376" i="3"/>
  <c r="BL376" i="3"/>
  <c r="AZ376" i="3"/>
  <c r="G377" i="3"/>
  <c r="BA378" i="3"/>
  <c r="BL378" i="3"/>
  <c r="AZ378" i="3"/>
  <c r="G379" i="3"/>
  <c r="BA380" i="3"/>
  <c r="G388" i="3"/>
  <c r="BL389" i="3"/>
  <c r="G390" i="3"/>
  <c r="BL391" i="3"/>
  <c r="BA393" i="3"/>
  <c r="AZ393" i="3"/>
  <c r="BA394" i="3"/>
  <c r="BL394" i="3"/>
  <c r="AZ394" i="3"/>
  <c r="G113" i="3"/>
  <c r="BA115" i="3"/>
  <c r="AZ115" i="3"/>
  <c r="BL116" i="3"/>
  <c r="G117" i="3"/>
  <c r="BA119" i="3"/>
  <c r="AZ119" i="3"/>
  <c r="BL120" i="3"/>
  <c r="G121" i="3"/>
  <c r="BA123" i="3"/>
  <c r="AZ123" i="3"/>
  <c r="BL124" i="3"/>
  <c r="AZ124" i="3"/>
  <c r="G125" i="3"/>
  <c r="BA127" i="3"/>
  <c r="AZ127" i="3"/>
  <c r="BL128" i="3"/>
  <c r="G129" i="3"/>
  <c r="BA131" i="3"/>
  <c r="AZ131" i="3"/>
  <c r="BL132" i="3"/>
  <c r="G133" i="3"/>
  <c r="BA135" i="3"/>
  <c r="AZ135" i="3"/>
  <c r="BL136" i="3"/>
  <c r="G137" i="3"/>
  <c r="BA139" i="3"/>
  <c r="AZ139" i="3"/>
  <c r="BL140" i="3"/>
  <c r="G141" i="3"/>
  <c r="BA143" i="3"/>
  <c r="AZ143" i="3"/>
  <c r="BL144" i="3"/>
  <c r="G145" i="3"/>
  <c r="BA147" i="3"/>
  <c r="AZ147" i="3"/>
  <c r="BL148" i="3"/>
  <c r="AZ148" i="3"/>
  <c r="G149" i="3"/>
  <c r="BA151" i="3"/>
  <c r="BL152" i="3"/>
  <c r="AZ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AZ184" i="3"/>
  <c r="G185" i="3"/>
  <c r="BA187" i="3"/>
  <c r="AZ187" i="3"/>
  <c r="BL188" i="3"/>
  <c r="AZ188" i="3"/>
  <c r="G189" i="3"/>
  <c r="BA191" i="3"/>
  <c r="AZ191" i="3"/>
  <c r="BL192" i="3"/>
  <c r="AZ192" i="3"/>
  <c r="G193" i="3"/>
  <c r="BA195" i="3"/>
  <c r="AZ195" i="3"/>
  <c r="BL196" i="3"/>
  <c r="AZ196" i="3"/>
  <c r="G197" i="3"/>
  <c r="BA199" i="3"/>
  <c r="BL200" i="3"/>
  <c r="G201" i="3"/>
  <c r="BA203" i="3"/>
  <c r="AZ203" i="3"/>
  <c r="BL204" i="3"/>
  <c r="AZ204" i="3"/>
  <c r="AZ39" i="3"/>
  <c r="AZ43" i="3"/>
  <c r="AZ55" i="3"/>
  <c r="AZ59" i="3"/>
  <c r="AZ63" i="3"/>
  <c r="AZ67" i="3"/>
  <c r="AZ144" i="3"/>
  <c r="AZ168" i="3"/>
  <c r="AZ176" i="3"/>
  <c r="AZ200" i="3"/>
  <c r="AZ89" i="3"/>
  <c r="AZ97" i="3"/>
  <c r="AZ101" i="3"/>
  <c r="AZ105" i="3"/>
  <c r="AZ109" i="3"/>
  <c r="AZ128" i="3"/>
  <c r="G534" i="3"/>
  <c r="G530" i="3"/>
  <c r="G522" i="3"/>
  <c r="G516" i="3"/>
  <c r="G512" i="3"/>
  <c r="G506" i="3"/>
  <c r="G498" i="3"/>
  <c r="G494" i="3"/>
  <c r="G16" i="3"/>
  <c r="H18" i="78"/>
  <c r="I18" i="78"/>
  <c r="N18" i="78"/>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38" i="3"/>
  <c r="AZ150" i="3"/>
  <c r="AZ154" i="3"/>
  <c r="AZ158" i="3"/>
  <c r="AZ170" i="3"/>
  <c r="AZ174" i="3"/>
  <c r="AZ182" i="3"/>
  <c r="AZ190" i="3"/>
  <c r="AZ194" i="3"/>
  <c r="AZ198" i="3"/>
  <c r="AZ202" i="3"/>
  <c r="BA16" i="3"/>
  <c r="AZ16" i="3"/>
  <c r="BL303" i="3"/>
  <c r="G304" i="3"/>
  <c r="BA306" i="3"/>
  <c r="AZ306" i="3"/>
  <c r="BL307" i="3"/>
  <c r="AZ307" i="3"/>
  <c r="G308" i="3"/>
  <c r="BA310" i="3"/>
  <c r="AZ310" i="3"/>
  <c r="BL311" i="3"/>
  <c r="AZ311" i="3"/>
  <c r="G312" i="3"/>
  <c r="BA314" i="3"/>
  <c r="AZ314" i="3"/>
  <c r="BL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1" i="3"/>
  <c r="AZ265" i="3"/>
  <c r="AZ269" i="3"/>
  <c r="BA379" i="3"/>
  <c r="AZ379" i="3"/>
  <c r="BL380" i="3"/>
  <c r="G381" i="3"/>
  <c r="BA383" i="3"/>
  <c r="AZ383" i="3"/>
  <c r="BL384" i="3"/>
  <c r="AZ384" i="3"/>
  <c r="G385" i="3"/>
  <c r="BA387" i="3"/>
  <c r="AZ387" i="3"/>
  <c r="BL388" i="3"/>
  <c r="AZ388" i="3"/>
  <c r="G389" i="3"/>
  <c r="BA391" i="3"/>
  <c r="AZ391" i="3"/>
  <c r="BL392" i="3"/>
  <c r="AZ392" i="3"/>
  <c r="G393" i="3"/>
  <c r="AZ275" i="3"/>
  <c r="AZ283" i="3"/>
  <c r="AZ295" i="3"/>
  <c r="BO5" i="3"/>
  <c r="BM5" i="3"/>
  <c r="F29" i="6"/>
  <c r="BJ5" i="3"/>
  <c r="BH5" i="3"/>
  <c r="BF5" i="3"/>
  <c r="BD5" i="3"/>
  <c r="AZ317" i="3"/>
  <c r="AZ333" i="3"/>
  <c r="BQ5" i="3"/>
  <c r="BS5" i="3"/>
  <c r="F28" i="6"/>
  <c r="F30" i="6"/>
  <c r="AC5" i="3"/>
  <c r="AZ549" i="3"/>
  <c r="AZ496" i="3"/>
  <c r="G548" i="3"/>
  <c r="G538" i="3"/>
  <c r="G520" i="3"/>
  <c r="G502" i="3"/>
  <c r="BP5" i="3"/>
  <c r="BN5" i="3"/>
  <c r="G29" i="6"/>
  <c r="E29" i="6"/>
  <c r="BK5" i="3"/>
  <c r="BI5" i="3"/>
  <c r="BG5" i="3"/>
  <c r="BE5" i="3"/>
  <c r="BC5" i="3"/>
  <c r="G17" i="3"/>
  <c r="H19" i="78"/>
  <c r="I19" i="78"/>
  <c r="N19" i="78"/>
  <c r="BA17" i="3"/>
  <c r="BT5" i="3"/>
  <c r="AZ350" i="3"/>
  <c r="AZ352" i="3"/>
  <c r="AZ360" i="3"/>
  <c r="AZ368" i="3"/>
  <c r="BA15" i="3"/>
  <c r="AZ380" i="3"/>
  <c r="AZ396" i="3"/>
  <c r="G509" i="3"/>
  <c r="BL493" i="3"/>
  <c r="AZ390" i="3"/>
  <c r="U36" i="40"/>
  <c r="F36" i="43"/>
  <c r="F81" i="43"/>
  <c r="H83" i="43"/>
  <c r="H113" i="43"/>
  <c r="F48" i="43"/>
  <c r="H52" i="43"/>
  <c r="F70" i="43"/>
  <c r="H73" i="43"/>
  <c r="M11" i="43"/>
  <c r="D17" i="43"/>
  <c r="F39" i="43"/>
  <c r="I17" i="43"/>
  <c r="F35" i="43"/>
  <c r="J17" i="43"/>
  <c r="F6" i="1"/>
  <c r="G6" i="1"/>
  <c r="S14" i="35"/>
  <c r="AC35" i="21"/>
  <c r="G8" i="1"/>
  <c r="G9" i="1"/>
  <c r="G10" i="1"/>
  <c r="F48" i="9"/>
  <c r="O52" i="9"/>
  <c r="W37" i="37"/>
  <c r="W44" i="34"/>
  <c r="S15" i="37"/>
  <c r="U12" i="40"/>
  <c r="J37" i="33"/>
  <c r="W37" i="33"/>
  <c r="AC17" i="34"/>
  <c r="F106" i="33"/>
  <c r="G106" i="33"/>
  <c r="H106" i="33"/>
  <c r="I106" i="33"/>
  <c r="J106" i="33"/>
  <c r="K106" i="33"/>
  <c r="L106" i="33"/>
  <c r="M106" i="33"/>
  <c r="J34" i="33"/>
  <c r="W34" i="33"/>
  <c r="F33" i="34"/>
  <c r="S33" i="34"/>
  <c r="H20" i="36"/>
  <c r="U20" i="36"/>
  <c r="J20" i="36"/>
  <c r="W20" i="36"/>
  <c r="W24" i="36"/>
  <c r="J27" i="36"/>
  <c r="W27" i="36"/>
  <c r="AB25" i="37"/>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3" i="3"/>
  <c r="AZ227" i="3"/>
  <c r="AZ232" i="3"/>
  <c r="AZ235" i="3"/>
  <c r="AZ243" i="3"/>
  <c r="AZ248" i="3"/>
  <c r="AZ256" i="3"/>
  <c r="AZ259" i="3"/>
  <c r="AZ268" i="3"/>
  <c r="AZ271" i="3"/>
  <c r="AZ280" i="3"/>
  <c r="AZ288" i="3"/>
  <c r="AZ114" i="3"/>
  <c r="AZ117" i="3"/>
  <c r="AZ130" i="3"/>
  <c r="AZ133" i="3"/>
  <c r="AZ31" i="3"/>
  <c r="AZ33" i="3"/>
  <c r="AZ42" i="3"/>
  <c r="AZ45" i="3"/>
  <c r="AZ50" i="3"/>
  <c r="AZ53" i="3"/>
  <c r="AZ58" i="3"/>
  <c r="AZ61" i="3"/>
  <c r="AZ72" i="3"/>
  <c r="AZ77" i="3"/>
  <c r="AZ82" i="3"/>
  <c r="AZ86" i="3"/>
  <c r="AZ94" i="3"/>
  <c r="AZ102" i="3"/>
  <c r="AZ110" i="3"/>
  <c r="H75" i="43"/>
  <c r="I20" i="43"/>
  <c r="F23" i="39"/>
  <c r="AA23" i="39"/>
  <c r="H27" i="36"/>
  <c r="U27" i="36"/>
  <c r="F27" i="36"/>
  <c r="AA27" i="36"/>
  <c r="H33" i="34"/>
  <c r="U33" i="34"/>
  <c r="F32" i="37"/>
  <c r="AA32" i="37"/>
  <c r="F20" i="36"/>
  <c r="AA20" i="36"/>
  <c r="J33" i="34"/>
  <c r="AC33" i="34"/>
  <c r="H23" i="39"/>
  <c r="U23" i="39"/>
  <c r="D48" i="9"/>
  <c r="M52" i="9"/>
  <c r="H86" i="43"/>
  <c r="H82" i="43"/>
  <c r="H87" i="43"/>
  <c r="K9" i="1"/>
  <c r="M9" i="1"/>
  <c r="AE9" i="1"/>
  <c r="D93" i="9"/>
  <c r="AC26" i="33"/>
  <c r="W26" i="33"/>
  <c r="W27" i="34"/>
  <c r="AC27" i="34"/>
  <c r="AB34" i="36"/>
  <c r="U34" i="36"/>
  <c r="AB33" i="36"/>
  <c r="U33" i="36"/>
  <c r="AC12" i="39"/>
  <c r="W12" i="39"/>
  <c r="AC39" i="40"/>
  <c r="W39" i="40"/>
  <c r="AZ401" i="3"/>
  <c r="AZ412" i="3"/>
  <c r="AZ417" i="3"/>
  <c r="AZ428" i="3"/>
  <c r="AZ433" i="3"/>
  <c r="AZ465" i="3"/>
  <c r="AA32" i="36"/>
  <c r="S32" i="36"/>
  <c r="AZ408" i="3"/>
  <c r="AZ437" i="3"/>
  <c r="AZ441" i="3"/>
  <c r="AZ457" i="3"/>
  <c r="AZ473" i="3"/>
  <c r="AZ490" i="3"/>
  <c r="AA39" i="34"/>
  <c r="BL14" i="3"/>
  <c r="U30" i="33"/>
  <c r="AC13" i="34"/>
  <c r="AA47" i="34"/>
  <c r="W28" i="37"/>
  <c r="F12" i="33"/>
  <c r="AA12" i="33"/>
  <c r="H12" i="39"/>
  <c r="AB12" i="39"/>
  <c r="F39" i="40"/>
  <c r="BA14" i="3"/>
  <c r="AZ367" i="3"/>
  <c r="AZ213" i="3"/>
  <c r="AZ224" i="3"/>
  <c r="AZ234" i="3"/>
  <c r="AZ238" i="3"/>
  <c r="AZ250" i="3"/>
  <c r="AZ254" i="3"/>
  <c r="AZ286" i="3"/>
  <c r="AZ149" i="3"/>
  <c r="AZ157" i="3"/>
  <c r="AZ165" i="3"/>
  <c r="AZ181" i="3"/>
  <c r="AZ189" i="3"/>
  <c r="AZ197" i="3"/>
  <c r="AZ26" i="3"/>
  <c r="AZ35" i="3"/>
  <c r="S12" i="1"/>
  <c r="AQ12" i="1"/>
  <c r="R12" i="1"/>
  <c r="B12" i="1"/>
  <c r="E12" i="1"/>
  <c r="S10" i="1"/>
  <c r="AQ10" i="1"/>
  <c r="R10" i="1"/>
  <c r="B10" i="1"/>
  <c r="E10" i="1"/>
  <c r="AZ80" i="3"/>
  <c r="AZ84" i="3"/>
  <c r="AZ88" i="3"/>
  <c r="AZ107" i="3"/>
  <c r="AZ111" i="3"/>
  <c r="K12" i="1"/>
  <c r="M12" i="1"/>
  <c r="S13" i="1"/>
  <c r="AR13" i="1"/>
  <c r="R13" i="1"/>
  <c r="S11" i="1"/>
  <c r="AQ11" i="1"/>
  <c r="R11" i="1"/>
  <c r="S9" i="1"/>
  <c r="AR9" i="1"/>
  <c r="R9" i="1"/>
  <c r="J51" i="67"/>
  <c r="C42" i="1"/>
  <c r="H100" i="43"/>
  <c r="C30" i="66"/>
  <c r="E26" i="66"/>
  <c r="AC34" i="33"/>
  <c r="AA34" i="33"/>
  <c r="B41" i="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S32" i="39"/>
  <c r="U31" i="39"/>
  <c r="W19" i="39"/>
  <c r="U19" i="39"/>
  <c r="AC15" i="39"/>
  <c r="S15" i="39"/>
  <c r="AB15" i="39"/>
  <c r="AA12" i="39"/>
  <c r="S9" i="39"/>
  <c r="U14" i="39"/>
  <c r="AC13" i="39"/>
  <c r="U12" i="39"/>
  <c r="S23" i="36"/>
  <c r="U13" i="36"/>
  <c r="AB27" i="36"/>
  <c r="U26" i="36"/>
  <c r="S33" i="36"/>
  <c r="AA26" i="36"/>
  <c r="AA34" i="36"/>
  <c r="S29" i="36"/>
  <c r="AC26" i="36"/>
  <c r="AA22" i="36"/>
  <c r="W14" i="36"/>
  <c r="AB14" i="36"/>
  <c r="U22" i="36"/>
  <c r="S16" i="36"/>
  <c r="AA25" i="36"/>
  <c r="S24" i="36"/>
  <c r="U24" i="36"/>
  <c r="U23" i="36"/>
  <c r="AB20" i="36"/>
  <c r="U16"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AA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AA12" i="37"/>
  <c r="AA9" i="37"/>
  <c r="H10" i="37"/>
  <c r="H60" i="37"/>
  <c r="I60" i="37"/>
  <c r="F63" i="37"/>
  <c r="F11" i="37"/>
  <c r="S11" i="37"/>
  <c r="S27" i="34"/>
  <c r="W25" i="34"/>
  <c r="AB8" i="34"/>
  <c r="AA33" i="34"/>
  <c r="U44" i="34"/>
  <c r="U43" i="34"/>
  <c r="AC39" i="34"/>
  <c r="W41" i="34"/>
  <c r="AC42" i="34"/>
  <c r="AB35" i="34"/>
  <c r="U39" i="34"/>
  <c r="S43" i="34"/>
  <c r="AB41" i="34"/>
  <c r="AA45" i="34"/>
  <c r="W34" i="34"/>
  <c r="AA25" i="34"/>
  <c r="U28" i="34"/>
  <c r="S17" i="34"/>
  <c r="S23" i="34"/>
  <c r="U15" i="34"/>
  <c r="S10" i="34"/>
  <c r="S13" i="34"/>
  <c r="H67" i="34"/>
  <c r="H10" i="34"/>
  <c r="F11" i="34"/>
  <c r="S11" i="34"/>
  <c r="F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AA25" i="33"/>
  <c r="J23" i="33"/>
  <c r="F85" i="33"/>
  <c r="G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M1" i="43"/>
  <c r="N8" i="43"/>
  <c r="D120" i="9"/>
  <c r="D6" i="52"/>
  <c r="F34" i="67"/>
  <c r="F62" i="67"/>
  <c r="M20" i="67"/>
  <c r="F34" i="15"/>
  <c r="F62" i="15"/>
  <c r="G13" i="3"/>
  <c r="BL17" i="3"/>
  <c r="AZ17" i="3"/>
  <c r="J56" i="9"/>
  <c r="J57" i="9"/>
  <c r="J59" i="9"/>
  <c r="J61" i="9"/>
  <c r="A24" i="51"/>
  <c r="B18" i="72"/>
  <c r="U29" i="34"/>
  <c r="E5" i="6"/>
  <c r="D9" i="11"/>
  <c r="C9" i="11"/>
  <c r="E32" i="6"/>
  <c r="L19" i="6"/>
  <c r="G1" i="68"/>
  <c r="K1" i="12"/>
  <c r="AR12" i="1"/>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48" i="35"/>
  <c r="D48" i="35"/>
  <c r="C7" i="33"/>
  <c r="C58" i="33"/>
  <c r="C7" i="21"/>
  <c r="C7" i="40"/>
  <c r="C63" i="40"/>
  <c r="M47" i="9"/>
  <c r="G19" i="43"/>
  <c r="O19" i="43"/>
  <c r="C19" i="43"/>
  <c r="C46" i="36"/>
  <c r="D46" i="36"/>
  <c r="C59" i="34"/>
  <c r="D59" i="34"/>
  <c r="E59" i="34"/>
  <c r="F59" i="34"/>
  <c r="G59" i="34"/>
  <c r="H59" i="34"/>
  <c r="I59" i="34"/>
  <c r="J59" i="34"/>
  <c r="K59" i="34"/>
  <c r="C52" i="37"/>
  <c r="D52" i="37"/>
  <c r="A4" i="51"/>
  <c r="B6" i="72"/>
  <c r="H66" i="43"/>
  <c r="H65" i="43"/>
  <c r="H64" i="43"/>
  <c r="H63" i="43"/>
  <c r="H55" i="43"/>
  <c r="H56" i="43"/>
  <c r="H72" i="43"/>
  <c r="L20" i="6"/>
  <c r="B6" i="1"/>
  <c r="E6" i="1"/>
  <c r="S8" i="1"/>
  <c r="AQ8" i="1"/>
  <c r="K11" i="1"/>
  <c r="M11" i="1"/>
  <c r="AP6" i="1"/>
  <c r="B9" i="1"/>
  <c r="E9" i="1"/>
  <c r="K7" i="1"/>
  <c r="G1" i="15"/>
  <c r="G1" i="69"/>
  <c r="G1" i="67"/>
  <c r="W23" i="40"/>
  <c r="U32" i="40"/>
  <c r="AB31" i="40"/>
  <c r="S37" i="40"/>
  <c r="AB28" i="40"/>
  <c r="W28" i="40"/>
  <c r="W34" i="40"/>
  <c r="W19" i="40"/>
  <c r="W27" i="40"/>
  <c r="S36" i="40"/>
  <c r="W37" i="40"/>
  <c r="AC14" i="40"/>
  <c r="AA15" i="40"/>
  <c r="U11" i="40"/>
  <c r="S31" i="40"/>
  <c r="U15" i="40"/>
  <c r="AB17" i="40"/>
  <c r="U8" i="40"/>
  <c r="S8" i="40"/>
  <c r="AC41" i="39"/>
  <c r="U42" i="39"/>
  <c r="AB23" i="39"/>
  <c r="U41" i="39"/>
  <c r="W25" i="39"/>
  <c r="AC25" i="39"/>
  <c r="U13" i="39"/>
  <c r="AB13" i="39"/>
  <c r="AA13" i="39"/>
  <c r="S13" i="39"/>
  <c r="S14" i="39"/>
  <c r="AA14" i="39"/>
  <c r="U43" i="39"/>
  <c r="AB43" i="39"/>
  <c r="AA27" i="39"/>
  <c r="S27" i="39"/>
  <c r="W31" i="39"/>
  <c r="AC31" i="39"/>
  <c r="S23" i="39"/>
  <c r="AA45" i="39"/>
  <c r="W34" i="39"/>
  <c r="U38" i="39"/>
  <c r="S8" i="39"/>
  <c r="S20" i="36"/>
  <c r="AC25" i="36"/>
  <c r="S28" i="36"/>
  <c r="U32" i="36"/>
  <c r="W29" i="36"/>
  <c r="AC20" i="36"/>
  <c r="U25" i="36"/>
  <c r="AB28" i="36"/>
  <c r="AA13" i="36"/>
  <c r="W9" i="36"/>
  <c r="W22" i="36"/>
  <c r="W23" i="36"/>
  <c r="S9" i="36"/>
  <c r="AB20"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8" i="33"/>
  <c r="U28" i="21"/>
  <c r="S45" i="21"/>
  <c r="F33" i="21"/>
  <c r="AA33" i="21"/>
  <c r="J33" i="21"/>
  <c r="AC33" i="21"/>
  <c r="H33" i="21"/>
  <c r="AB33" i="21"/>
  <c r="AA26" i="21"/>
  <c r="AB14" i="21"/>
  <c r="AB46" i="21"/>
  <c r="U40" i="21"/>
  <c r="AB31" i="21"/>
  <c r="U31" i="21"/>
  <c r="AC15" i="21"/>
  <c r="U13" i="21"/>
  <c r="AB13" i="21"/>
  <c r="W8" i="21"/>
  <c r="H15" i="21"/>
  <c r="U15" i="21"/>
  <c r="W39" i="21"/>
  <c r="AC14" i="21"/>
  <c r="W30" i="21"/>
  <c r="S46" i="21"/>
  <c r="H45" i="21"/>
  <c r="U45" i="21"/>
  <c r="F29" i="21"/>
  <c r="S29" i="21"/>
  <c r="F13" i="21"/>
  <c r="AA13" i="21"/>
  <c r="AC38" i="21"/>
  <c r="H32" i="21"/>
  <c r="AB32" i="21"/>
  <c r="H9" i="21"/>
  <c r="AB9" i="21"/>
  <c r="J9" i="21"/>
  <c r="W9" i="21"/>
  <c r="J32" i="21"/>
  <c r="W32" i="21"/>
  <c r="F32" i="21"/>
  <c r="AA32" i="21"/>
  <c r="AA31" i="21"/>
  <c r="S19" i="21"/>
  <c r="S9" i="21"/>
  <c r="AA9" i="21"/>
  <c r="K141" i="21"/>
  <c r="K144" i="21"/>
  <c r="K143" i="21"/>
  <c r="U27" i="21"/>
  <c r="AB25" i="21"/>
  <c r="AA30" i="21"/>
  <c r="W13" i="21"/>
  <c r="AC45" i="21"/>
  <c r="K145" i="21"/>
  <c r="W25" i="21"/>
  <c r="W31" i="21"/>
  <c r="S27" i="21"/>
  <c r="AA15" i="21"/>
  <c r="AC26" i="21"/>
  <c r="AB29" i="21"/>
  <c r="S28" i="21"/>
  <c r="AC34" i="21"/>
  <c r="W12" i="21"/>
  <c r="W30" i="40"/>
  <c r="C19" i="39"/>
  <c r="C15" i="40"/>
  <c r="C17" i="40"/>
  <c r="C23" i="40"/>
  <c r="C21" i="40"/>
  <c r="U30" i="40"/>
  <c r="B54" i="43"/>
  <c r="B65" i="43"/>
  <c r="B49" i="43"/>
  <c r="B52" i="43"/>
  <c r="B56" i="43"/>
  <c r="B60" i="43"/>
  <c r="B63" i="43"/>
  <c r="B67" i="43"/>
  <c r="D23" i="15"/>
  <c r="D22" i="15"/>
  <c r="F30" i="11"/>
  <c r="C48" i="11"/>
  <c r="T13" i="1"/>
  <c r="AA39" i="40"/>
  <c r="S39" i="40"/>
  <c r="S12" i="33"/>
  <c r="J32" i="39"/>
  <c r="AC32" i="39"/>
  <c r="H32" i="39"/>
  <c r="AB32" i="39"/>
  <c r="AA32" i="39"/>
  <c r="S26" i="35"/>
  <c r="U9" i="35"/>
  <c r="AB9" i="35"/>
  <c r="S9" i="35"/>
  <c r="AC26" i="35"/>
  <c r="W26" i="35"/>
  <c r="AB26" i="35"/>
  <c r="U26" i="35"/>
  <c r="AC17" i="37"/>
  <c r="S17" i="37"/>
  <c r="J19" i="37"/>
  <c r="G75" i="37"/>
  <c r="S19" i="37"/>
  <c r="AA19" i="37"/>
  <c r="J23" i="37"/>
  <c r="W23" i="37"/>
  <c r="G79" i="37"/>
  <c r="J10" i="37"/>
  <c r="AC10" i="37"/>
  <c r="G63" i="37"/>
  <c r="H63" i="37"/>
  <c r="I63" i="37"/>
  <c r="J63" i="37"/>
  <c r="K63" i="37"/>
  <c r="L63" i="37"/>
  <c r="M63" i="37"/>
  <c r="H11" i="37"/>
  <c r="AB10" i="37"/>
  <c r="U10" i="37"/>
  <c r="G70" i="34"/>
  <c r="H11" i="34"/>
  <c r="U11" i="34"/>
  <c r="AB10" i="34"/>
  <c r="U10" i="34"/>
  <c r="J10" i="34"/>
  <c r="W10" i="34"/>
  <c r="I67" i="34"/>
  <c r="AB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G87" i="33"/>
  <c r="H87" i="33"/>
  <c r="I87" i="33"/>
  <c r="J87" i="33"/>
  <c r="K87" i="33"/>
  <c r="L87" i="33"/>
  <c r="M87" i="33"/>
  <c r="J25" i="33"/>
  <c r="AB23" i="33"/>
  <c r="U23" i="33"/>
  <c r="F23" i="33"/>
  <c r="AA23" i="33"/>
  <c r="AC23" i="33"/>
  <c r="W23" i="33"/>
  <c r="AA19" i="33"/>
  <c r="H19" i="33"/>
  <c r="G81" i="33"/>
  <c r="G79" i="33"/>
  <c r="H17" i="33"/>
  <c r="AB17" i="33"/>
  <c r="F17" i="33"/>
  <c r="W17" i="33"/>
  <c r="AC17" i="33"/>
  <c r="U10" i="33"/>
  <c r="AB10" i="33"/>
  <c r="AC10" i="33"/>
  <c r="W10" i="33"/>
  <c r="AB15" i="21"/>
  <c r="J23" i="21"/>
  <c r="F85" i="21"/>
  <c r="G85" i="21"/>
  <c r="H23" i="21"/>
  <c r="U23" i="21"/>
  <c r="S13" i="21"/>
  <c r="D121" i="9"/>
  <c r="D7" i="52"/>
  <c r="K120" i="9"/>
  <c r="A18" i="62"/>
  <c r="B64" i="72"/>
  <c r="AP7" i="1"/>
  <c r="AB45" i="21"/>
  <c r="U9" i="21"/>
  <c r="U32" i="39"/>
  <c r="W32" i="39"/>
  <c r="W19" i="37"/>
  <c r="AC19" i="37"/>
  <c r="AC23" i="37"/>
  <c r="AB11" i="37"/>
  <c r="U11" i="37"/>
  <c r="J11" i="37"/>
  <c r="W10" i="37"/>
  <c r="AB11" i="34"/>
  <c r="AC10" i="34"/>
  <c r="H70" i="34"/>
  <c r="I70" i="34"/>
  <c r="J70" i="34"/>
  <c r="K70" i="34"/>
  <c r="L70" i="34"/>
  <c r="M70" i="34"/>
  <c r="J11" i="34"/>
  <c r="W11" i="34"/>
  <c r="W36" i="33"/>
  <c r="U36" i="33"/>
  <c r="AB36" i="33"/>
  <c r="W27" i="33"/>
  <c r="AC27" i="33"/>
  <c r="W25" i="33"/>
  <c r="AC25" i="33"/>
  <c r="AB19" i="33"/>
  <c r="U19" i="33"/>
  <c r="AA17" i="33"/>
  <c r="S17" i="33"/>
  <c r="AC23" i="21"/>
  <c r="W23" i="21"/>
  <c r="AC11" i="37"/>
  <c r="W11" i="37"/>
  <c r="R8" i="1"/>
  <c r="AE8" i="1"/>
  <c r="AG6" i="1"/>
  <c r="H109" i="9"/>
  <c r="D16" i="53"/>
  <c r="H110" i="9"/>
  <c r="D18" i="53"/>
  <c r="B35" i="72"/>
  <c r="D124" i="9"/>
  <c r="H14" i="74"/>
  <c r="B7" i="74"/>
  <c r="H112" i="9"/>
  <c r="D21" i="53"/>
  <c r="B39" i="72"/>
  <c r="H111" i="9"/>
  <c r="D19" i="53"/>
  <c r="D126" i="9"/>
  <c r="I14" i="74"/>
  <c r="B8" i="74"/>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M17" i="43"/>
  <c r="O17" i="43"/>
  <c r="G17" i="43"/>
  <c r="E17" i="43"/>
  <c r="C16" i="43"/>
  <c r="C5" i="43"/>
  <c r="C9" i="71"/>
  <c r="D9" i="71"/>
  <c r="D10" i="71"/>
  <c r="D11" i="71"/>
  <c r="U11" i="71"/>
  <c r="T11" i="71"/>
  <c r="AB9" i="71"/>
  <c r="X7" i="71"/>
  <c r="X6" i="71"/>
  <c r="AA7" i="71"/>
  <c r="AA6" i="71"/>
  <c r="X10" i="71"/>
  <c r="Y6" i="71"/>
  <c r="Z6" i="71"/>
  <c r="AB7" i="71"/>
  <c r="AB6" i="71"/>
  <c r="Y7" i="71"/>
  <c r="Z7" i="71"/>
  <c r="AB3" i="71"/>
  <c r="X3" i="71"/>
  <c r="AF3" i="71"/>
  <c r="P24" i="43"/>
  <c r="B66" i="40"/>
  <c r="P21" i="43"/>
  <c r="G20" i="43"/>
  <c r="E41" i="43"/>
  <c r="C41" i="43"/>
  <c r="C20" i="43"/>
  <c r="F31" i="15"/>
  <c r="F31" i="67"/>
  <c r="M28" i="15"/>
  <c r="J15" i="15"/>
  <c r="L48" i="15"/>
  <c r="M28" i="67"/>
  <c r="E7" i="76"/>
  <c r="D2" i="34"/>
  <c r="F36" i="15"/>
  <c r="M21" i="67"/>
  <c r="M6" i="15"/>
  <c r="D2" i="35"/>
  <c r="E9" i="76"/>
  <c r="F20" i="31"/>
  <c r="F7" i="73"/>
  <c r="F13" i="15"/>
  <c r="M22" i="67"/>
  <c r="E13" i="76"/>
  <c r="F16" i="15"/>
  <c r="F3" i="73"/>
  <c r="F26" i="67"/>
  <c r="E2" i="69"/>
  <c r="E10" i="76"/>
  <c r="M6" i="67"/>
  <c r="D2" i="33"/>
  <c r="M24" i="67"/>
  <c r="F4" i="73"/>
  <c r="L48" i="67"/>
  <c r="D3" i="73"/>
  <c r="D7" i="73"/>
  <c r="C76" i="15"/>
  <c r="AO11" i="1"/>
  <c r="E11" i="76"/>
  <c r="B7" i="76"/>
  <c r="B9" i="76"/>
  <c r="AO8" i="1"/>
  <c r="D2" i="21"/>
  <c r="F6" i="15"/>
  <c r="M24" i="15"/>
  <c r="M23" i="15"/>
  <c r="E2" i="68"/>
  <c r="F40" i="67"/>
  <c r="D2" i="36"/>
  <c r="B8" i="76"/>
  <c r="E12" i="76"/>
  <c r="M22" i="15"/>
  <c r="F38" i="67"/>
  <c r="B10" i="76"/>
  <c r="F8" i="67"/>
  <c r="AO12" i="1"/>
  <c r="E8" i="76"/>
  <c r="AO13" i="1"/>
  <c r="AO10" i="1"/>
  <c r="F5" i="73"/>
  <c r="F8" i="15"/>
  <c r="F37" i="15"/>
  <c r="B13" i="76"/>
  <c r="F40" i="15"/>
  <c r="D2" i="37"/>
  <c r="F9" i="15"/>
  <c r="F36" i="67"/>
  <c r="M23" i="67"/>
  <c r="B11" i="76"/>
  <c r="F38" i="15"/>
  <c r="B12" i="76"/>
  <c r="F6" i="73"/>
  <c r="M9" i="67"/>
  <c r="F42" i="15"/>
  <c r="M26" i="15"/>
  <c r="AO9" i="1"/>
  <c r="M27" i="67"/>
  <c r="F26" i="15"/>
  <c r="J15" i="67"/>
  <c r="F41" i="67"/>
  <c r="L47" i="15"/>
  <c r="M29" i="67"/>
  <c r="F6" i="67"/>
  <c r="BL13" i="3"/>
  <c r="E10" i="6"/>
  <c r="E14" i="6"/>
  <c r="E64" i="39"/>
  <c r="BA13" i="3"/>
  <c r="AZ13" i="3"/>
  <c r="I16" i="78"/>
  <c r="N16" i="78"/>
  <c r="N20" i="78"/>
  <c r="P20" i="78"/>
  <c r="G14" i="3"/>
  <c r="G15" i="3"/>
  <c r="G213" i="3"/>
  <c r="G215" i="3"/>
  <c r="G232" i="3"/>
  <c r="G234" i="3"/>
  <c r="G236" i="3"/>
  <c r="G246" i="3"/>
  <c r="G248" i="3"/>
  <c r="G252" i="3"/>
  <c r="G257" i="3"/>
  <c r="G262" i="3"/>
  <c r="G264" i="3"/>
  <c r="G267" i="3"/>
  <c r="G272" i="3"/>
  <c r="G274" i="3"/>
  <c r="G277" i="3"/>
  <c r="G282" i="3"/>
  <c r="G285" i="3"/>
  <c r="G288" i="3"/>
  <c r="G323" i="3"/>
  <c r="G339" i="3"/>
  <c r="G464" i="3"/>
  <c r="G467" i="3"/>
  <c r="G470" i="3"/>
  <c r="G477" i="3"/>
  <c r="G482" i="3"/>
  <c r="G486" i="3"/>
  <c r="G492" i="3"/>
  <c r="G587" i="3"/>
  <c r="G5" i="3"/>
  <c r="B3" i="3"/>
  <c r="D20" i="53"/>
  <c r="B40" i="72"/>
  <c r="B38" i="72"/>
  <c r="D17" i="53"/>
  <c r="B36" i="72"/>
  <c r="B34" i="72"/>
  <c r="D5" i="43"/>
  <c r="AZ572" i="3"/>
  <c r="AZ552" i="3"/>
  <c r="AZ523" i="3"/>
  <c r="E11" i="6"/>
  <c r="E61" i="39"/>
  <c r="S32" i="37"/>
  <c r="H50" i="43"/>
  <c r="U13" i="37"/>
  <c r="G28" i="6"/>
  <c r="G30" i="6"/>
  <c r="G31" i="6"/>
  <c r="U14" i="40"/>
  <c r="U43" i="33"/>
  <c r="AZ557" i="3"/>
  <c r="AZ559" i="3"/>
  <c r="U31" i="34"/>
  <c r="S14" i="37"/>
  <c r="S12" i="40"/>
  <c r="AB13" i="33"/>
  <c r="S35" i="34"/>
  <c r="AA34" i="34"/>
  <c r="S34" i="34"/>
  <c r="AB34" i="35"/>
  <c r="U34" i="35"/>
  <c r="J12" i="36"/>
  <c r="H12" i="36"/>
  <c r="F12" i="36"/>
  <c r="H14" i="37"/>
  <c r="J14" i="37"/>
  <c r="H44" i="39"/>
  <c r="J44" i="39"/>
  <c r="F44" i="39"/>
  <c r="AA38" i="39"/>
  <c r="S38" i="39"/>
  <c r="AB38" i="40"/>
  <c r="U38" i="40"/>
  <c r="H13" i="40"/>
  <c r="F13" i="40"/>
  <c r="D10" i="52"/>
  <c r="U17" i="33"/>
  <c r="P23" i="43"/>
  <c r="B71" i="39"/>
  <c r="AC11" i="34"/>
  <c r="S23" i="33"/>
  <c r="U32" i="21"/>
  <c r="W33" i="21"/>
  <c r="AA11" i="34"/>
  <c r="BA585" i="3"/>
  <c r="J44" i="21"/>
  <c r="AC44" i="21"/>
  <c r="H44" i="21"/>
  <c r="F44" i="21"/>
  <c r="AA8" i="33"/>
  <c r="S8" i="33"/>
  <c r="AC33" i="33"/>
  <c r="W33" i="33"/>
  <c r="J9" i="33"/>
  <c r="F9" i="33"/>
  <c r="J12" i="33"/>
  <c r="H12" i="33"/>
  <c r="J46" i="33"/>
  <c r="H46" i="33"/>
  <c r="J29" i="34"/>
  <c r="F29" i="34"/>
  <c r="J25" i="35"/>
  <c r="H25" i="35"/>
  <c r="AC30" i="36"/>
  <c r="AB9" i="40"/>
  <c r="U9" i="40"/>
  <c r="J33" i="40"/>
  <c r="F33" i="40"/>
  <c r="C8" i="71"/>
  <c r="P25" i="43"/>
  <c r="P22" i="43"/>
  <c r="D125" i="9"/>
  <c r="D11" i="52"/>
  <c r="S32" i="21"/>
  <c r="AA23" i="37"/>
  <c r="AA11" i="37"/>
  <c r="C58" i="21"/>
  <c r="E7" i="21"/>
  <c r="I7" i="21"/>
  <c r="G7" i="21"/>
  <c r="U27" i="34"/>
  <c r="U9" i="37"/>
  <c r="S14" i="36"/>
  <c r="S27" i="36"/>
  <c r="AC27" i="36"/>
  <c r="U35" i="40"/>
  <c r="AZ14" i="3"/>
  <c r="H5" i="3"/>
  <c r="AB12" i="37"/>
  <c r="U12" i="37"/>
  <c r="AZ568" i="3"/>
  <c r="S13" i="35"/>
  <c r="AA13" i="35"/>
  <c r="U34" i="40"/>
  <c r="W45" i="39"/>
  <c r="AC45" i="39"/>
  <c r="BL585" i="3"/>
  <c r="AC9" i="34"/>
  <c r="W9" i="34"/>
  <c r="AC34" i="35"/>
  <c r="W34" i="35"/>
  <c r="AC8" i="40"/>
  <c r="W8" i="40"/>
  <c r="AA38" i="40"/>
  <c r="S38" i="40"/>
  <c r="J40" i="40"/>
  <c r="F40" i="40"/>
  <c r="AZ525" i="3"/>
  <c r="AZ533" i="3"/>
  <c r="AZ541" i="3"/>
  <c r="BL508" i="3"/>
  <c r="AZ508" i="3"/>
  <c r="AC13" i="36"/>
  <c r="W13" i="36"/>
  <c r="AC35" i="39"/>
  <c r="W35" i="39"/>
  <c r="J11" i="21"/>
  <c r="W11" i="21"/>
  <c r="F11" i="21"/>
  <c r="BL587" i="3"/>
  <c r="BA587" i="3"/>
  <c r="AZ587" i="3"/>
  <c r="BA586" i="3"/>
  <c r="AZ586" i="3"/>
  <c r="H23" i="35"/>
  <c r="J23" i="35"/>
  <c r="AB31" i="36"/>
  <c r="U31" i="36"/>
  <c r="AB40" i="40"/>
  <c r="U40" i="40"/>
  <c r="AC32" i="40"/>
  <c r="W32" i="40"/>
  <c r="BA584" i="3"/>
  <c r="AZ584" i="3"/>
  <c r="BL582" i="3"/>
  <c r="BA582" i="3"/>
  <c r="AZ582" i="3"/>
  <c r="BL581" i="3"/>
  <c r="AZ581" i="3"/>
  <c r="BL580" i="3"/>
  <c r="AZ580" i="3"/>
  <c r="BA579" i="3"/>
  <c r="AZ579" i="3"/>
  <c r="BL578" i="3"/>
  <c r="BA578" i="3"/>
  <c r="BL576" i="3"/>
  <c r="AZ576" i="3"/>
  <c r="BL575" i="3"/>
  <c r="AZ575" i="3"/>
  <c r="BA574" i="3"/>
  <c r="AZ574" i="3"/>
  <c r="BL573" i="3"/>
  <c r="BA573" i="3"/>
  <c r="BA571" i="3"/>
  <c r="AZ571" i="3"/>
  <c r="BA570" i="3"/>
  <c r="AZ570" i="3"/>
  <c r="BL555" i="3"/>
  <c r="BA555" i="3"/>
  <c r="BA554" i="3"/>
  <c r="AZ554" i="3"/>
  <c r="BL553" i="3"/>
  <c r="BA553" i="3"/>
  <c r="BL524" i="3"/>
  <c r="BA524" i="3"/>
  <c r="AZ524" i="3"/>
  <c r="BL522" i="3"/>
  <c r="AZ522" i="3"/>
  <c r="BL521" i="3"/>
  <c r="BA521" i="3"/>
  <c r="BA520" i="3"/>
  <c r="AZ520" i="3"/>
  <c r="BA519" i="3"/>
  <c r="AZ519" i="3"/>
  <c r="BL518" i="3"/>
  <c r="BA518" i="3"/>
  <c r="BA517" i="3"/>
  <c r="AZ517" i="3"/>
  <c r="BL515" i="3"/>
  <c r="AZ515" i="3"/>
  <c r="BA514" i="3"/>
  <c r="AZ514" i="3"/>
  <c r="BA511" i="3"/>
  <c r="AZ511" i="3"/>
  <c r="BA510" i="3"/>
  <c r="AZ510" i="3"/>
  <c r="BA509" i="3"/>
  <c r="AZ509" i="3"/>
  <c r="BA507" i="3"/>
  <c r="AZ507" i="3"/>
  <c r="BL506" i="3"/>
  <c r="AZ506" i="3"/>
  <c r="BL505" i="3"/>
  <c r="AZ505" i="3"/>
  <c r="BL504" i="3"/>
  <c r="BA504" i="3"/>
  <c r="BL503" i="3"/>
  <c r="AZ503" i="3"/>
  <c r="BL502" i="3"/>
  <c r="AZ502" i="3"/>
  <c r="BA501" i="3"/>
  <c r="AZ501" i="3"/>
  <c r="BL500" i="3"/>
  <c r="AZ500" i="3"/>
  <c r="BL499" i="3"/>
  <c r="BA499" i="3"/>
  <c r="AZ499" i="3"/>
  <c r="BA498" i="3"/>
  <c r="AZ498" i="3"/>
  <c r="BA493" i="3"/>
  <c r="AZ493" i="3"/>
  <c r="AZ400" i="3"/>
  <c r="AZ404" i="3"/>
  <c r="AZ410" i="3"/>
  <c r="AZ411" i="3"/>
  <c r="AZ423" i="3"/>
  <c r="AZ427" i="3"/>
  <c r="AB45" i="33"/>
  <c r="AB46" i="34"/>
  <c r="AB11" i="35"/>
  <c r="H27" i="39"/>
  <c r="F81" i="21"/>
  <c r="G81" i="21"/>
  <c r="F12" i="34"/>
  <c r="F34" i="35"/>
  <c r="BL548" i="3"/>
  <c r="AZ548" i="3"/>
  <c r="AZ403" i="3"/>
  <c r="AZ434" i="3"/>
  <c r="AZ438" i="3"/>
  <c r="AZ443" i="3"/>
  <c r="AZ444" i="3"/>
  <c r="AZ447" i="3"/>
  <c r="AZ492" i="3"/>
  <c r="BA551" i="3"/>
  <c r="AZ551" i="3"/>
  <c r="BA550" i="3"/>
  <c r="AZ550" i="3"/>
  <c r="BL468" i="3"/>
  <c r="AZ468" i="3"/>
  <c r="AZ414" i="3"/>
  <c r="AZ440" i="3"/>
  <c r="AZ478" i="3"/>
  <c r="AZ482" i="3"/>
  <c r="BL208" i="3"/>
  <c r="AZ208" i="3"/>
  <c r="BL216" i="3"/>
  <c r="AZ216" i="3"/>
  <c r="BL129" i="3"/>
  <c r="AZ129" i="3"/>
  <c r="AZ479" i="3"/>
  <c r="BL211" i="3"/>
  <c r="AZ211" i="3"/>
  <c r="AZ252" i="3"/>
  <c r="AZ278" i="3"/>
  <c r="AZ301" i="3"/>
  <c r="BA480" i="3"/>
  <c r="AZ480" i="3"/>
  <c r="BA487" i="3"/>
  <c r="AZ487" i="3"/>
  <c r="BA488" i="3"/>
  <c r="AZ488" i="3"/>
  <c r="BA489" i="3"/>
  <c r="AZ489" i="3"/>
  <c r="BL340" i="3"/>
  <c r="AZ340" i="3"/>
  <c r="BL386" i="3"/>
  <c r="AZ386" i="3"/>
  <c r="BA220" i="3"/>
  <c r="AZ220" i="3"/>
  <c r="BA225" i="3"/>
  <c r="AZ225" i="3"/>
  <c r="BA228" i="3"/>
  <c r="AZ228" i="3"/>
  <c r="AZ230" i="3"/>
  <c r="AZ239" i="3"/>
  <c r="BA253" i="3"/>
  <c r="AZ253" i="3"/>
  <c r="BL126" i="3"/>
  <c r="AZ126" i="3"/>
  <c r="H17" i="78"/>
  <c r="BA463" i="3"/>
  <c r="AZ463" i="3"/>
  <c r="BL469" i="3"/>
  <c r="AZ469" i="3"/>
  <c r="BL472" i="3"/>
  <c r="AZ472" i="3"/>
  <c r="BL475" i="3"/>
  <c r="AZ475" i="3"/>
  <c r="BL476" i="3"/>
  <c r="AZ476" i="3"/>
  <c r="BA484" i="3"/>
  <c r="AZ484" i="3"/>
  <c r="BA485" i="3"/>
  <c r="AZ485" i="3"/>
  <c r="BA491" i="3"/>
  <c r="AZ491" i="3"/>
  <c r="BL308" i="3"/>
  <c r="AZ308" i="3"/>
  <c r="BA315" i="3"/>
  <c r="AZ315" i="3"/>
  <c r="BA319" i="3"/>
  <c r="AZ319" i="3"/>
  <c r="BL381" i="3"/>
  <c r="AZ381" i="3"/>
  <c r="AZ395" i="3"/>
  <c r="BA217" i="3"/>
  <c r="AZ217" i="3"/>
  <c r="AZ219" i="3"/>
  <c r="BA240" i="3"/>
  <c r="AZ240" i="3"/>
  <c r="AZ242" i="3"/>
  <c r="AZ289" i="3"/>
  <c r="AZ294" i="3"/>
  <c r="AZ118" i="3"/>
  <c r="AZ121" i="3"/>
  <c r="AZ134" i="3"/>
  <c r="AZ137" i="3"/>
  <c r="AZ23" i="3"/>
  <c r="BL263" i="3"/>
  <c r="AZ263" i="3"/>
  <c r="BL273" i="3"/>
  <c r="AZ273" i="3"/>
  <c r="BL276" i="3"/>
  <c r="AZ276" i="3"/>
  <c r="BL281" i="3"/>
  <c r="AZ281" i="3"/>
  <c r="BL284" i="3"/>
  <c r="AZ284" i="3"/>
  <c r="BL292" i="3"/>
  <c r="AZ292" i="3"/>
  <c r="BL296" i="3"/>
  <c r="AZ296" i="3"/>
  <c r="BA298" i="3"/>
  <c r="AZ298" i="3"/>
  <c r="BA299" i="3"/>
  <c r="AZ299" i="3"/>
  <c r="BA116" i="3"/>
  <c r="AZ116" i="3"/>
  <c r="BA120" i="3"/>
  <c r="AZ120" i="3"/>
  <c r="BA132" i="3"/>
  <c r="AZ132" i="3"/>
  <c r="BA136" i="3"/>
  <c r="AZ136" i="3"/>
  <c r="BL142" i="3"/>
  <c r="AZ142" i="3"/>
  <c r="BL145" i="3"/>
  <c r="AZ145" i="3"/>
  <c r="BL151" i="3"/>
  <c r="AZ151" i="3"/>
  <c r="BL162" i="3"/>
  <c r="AZ162" i="3"/>
  <c r="BA166" i="3"/>
  <c r="AZ166" i="3"/>
  <c r="BA169" i="3"/>
  <c r="AZ169" i="3"/>
  <c r="BL173" i="3"/>
  <c r="AZ173" i="3"/>
  <c r="BL178" i="3"/>
  <c r="AZ178" i="3"/>
  <c r="BA180" i="3"/>
  <c r="AZ180" i="3"/>
  <c r="BA186" i="3"/>
  <c r="AZ186" i="3"/>
  <c r="BL206" i="3"/>
  <c r="AZ206" i="3"/>
  <c r="BA25" i="3"/>
  <c r="AZ25" i="3"/>
  <c r="BA37" i="3"/>
  <c r="AZ37" i="3"/>
  <c r="AZ38" i="3"/>
  <c r="AZ40" i="3"/>
  <c r="BL54" i="3"/>
  <c r="AZ54" i="3"/>
  <c r="BL65" i="3"/>
  <c r="AZ65" i="3"/>
  <c r="BA247" i="3"/>
  <c r="AZ247" i="3"/>
  <c r="BA251" i="3"/>
  <c r="AZ251" i="3"/>
  <c r="BA266" i="3"/>
  <c r="AZ266" i="3"/>
  <c r="BL279" i="3"/>
  <c r="AZ279" i="3"/>
  <c r="BA287" i="3"/>
  <c r="AZ287" i="3"/>
  <c r="BA290" i="3"/>
  <c r="AZ290" i="3"/>
  <c r="BA291" i="3"/>
  <c r="AZ291" i="3"/>
  <c r="BL297" i="3"/>
  <c r="AZ297" i="3"/>
  <c r="BL302" i="3"/>
  <c r="AZ302" i="3"/>
  <c r="BL113" i="3"/>
  <c r="AZ113" i="3"/>
  <c r="BA122" i="3"/>
  <c r="AZ122" i="3"/>
  <c r="BA140" i="3"/>
  <c r="AZ140" i="3"/>
  <c r="BL146" i="3"/>
  <c r="AZ146" i="3"/>
  <c r="BL155" i="3"/>
  <c r="AZ155" i="3"/>
  <c r="BA160" i="3"/>
  <c r="AZ160" i="3"/>
  <c r="AZ185" i="3"/>
  <c r="BL199" i="3"/>
  <c r="AZ199" i="3"/>
  <c r="AZ205" i="3"/>
  <c r="BL19" i="3"/>
  <c r="AZ19" i="3"/>
  <c r="BL21" i="3"/>
  <c r="AZ21" i="3"/>
  <c r="BL27" i="3"/>
  <c r="AZ27" i="3"/>
  <c r="BL29" i="3"/>
  <c r="AZ29" i="3"/>
  <c r="AZ36" i="3"/>
  <c r="BL47" i="3"/>
  <c r="AZ47" i="3"/>
  <c r="BL41" i="3"/>
  <c r="AZ41" i="3"/>
  <c r="BL51" i="3"/>
  <c r="AZ51" i="3"/>
  <c r="BL70" i="3"/>
  <c r="AZ70" i="3"/>
  <c r="BA79" i="3"/>
  <c r="AZ79" i="3"/>
  <c r="BL93" i="3"/>
  <c r="AZ93" i="3"/>
  <c r="BA100" i="3"/>
  <c r="AZ100" i="3"/>
  <c r="AZ104" i="3"/>
  <c r="BA108" i="3"/>
  <c r="AZ108" i="3"/>
  <c r="BL112" i="3"/>
  <c r="AZ112" i="3"/>
  <c r="BL49" i="3"/>
  <c r="AZ49" i="3"/>
  <c r="BL57" i="3"/>
  <c r="AZ57" i="3"/>
  <c r="BL62" i="3"/>
  <c r="BA64" i="3"/>
  <c r="AZ64" i="3"/>
  <c r="BL66" i="3"/>
  <c r="AZ66" i="3"/>
  <c r="BA68" i="3"/>
  <c r="AZ68" i="3"/>
  <c r="BA69" i="3"/>
  <c r="AZ69" i="3"/>
  <c r="BL71" i="3"/>
  <c r="AZ71" i="3"/>
  <c r="BA73" i="3"/>
  <c r="AZ73" i="3"/>
  <c r="BA74" i="3"/>
  <c r="AZ74" i="3"/>
  <c r="BA75" i="3"/>
  <c r="AZ75" i="3"/>
  <c r="BL81" i="3"/>
  <c r="AZ81" i="3"/>
  <c r="BL83" i="3"/>
  <c r="AZ83" i="3"/>
  <c r="BL85" i="3"/>
  <c r="AZ85" i="3"/>
  <c r="BA91" i="3"/>
  <c r="AZ91" i="3"/>
  <c r="B7" i="1"/>
  <c r="E7" i="1"/>
  <c r="F3" i="35"/>
  <c r="BA44" i="3"/>
  <c r="AZ44" i="3"/>
  <c r="AZ62" i="3"/>
  <c r="AZ76" i="3"/>
  <c r="AZ90" i="3"/>
  <c r="AZ95" i="3"/>
  <c r="AZ96" i="3"/>
  <c r="E14" i="71"/>
  <c r="E13" i="71"/>
  <c r="V15" i="71"/>
  <c r="C31" i="71"/>
  <c r="D30" i="71"/>
  <c r="L100" i="43"/>
  <c r="I15" i="66"/>
  <c r="D1" i="66"/>
  <c r="E10" i="66"/>
  <c r="D41" i="71"/>
  <c r="C42" i="71"/>
  <c r="C22" i="71"/>
  <c r="D21" i="71"/>
  <c r="E59" i="43"/>
  <c r="B57" i="43"/>
  <c r="T47" i="71"/>
  <c r="D47" i="71"/>
  <c r="C18" i="71"/>
  <c r="D17" i="71"/>
  <c r="T63" i="71"/>
  <c r="D63" i="71"/>
  <c r="Y3" i="71"/>
  <c r="Z3" i="71"/>
  <c r="Y13" i="71"/>
  <c r="Z13" i="71"/>
  <c r="AA8" i="71"/>
  <c r="AB10" i="71"/>
  <c r="AA5" i="71"/>
  <c r="C57" i="71"/>
  <c r="D57" i="71"/>
  <c r="C53" i="71"/>
  <c r="AA14" i="71"/>
  <c r="AB14" i="71"/>
  <c r="C74" i="71"/>
  <c r="C66" i="71"/>
  <c r="B14" i="71"/>
  <c r="B13" i="71"/>
  <c r="Y14" i="71"/>
  <c r="Z14" i="71"/>
  <c r="C25" i="71"/>
  <c r="AA21" i="71"/>
  <c r="N55" i="71"/>
  <c r="E18" i="71"/>
  <c r="E19" i="71"/>
  <c r="U19" i="71"/>
  <c r="F25" i="71"/>
  <c r="F26" i="71"/>
  <c r="F27" i="71"/>
  <c r="V27" i="71"/>
  <c r="B34" i="71"/>
  <c r="B35" i="71"/>
  <c r="S35" i="71"/>
  <c r="B54" i="71"/>
  <c r="F62" i="71"/>
  <c r="F61" i="71"/>
  <c r="AE12" i="43"/>
  <c r="AE10" i="43"/>
  <c r="Y10" i="71"/>
  <c r="Z10" i="71"/>
  <c r="Y8" i="71"/>
  <c r="Z8" i="71"/>
  <c r="S18" i="36"/>
  <c r="B66" i="43"/>
  <c r="D46" i="71"/>
  <c r="AA13" i="71"/>
  <c r="AB13" i="71"/>
  <c r="Q54" i="71"/>
  <c r="X14" i="71"/>
  <c r="C14" i="71"/>
  <c r="AB20" i="71"/>
  <c r="X17" i="71"/>
  <c r="X15" i="71"/>
  <c r="X11" i="71"/>
  <c r="Y15" i="71"/>
  <c r="Z15" i="71"/>
  <c r="Y17" i="71"/>
  <c r="Z17" i="71"/>
  <c r="AB19" i="71"/>
  <c r="Y23" i="71"/>
  <c r="Z23" i="71"/>
  <c r="P55" i="71"/>
  <c r="U55" i="71"/>
  <c r="AC12" i="43"/>
  <c r="AC10" i="43"/>
  <c r="AB11" i="71"/>
  <c r="X9" i="71"/>
  <c r="Y5" i="71"/>
  <c r="Z5" i="71"/>
  <c r="AB8" i="71"/>
  <c r="H29" i="39"/>
  <c r="AB29" i="39"/>
  <c r="D15" i="71"/>
  <c r="U15" i="71"/>
  <c r="AA12" i="71"/>
  <c r="E54" i="71"/>
  <c r="X13" i="71"/>
  <c r="X19" i="71"/>
  <c r="F17" i="71"/>
  <c r="F18" i="71"/>
  <c r="F19" i="71"/>
  <c r="V19" i="71"/>
  <c r="E21" i="71"/>
  <c r="E22" i="71"/>
  <c r="E23" i="71"/>
  <c r="U23" i="71"/>
  <c r="AA20" i="71"/>
  <c r="X20" i="71"/>
  <c r="X21" i="71"/>
  <c r="AB22" i="71"/>
  <c r="T67" i="71"/>
  <c r="AG10" i="43"/>
  <c r="X8" i="71"/>
  <c r="AB5" i="71"/>
  <c r="AA9" i="71"/>
  <c r="B11" i="71"/>
  <c r="F10" i="71"/>
  <c r="F9" i="71"/>
  <c r="F8" i="71"/>
  <c r="F7" i="71"/>
  <c r="F6" i="71"/>
  <c r="F5" i="71"/>
  <c r="Y9" i="71"/>
  <c r="Z9" i="71"/>
  <c r="X5" i="71"/>
  <c r="Y11" i="71"/>
  <c r="Z11" i="71"/>
  <c r="E11" i="71"/>
  <c r="N56" i="9"/>
  <c r="AA11" i="71"/>
  <c r="AA10" i="71"/>
  <c r="N25" i="1"/>
  <c r="N26" i="1"/>
  <c r="L26" i="1"/>
  <c r="M26" i="1"/>
  <c r="L28" i="1"/>
  <c r="O28" i="1"/>
  <c r="H16" i="78"/>
  <c r="AR11" i="1"/>
  <c r="AQ13" i="1"/>
  <c r="T10" i="1"/>
  <c r="T11" i="1"/>
  <c r="AR10" i="1"/>
  <c r="AC11" i="21"/>
  <c r="K56" i="9"/>
  <c r="U43" i="21"/>
  <c r="S33" i="21"/>
  <c r="J37" i="21"/>
  <c r="H113" i="21"/>
  <c r="H37" i="21"/>
  <c r="F37" i="21"/>
  <c r="AB36" i="21"/>
  <c r="S35" i="21"/>
  <c r="U35" i="21"/>
  <c r="S34" i="21"/>
  <c r="AC32" i="21"/>
  <c r="W27" i="21"/>
  <c r="AC27" i="21"/>
  <c r="AC29" i="21"/>
  <c r="W29" i="21"/>
  <c r="AA29" i="21"/>
  <c r="AA25" i="21"/>
  <c r="AB23" i="21"/>
  <c r="AA23" i="21"/>
  <c r="S21" i="21"/>
  <c r="AB19" i="21"/>
  <c r="U19" i="21"/>
  <c r="AC19" i="21"/>
  <c r="F79" i="21"/>
  <c r="G79" i="21"/>
  <c r="F17" i="21"/>
  <c r="J17" i="21"/>
  <c r="H17" i="21"/>
  <c r="AB11" i="21"/>
  <c r="C18" i="9"/>
  <c r="D18" i="9"/>
  <c r="T8" i="1"/>
  <c r="AR8" i="1"/>
  <c r="W44" i="21"/>
  <c r="F42" i="21"/>
  <c r="AA42" i="21"/>
  <c r="G123" i="21"/>
  <c r="H123" i="21"/>
  <c r="I123" i="21"/>
  <c r="J123" i="21"/>
  <c r="K123" i="21"/>
  <c r="L123" i="21"/>
  <c r="M123" i="21"/>
  <c r="W42" i="21"/>
  <c r="AB42" i="21"/>
  <c r="S42" i="21"/>
  <c r="U33" i="21"/>
  <c r="G66" i="21"/>
  <c r="H66" i="21"/>
  <c r="I66" i="21"/>
  <c r="J10" i="21"/>
  <c r="AC10" i="21"/>
  <c r="AC9" i="21"/>
  <c r="E14" i="49"/>
  <c r="B7" i="49"/>
  <c r="BL15" i="3"/>
  <c r="AZ15" i="3"/>
  <c r="W29" i="39"/>
  <c r="U29" i="39"/>
  <c r="S29" i="39"/>
  <c r="W27" i="39"/>
  <c r="S25" i="39"/>
  <c r="U25" i="39"/>
  <c r="F95" i="39"/>
  <c r="G95" i="39"/>
  <c r="J21" i="39"/>
  <c r="F21" i="39"/>
  <c r="H21" i="39"/>
  <c r="U21" i="39"/>
  <c r="F91" i="39"/>
  <c r="G91" i="39"/>
  <c r="F17" i="39"/>
  <c r="H17" i="39"/>
  <c r="AB17" i="39"/>
  <c r="J17" i="39"/>
  <c r="AA41" i="39"/>
  <c r="AB39" i="39"/>
  <c r="AA39" i="39"/>
  <c r="S35" i="39"/>
  <c r="S42" i="39"/>
  <c r="U40" i="39"/>
  <c r="S19" i="39"/>
  <c r="U9" i="39"/>
  <c r="T9" i="43"/>
  <c r="V9" i="43"/>
  <c r="C40" i="68"/>
  <c r="C40" i="69"/>
  <c r="D23" i="67"/>
  <c r="C36" i="69"/>
  <c r="L27" i="6"/>
  <c r="C7" i="12"/>
  <c r="K6" i="1"/>
  <c r="Q16" i="1"/>
  <c r="F28" i="12"/>
  <c r="E15" i="6"/>
  <c r="E65" i="39"/>
  <c r="M7" i="1"/>
  <c r="O7" i="1"/>
  <c r="P7" i="1"/>
  <c r="G3" i="43"/>
  <c r="G101" i="43"/>
  <c r="C11" i="39"/>
  <c r="A15" i="62"/>
  <c r="B61" i="72"/>
  <c r="D68" i="39"/>
  <c r="C70" i="39"/>
  <c r="T12" i="43"/>
  <c r="V12" i="43"/>
  <c r="B14" i="49"/>
  <c r="E6" i="49"/>
  <c r="E9" i="49"/>
  <c r="B5" i="49"/>
  <c r="E22" i="49"/>
  <c r="E13" i="49"/>
  <c r="E4" i="49"/>
  <c r="E5" i="49"/>
  <c r="E11" i="49"/>
  <c r="B4" i="49"/>
  <c r="E10" i="49"/>
  <c r="B15" i="49"/>
  <c r="B22" i="49"/>
  <c r="E15" i="49"/>
  <c r="B16" i="49"/>
  <c r="B11" i="49"/>
  <c r="E4" i="4"/>
  <c r="B5" i="62"/>
  <c r="B73" i="72"/>
  <c r="E21" i="49"/>
  <c r="B8" i="49"/>
  <c r="E8" i="49"/>
  <c r="B10" i="49"/>
  <c r="E16" i="49"/>
  <c r="B9" i="49"/>
  <c r="C4" i="4"/>
  <c r="B13" i="49"/>
  <c r="B6" i="49"/>
  <c r="E7" i="49"/>
  <c r="D22" i="67"/>
  <c r="P61" i="15"/>
  <c r="C94" i="9"/>
  <c r="C92" i="9"/>
  <c r="F30" i="69"/>
  <c r="C30" i="69"/>
  <c r="F52" i="9"/>
  <c r="D68" i="9"/>
  <c r="F28" i="15"/>
  <c r="F32" i="67"/>
  <c r="F60" i="67"/>
  <c r="F28" i="67"/>
  <c r="C28" i="67"/>
  <c r="C24" i="12"/>
  <c r="C77" i="9"/>
  <c r="C74" i="9"/>
  <c r="C30" i="11"/>
  <c r="F54" i="9"/>
  <c r="M18" i="15"/>
  <c r="F32" i="15"/>
  <c r="F60" i="15"/>
  <c r="M18" i="67"/>
  <c r="F31" i="12"/>
  <c r="F30" i="68"/>
  <c r="E28" i="6"/>
  <c r="K14" i="1"/>
  <c r="T9" i="1"/>
  <c r="AQ9" i="1"/>
  <c r="E56" i="40"/>
  <c r="E13" i="6"/>
  <c r="E12" i="6"/>
  <c r="E8" i="6"/>
  <c r="K15" i="1"/>
  <c r="O11" i="1"/>
  <c r="P11" i="1"/>
  <c r="O12" i="1"/>
  <c r="P12" i="1"/>
  <c r="O8" i="1"/>
  <c r="P8" i="1"/>
  <c r="O9" i="1"/>
  <c r="P9" i="1"/>
  <c r="D9" i="69"/>
  <c r="C9" i="69"/>
  <c r="B113" i="43"/>
  <c r="C101" i="43"/>
  <c r="I101" i="43"/>
  <c r="AJ11" i="43"/>
  <c r="AJ13" i="43"/>
  <c r="Z7" i="43"/>
  <c r="AG11" i="43"/>
  <c r="AG13" i="43"/>
  <c r="F22" i="43"/>
  <c r="F101" i="43"/>
  <c r="N27" i="77"/>
  <c r="N28" i="77"/>
  <c r="N29" i="77"/>
  <c r="M29" i="77"/>
  <c r="M3" i="77"/>
  <c r="O29" i="77"/>
  <c r="T35" i="4"/>
  <c r="A19" i="51"/>
  <c r="B14" i="72"/>
  <c r="T11" i="43"/>
  <c r="V11" i="43"/>
  <c r="D12" i="52"/>
  <c r="D127" i="9"/>
  <c r="D13" i="52"/>
  <c r="C34" i="43"/>
  <c r="T10" i="43"/>
  <c r="V10" i="43"/>
  <c r="C33" i="43"/>
  <c r="T15" i="43"/>
  <c r="V15" i="43"/>
  <c r="T16" i="43"/>
  <c r="V16" i="43"/>
  <c r="C37" i="43"/>
  <c r="T13" i="43"/>
  <c r="V13" i="43"/>
  <c r="C35" i="43"/>
  <c r="T8" i="43"/>
  <c r="V8" i="43"/>
  <c r="C36" i="43"/>
  <c r="C38" i="43"/>
  <c r="C39" i="43"/>
  <c r="T14" i="43"/>
  <c r="V14" i="43"/>
  <c r="L59" i="34"/>
  <c r="M59" i="34"/>
  <c r="N59" i="34"/>
  <c r="O59" i="34"/>
  <c r="F7" i="34"/>
  <c r="E48" i="35"/>
  <c r="F48" i="35"/>
  <c r="G48" i="35"/>
  <c r="H48" i="35"/>
  <c r="I48" i="35"/>
  <c r="J48" i="35"/>
  <c r="K48" i="35"/>
  <c r="L48" i="35"/>
  <c r="M48" i="35"/>
  <c r="N48" i="35"/>
  <c r="O48" i="35"/>
  <c r="H7" i="35"/>
  <c r="C65" i="40"/>
  <c r="D63" i="40"/>
  <c r="D58" i="33"/>
  <c r="E58" i="33"/>
  <c r="F58" i="33"/>
  <c r="G58" i="33"/>
  <c r="H58" i="33"/>
  <c r="I58" i="33"/>
  <c r="J58" i="33"/>
  <c r="K58" i="33"/>
  <c r="L58" i="33"/>
  <c r="M58" i="33"/>
  <c r="N58" i="33"/>
  <c r="O58" i="33"/>
  <c r="J7" i="33"/>
  <c r="F7" i="33"/>
  <c r="E52" i="37"/>
  <c r="F52" i="37"/>
  <c r="G52" i="37"/>
  <c r="H52" i="37"/>
  <c r="I52" i="37"/>
  <c r="J52" i="37"/>
  <c r="K52" i="37"/>
  <c r="L52" i="37"/>
  <c r="M52" i="37"/>
  <c r="N52" i="37"/>
  <c r="O52" i="37"/>
  <c r="F7" i="37"/>
  <c r="H7" i="37"/>
  <c r="E46" i="36"/>
  <c r="F46" i="36"/>
  <c r="G46" i="36"/>
  <c r="H46" i="36"/>
  <c r="I46" i="36"/>
  <c r="J46" i="36"/>
  <c r="K46" i="36"/>
  <c r="L46" i="36"/>
  <c r="M46" i="36"/>
  <c r="N46" i="36"/>
  <c r="O46" i="36"/>
  <c r="H7" i="36"/>
  <c r="J7" i="36"/>
  <c r="D58" i="21"/>
  <c r="C28" i="15"/>
  <c r="C48" i="69"/>
  <c r="F66" i="15"/>
  <c r="B13" i="70"/>
  <c r="Q71" i="15"/>
  <c r="F64" i="15"/>
  <c r="J20" i="67"/>
  <c r="F68" i="67"/>
  <c r="F51" i="15"/>
  <c r="B12" i="70"/>
  <c r="F64" i="67"/>
  <c r="B20" i="31"/>
  <c r="F68" i="15"/>
  <c r="C27" i="67"/>
  <c r="B11" i="70"/>
  <c r="F66" i="67"/>
  <c r="F65" i="15"/>
  <c r="C27" i="15"/>
  <c r="B9" i="70"/>
  <c r="N59" i="15"/>
  <c r="L58" i="15"/>
  <c r="I1" i="73"/>
  <c r="B39" i="1"/>
  <c r="B10" i="70"/>
  <c r="F69" i="67"/>
  <c r="B8" i="70"/>
  <c r="F51" i="67"/>
  <c r="J57" i="15"/>
  <c r="J55" i="15"/>
  <c r="J58" i="15"/>
  <c r="Q50" i="15"/>
  <c r="I54" i="15"/>
  <c r="J57" i="67"/>
  <c r="J55" i="67"/>
  <c r="J58" i="67"/>
  <c r="Q50" i="67"/>
  <c r="L56" i="67"/>
  <c r="I54" i="67"/>
  <c r="M17" i="15"/>
  <c r="M17" i="67"/>
  <c r="F59" i="15"/>
  <c r="F59" i="67"/>
  <c r="D9" i="68"/>
  <c r="C13" i="12"/>
  <c r="D19" i="12"/>
  <c r="D6" i="73"/>
  <c r="F37" i="67"/>
  <c r="M26" i="67"/>
  <c r="F13" i="67"/>
  <c r="D4" i="73"/>
  <c r="F7" i="15"/>
  <c r="M27" i="15"/>
  <c r="F43" i="15"/>
  <c r="F9" i="67"/>
  <c r="M8" i="67"/>
  <c r="F35" i="67"/>
  <c r="F16" i="67"/>
  <c r="M8" i="15"/>
  <c r="F42" i="67"/>
  <c r="D5" i="73"/>
  <c r="F7" i="67"/>
  <c r="F43" i="67"/>
  <c r="M29" i="15"/>
  <c r="M9" i="15"/>
  <c r="L47" i="67"/>
  <c r="C76" i="67"/>
  <c r="H101" i="43"/>
  <c r="Y11" i="43"/>
  <c r="Y13" i="43"/>
  <c r="AB11" i="43"/>
  <c r="AB13" i="43"/>
  <c r="D101" i="43"/>
  <c r="D103" i="43"/>
  <c r="G16" i="1"/>
  <c r="F10" i="39"/>
  <c r="E22" i="43"/>
  <c r="AC11" i="43"/>
  <c r="AC13" i="43"/>
  <c r="AF11" i="43"/>
  <c r="AF13" i="43"/>
  <c r="N104" i="46"/>
  <c r="E59" i="40"/>
  <c r="E13" i="3"/>
  <c r="E134" i="3"/>
  <c r="E583" i="3"/>
  <c r="E247" i="3"/>
  <c r="AN6" i="3"/>
  <c r="E555" i="3"/>
  <c r="E402" i="3"/>
  <c r="E431" i="3"/>
  <c r="E495" i="3"/>
  <c r="E445" i="3"/>
  <c r="E201" i="3"/>
  <c r="E586" i="3"/>
  <c r="E353" i="3"/>
  <c r="E60" i="40"/>
  <c r="I20" i="78"/>
  <c r="L18" i="9"/>
  <c r="M18" i="9"/>
  <c r="F65" i="67"/>
  <c r="Q71" i="67"/>
  <c r="E20" i="43"/>
  <c r="P28" i="43"/>
  <c r="F63" i="67"/>
  <c r="C62" i="67"/>
  <c r="C34" i="67"/>
  <c r="F71" i="67"/>
  <c r="F70" i="67"/>
  <c r="C6" i="67"/>
  <c r="C32" i="67"/>
  <c r="F50" i="67"/>
  <c r="M7" i="67"/>
  <c r="J6" i="67"/>
  <c r="J18" i="67"/>
  <c r="L58" i="67"/>
  <c r="Q60" i="67"/>
  <c r="N59" i="67"/>
  <c r="L59" i="67"/>
  <c r="Q61" i="67"/>
  <c r="K1" i="73"/>
  <c r="F7" i="35"/>
  <c r="H7" i="34"/>
  <c r="E549" i="3"/>
  <c r="E536" i="3"/>
  <c r="I6" i="3"/>
  <c r="E568" i="3"/>
  <c r="E397" i="3"/>
  <c r="E143" i="3"/>
  <c r="E337" i="3"/>
  <c r="E410" i="3"/>
  <c r="O6" i="3"/>
  <c r="E395" i="3"/>
  <c r="H20" i="78"/>
  <c r="J16" i="78"/>
  <c r="B10" i="71"/>
  <c r="B9" i="71"/>
  <c r="B8" i="71"/>
  <c r="B7" i="71"/>
  <c r="S11" i="71"/>
  <c r="D66" i="71"/>
  <c r="C65" i="71"/>
  <c r="D65" i="71"/>
  <c r="O52" i="71"/>
  <c r="O53" i="71"/>
  <c r="D53" i="71"/>
  <c r="C43" i="71"/>
  <c r="D42" i="71"/>
  <c r="S34" i="35"/>
  <c r="AA34" i="35"/>
  <c r="W23" i="35"/>
  <c r="AC23" i="35"/>
  <c r="W40" i="40"/>
  <c r="AC40" i="40"/>
  <c r="W25" i="35"/>
  <c r="AC25" i="35"/>
  <c r="AC46" i="33"/>
  <c r="W46" i="33"/>
  <c r="AC9" i="33"/>
  <c r="W9" i="33"/>
  <c r="AZ585" i="3"/>
  <c r="AA13" i="40"/>
  <c r="S13" i="40"/>
  <c r="AB44" i="39"/>
  <c r="U44" i="39"/>
  <c r="U12" i="36"/>
  <c r="AB12" i="36"/>
  <c r="F7" i="36"/>
  <c r="J7" i="37"/>
  <c r="H7" i="33"/>
  <c r="J7" i="35"/>
  <c r="J7" i="34"/>
  <c r="E578" i="3"/>
  <c r="AI6" i="3"/>
  <c r="E518" i="3"/>
  <c r="E385" i="3"/>
  <c r="E151" i="3"/>
  <c r="E229" i="3"/>
  <c r="E396" i="3"/>
  <c r="E569" i="3"/>
  <c r="E388" i="3"/>
  <c r="E114" i="3"/>
  <c r="W10" i="21"/>
  <c r="H10" i="21"/>
  <c r="C26" i="71"/>
  <c r="D25" i="71"/>
  <c r="C73" i="71"/>
  <c r="D73" i="71"/>
  <c r="D74" i="71"/>
  <c r="D31" i="71"/>
  <c r="T31" i="71"/>
  <c r="AA12" i="34"/>
  <c r="S12" i="34"/>
  <c r="AZ504" i="3"/>
  <c r="AZ518" i="3"/>
  <c r="AZ521" i="3"/>
  <c r="AZ555" i="3"/>
  <c r="AZ573" i="3"/>
  <c r="U23" i="35"/>
  <c r="AB23" i="35"/>
  <c r="S11" i="21"/>
  <c r="AA11" i="21"/>
  <c r="C7" i="71"/>
  <c r="D8" i="71"/>
  <c r="AA29" i="34"/>
  <c r="S29" i="34"/>
  <c r="U12" i="33"/>
  <c r="AB12" i="33"/>
  <c r="AA44" i="21"/>
  <c r="S44" i="21"/>
  <c r="U13" i="40"/>
  <c r="AB13" i="40"/>
  <c r="AC14" i="37"/>
  <c r="W14" i="37"/>
  <c r="W12" i="36"/>
  <c r="AC12" i="36"/>
  <c r="E434" i="3"/>
  <c r="AK6" i="3"/>
  <c r="E16" i="3"/>
  <c r="E511" i="3"/>
  <c r="E314" i="3"/>
  <c r="E97" i="3"/>
  <c r="E285" i="3"/>
  <c r="E359" i="3"/>
  <c r="E574" i="3"/>
  <c r="E535" i="3"/>
  <c r="E246" i="3"/>
  <c r="F10" i="21"/>
  <c r="P54" i="71"/>
  <c r="E53" i="71"/>
  <c r="C13" i="71"/>
  <c r="D13" i="71"/>
  <c r="D14" i="71"/>
  <c r="C19" i="71"/>
  <c r="D18" i="71"/>
  <c r="AZ553" i="3"/>
  <c r="AZ578" i="3"/>
  <c r="AA33" i="40"/>
  <c r="S33" i="40"/>
  <c r="W29" i="34"/>
  <c r="AC29" i="34"/>
  <c r="W12" i="33"/>
  <c r="AC12" i="33"/>
  <c r="U44" i="21"/>
  <c r="AB44" i="21"/>
  <c r="AA44" i="39"/>
  <c r="S44" i="39"/>
  <c r="AB14" i="37"/>
  <c r="U14" i="37"/>
  <c r="BA5" i="3"/>
  <c r="E10" i="71"/>
  <c r="E9" i="71"/>
  <c r="E8" i="71"/>
  <c r="E7" i="71"/>
  <c r="V11" i="71"/>
  <c r="B53" i="71"/>
  <c r="N54" i="71"/>
  <c r="C23" i="71"/>
  <c r="D22" i="71"/>
  <c r="U27" i="39"/>
  <c r="AB27" i="39"/>
  <c r="S40" i="40"/>
  <c r="AA40" i="40"/>
  <c r="W33" i="40"/>
  <c r="AC33" i="40"/>
  <c r="U25" i="35"/>
  <c r="AB25" i="35"/>
  <c r="AB46" i="33"/>
  <c r="U46" i="33"/>
  <c r="S9" i="33"/>
  <c r="AA9" i="33"/>
  <c r="AC44" i="39"/>
  <c r="W44" i="39"/>
  <c r="S12" i="36"/>
  <c r="AA12" i="36"/>
  <c r="J18" i="78"/>
  <c r="E579" i="3"/>
  <c r="E516" i="3"/>
  <c r="E509" i="3"/>
  <c r="E239" i="3"/>
  <c r="E550" i="3"/>
  <c r="E260" i="3"/>
  <c r="E415" i="3"/>
  <c r="E293" i="3"/>
  <c r="E336" i="3"/>
  <c r="E302" i="3"/>
  <c r="E503" i="3"/>
  <c r="E17" i="3"/>
  <c r="E361" i="3"/>
  <c r="E172" i="3"/>
  <c r="E563" i="3"/>
  <c r="E278" i="3"/>
  <c r="E69" i="3"/>
  <c r="E124" i="3"/>
  <c r="E280" i="3"/>
  <c r="E399" i="3"/>
  <c r="E343" i="3"/>
  <c r="E387" i="3"/>
  <c r="G22" i="43"/>
  <c r="L101" i="43"/>
  <c r="L102" i="43"/>
  <c r="N101" i="43"/>
  <c r="K101" i="43"/>
  <c r="K107" i="43"/>
  <c r="J22" i="43"/>
  <c r="AA11" i="43"/>
  <c r="AA13" i="43"/>
  <c r="AE11" i="43"/>
  <c r="AE13" i="43"/>
  <c r="AI11" i="43"/>
  <c r="AI13" i="43"/>
  <c r="Z11" i="43"/>
  <c r="Z13" i="43"/>
  <c r="AD11" i="43"/>
  <c r="AD13" i="43"/>
  <c r="AH11" i="43"/>
  <c r="AH13" i="43"/>
  <c r="E101" i="43"/>
  <c r="E102" i="43"/>
  <c r="M101" i="43"/>
  <c r="M106" i="43"/>
  <c r="H22" i="43"/>
  <c r="J101" i="43"/>
  <c r="X6" i="3"/>
  <c r="E508" i="3"/>
  <c r="E175" i="3"/>
  <c r="E559" i="3"/>
  <c r="E215" i="3"/>
  <c r="AA6" i="3"/>
  <c r="E329" i="3"/>
  <c r="E305" i="3"/>
  <c r="E530" i="3"/>
  <c r="V6" i="3"/>
  <c r="E335" i="3"/>
  <c r="E189" i="3"/>
  <c r="E213" i="3"/>
  <c r="E183" i="3"/>
  <c r="E565" i="3"/>
  <c r="E528" i="3"/>
  <c r="E304" i="3"/>
  <c r="E261" i="3"/>
  <c r="E237" i="3"/>
  <c r="E128" i="3"/>
  <c r="E165" i="3"/>
  <c r="E205" i="3"/>
  <c r="E227" i="3"/>
  <c r="E352" i="3"/>
  <c r="E461" i="3"/>
  <c r="E510" i="3"/>
  <c r="E567" i="3"/>
  <c r="E545" i="3"/>
  <c r="E539" i="3"/>
  <c r="E328" i="3"/>
  <c r="E426" i="3"/>
  <c r="E153" i="3"/>
  <c r="E501" i="3"/>
  <c r="E319" i="3"/>
  <c r="E53" i="3"/>
  <c r="E358" i="3"/>
  <c r="E551" i="3"/>
  <c r="E407" i="3"/>
  <c r="E320" i="3"/>
  <c r="E294" i="3"/>
  <c r="E230" i="3"/>
  <c r="E130" i="3"/>
  <c r="E254" i="3"/>
  <c r="E418" i="3"/>
  <c r="E180" i="3"/>
  <c r="AA37" i="21"/>
  <c r="S37" i="21"/>
  <c r="U37" i="21"/>
  <c r="AB37" i="21"/>
  <c r="W37" i="21"/>
  <c r="AC37" i="21"/>
  <c r="AB17" i="21"/>
  <c r="U17" i="21"/>
  <c r="AA17" i="21"/>
  <c r="S17" i="21"/>
  <c r="W17" i="21"/>
  <c r="AC17" i="21"/>
  <c r="AZ5" i="3"/>
  <c r="E3" i="6"/>
  <c r="D3" i="34"/>
  <c r="BL5" i="3"/>
  <c r="S10" i="21"/>
  <c r="AA10" i="21"/>
  <c r="AB10" i="21"/>
  <c r="U10" i="21"/>
  <c r="W21" i="39"/>
  <c r="AC21" i="39"/>
  <c r="AB21" i="39"/>
  <c r="S21" i="39"/>
  <c r="AA21" i="39"/>
  <c r="U17" i="39"/>
  <c r="W17" i="39"/>
  <c r="AC17" i="39"/>
  <c r="AA17" i="39"/>
  <c r="S17" i="39"/>
  <c r="E136" i="3"/>
  <c r="E347" i="3"/>
  <c r="AJ6" i="3"/>
  <c r="N6" i="3"/>
  <c r="E322" i="3"/>
  <c r="E282" i="3"/>
  <c r="E268" i="3"/>
  <c r="E553" i="3"/>
  <c r="E526" i="3"/>
  <c r="E366" i="3"/>
  <c r="E217" i="3"/>
  <c r="E125" i="3"/>
  <c r="E514" i="3"/>
  <c r="E570" i="3"/>
  <c r="M6" i="3"/>
  <c r="AB6" i="3"/>
  <c r="E439" i="3"/>
  <c r="E338" i="3"/>
  <c r="E380" i="3"/>
  <c r="E321" i="3"/>
  <c r="E231" i="3"/>
  <c r="E298" i="3"/>
  <c r="E216" i="3"/>
  <c r="E169" i="3"/>
  <c r="E185" i="3"/>
  <c r="E61" i="3"/>
  <c r="E30" i="6"/>
  <c r="E390" i="3"/>
  <c r="E296" i="3"/>
  <c r="E91" i="3"/>
  <c r="F27" i="11"/>
  <c r="C47" i="11"/>
  <c r="D45" i="11"/>
  <c r="F27" i="69"/>
  <c r="C47" i="69"/>
  <c r="D45" i="69"/>
  <c r="F27" i="68"/>
  <c r="C47" i="68"/>
  <c r="D45" i="68"/>
  <c r="H16" i="1"/>
  <c r="F71" i="15"/>
  <c r="M7" i="15"/>
  <c r="J6" i="15"/>
  <c r="J18" i="15"/>
  <c r="C6" i="15"/>
  <c r="C32" i="15"/>
  <c r="F50" i="15"/>
  <c r="C49" i="15"/>
  <c r="E523" i="3"/>
  <c r="E306" i="3"/>
  <c r="E262" i="3"/>
  <c r="E236" i="3"/>
  <c r="E221" i="3"/>
  <c r="M6" i="1"/>
  <c r="S6" i="3"/>
  <c r="E506" i="3"/>
  <c r="E453" i="3"/>
  <c r="E368" i="3"/>
  <c r="E244" i="3"/>
  <c r="E196" i="3"/>
  <c r="E156" i="3"/>
  <c r="E135" i="3"/>
  <c r="E290" i="3"/>
  <c r="E161" i="3"/>
  <c r="E117" i="3"/>
  <c r="E311" i="3"/>
  <c r="E533" i="3"/>
  <c r="E561" i="3"/>
  <c r="E423" i="3"/>
  <c r="E382" i="3"/>
  <c r="E263" i="3"/>
  <c r="E245" i="3"/>
  <c r="E191" i="3"/>
  <c r="E188" i="3"/>
  <c r="E228" i="3"/>
  <c r="E181" i="3"/>
  <c r="E15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AR6" i="3"/>
  <c r="E350" i="3"/>
  <c r="E301" i="3"/>
  <c r="E99"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270" i="3"/>
  <c r="E303" i="3"/>
  <c r="E148" i="3"/>
  <c r="E149" i="3"/>
  <c r="E212" i="3"/>
  <c r="E167" i="3"/>
  <c r="E141" i="3"/>
  <c r="E312" i="3"/>
  <c r="AD6" i="3"/>
  <c r="E542" i="3"/>
  <c r="E552" i="3"/>
  <c r="E421" i="3"/>
  <c r="E464" i="3"/>
  <c r="E487" i="3"/>
  <c r="E398" i="3"/>
  <c r="E416" i="3"/>
  <c r="E459" i="3"/>
  <c r="E374" i="3"/>
  <c r="E566" i="3"/>
  <c r="E500" i="3"/>
  <c r="E582" i="3"/>
  <c r="E413" i="3"/>
  <c r="E450" i="3"/>
  <c r="E468" i="3"/>
  <c r="E471" i="3"/>
  <c r="E496" i="3"/>
  <c r="E433" i="3"/>
  <c r="E454" i="3"/>
  <c r="E475" i="3"/>
  <c r="E55" i="3"/>
  <c r="E72" i="3"/>
  <c r="E106" i="3"/>
  <c r="E54" i="3"/>
  <c r="E73" i="3"/>
  <c r="E111" i="3"/>
  <c r="E146" i="3"/>
  <c r="E168" i="3"/>
  <c r="E203" i="3"/>
  <c r="E150" i="3"/>
  <c r="E171" i="3"/>
  <c r="E208" i="3"/>
  <c r="E279" i="3"/>
  <c r="E214" i="3"/>
  <c r="E257" i="3"/>
  <c r="E274" i="3"/>
  <c r="E351" i="3"/>
  <c r="E315" i="3"/>
  <c r="E394" i="3"/>
  <c r="E14" i="3"/>
  <c r="E31" i="3"/>
  <c r="E93" i="3"/>
  <c r="E409" i="3"/>
  <c r="E15" i="3"/>
  <c r="E79" i="3"/>
  <c r="E170" i="3"/>
  <c r="E234" i="3"/>
  <c r="E299" i="3"/>
  <c r="E325" i="3"/>
  <c r="AQ6" i="3"/>
  <c r="E36" i="3"/>
  <c r="E123" i="3"/>
  <c r="E289" i="3"/>
  <c r="E364" i="3"/>
  <c r="E20" i="3"/>
  <c r="E113" i="3"/>
  <c r="E158" i="3"/>
  <c r="E287" i="3"/>
  <c r="E365" i="3"/>
  <c r="E326" i="3"/>
  <c r="E22" i="3"/>
  <c r="E538" i="3"/>
  <c r="E159" i="3"/>
  <c r="E122" i="3"/>
  <c r="E77" i="3"/>
  <c r="E253" i="3"/>
  <c r="E199" i="3"/>
  <c r="E286" i="3"/>
  <c r="E575" i="3"/>
  <c r="E499" i="3"/>
  <c r="R6" i="3"/>
  <c r="E502" i="3"/>
  <c r="E442" i="3"/>
  <c r="E466" i="3"/>
  <c r="E541" i="3"/>
  <c r="E430" i="3"/>
  <c r="E449" i="3"/>
  <c r="E255" i="3"/>
  <c r="I3" i="6"/>
  <c r="AP6" i="3"/>
  <c r="E554" i="3"/>
  <c r="E517"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63" i="3"/>
  <c r="E19" i="3"/>
  <c r="E81" i="3"/>
  <c r="E154" i="3"/>
  <c r="E118" i="3"/>
  <c r="E179" i="3"/>
  <c r="E264" i="3"/>
  <c r="E222" i="3"/>
  <c r="E283" i="3"/>
  <c r="E323" i="3"/>
  <c r="E309" i="3"/>
  <c r="E373" i="3"/>
  <c r="E513" i="3"/>
  <c r="E82" i="3"/>
  <c r="E21" i="3"/>
  <c r="E256" i="3"/>
  <c r="E357" i="3"/>
  <c r="E318" i="3"/>
  <c r="E362" i="3"/>
  <c r="E580" i="3"/>
  <c r="E74" i="3"/>
  <c r="E32" i="3"/>
  <c r="E75" i="3"/>
  <c r="E473" i="3"/>
  <c r="E455" i="3"/>
  <c r="E38" i="3"/>
  <c r="E100" i="3"/>
  <c r="E137" i="3"/>
  <c r="E194" i="3"/>
  <c r="E219" i="3"/>
  <c r="E339" i="3"/>
  <c r="E392" i="3"/>
  <c r="E52" i="3"/>
  <c r="E112" i="3"/>
  <c r="E147" i="3"/>
  <c r="E340" i="3"/>
  <c r="E50" i="3"/>
  <c r="E80" i="3"/>
  <c r="E62" i="3"/>
  <c r="E176" i="3"/>
  <c r="E218" i="3"/>
  <c r="E265" i="3"/>
  <c r="E308" i="3"/>
  <c r="E524" i="3"/>
  <c r="E101" i="3"/>
  <c r="E83" i="3"/>
  <c r="D3" i="21"/>
  <c r="E16" i="6"/>
  <c r="H11" i="39"/>
  <c r="F11" i="39"/>
  <c r="J11" i="39"/>
  <c r="B4" i="62"/>
  <c r="B71" i="72"/>
  <c r="K4" i="4"/>
  <c r="B46" i="48"/>
  <c r="B4" i="72"/>
  <c r="D70" i="39"/>
  <c r="E68" i="39"/>
  <c r="C19" i="12"/>
  <c r="C9" i="68"/>
  <c r="C30" i="68"/>
  <c r="C48" i="68"/>
  <c r="K16" i="1"/>
  <c r="M14" i="1"/>
  <c r="C34" i="69"/>
  <c r="F27" i="6"/>
  <c r="E56" i="39"/>
  <c r="E51" i="40"/>
  <c r="E58" i="40"/>
  <c r="E63" i="39"/>
  <c r="E57" i="40"/>
  <c r="E62" i="39"/>
  <c r="J10" i="40"/>
  <c r="W10" i="40"/>
  <c r="H102" i="43"/>
  <c r="H103" i="43"/>
  <c r="H104" i="43"/>
  <c r="H107" i="43"/>
  <c r="H105" i="43"/>
  <c r="H106" i="43"/>
  <c r="H109" i="43"/>
  <c r="F104" i="43"/>
  <c r="F107" i="43"/>
  <c r="F106" i="43"/>
  <c r="F103" i="43"/>
  <c r="F102" i="43"/>
  <c r="F105" i="43"/>
  <c r="F109" i="43"/>
  <c r="I109" i="43"/>
  <c r="I102" i="43"/>
  <c r="I106" i="43"/>
  <c r="I103" i="43"/>
  <c r="I104" i="43"/>
  <c r="I107" i="43"/>
  <c r="I105" i="43"/>
  <c r="D109" i="43"/>
  <c r="D105" i="43"/>
  <c r="C106" i="43"/>
  <c r="C105" i="43"/>
  <c r="C102" i="43"/>
  <c r="C109" i="43"/>
  <c r="C104" i="43"/>
  <c r="C107" i="43"/>
  <c r="C103" i="43"/>
  <c r="I118" i="43"/>
  <c r="J118" i="43"/>
  <c r="K118" i="43"/>
  <c r="L118" i="43"/>
  <c r="M118" i="43"/>
  <c r="D118" i="43"/>
  <c r="E118" i="43"/>
  <c r="F118" i="43"/>
  <c r="D115" i="43"/>
  <c r="E115" i="43"/>
  <c r="F115" i="43"/>
  <c r="G115" i="43"/>
  <c r="H115"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L105" i="43"/>
  <c r="N102" i="43"/>
  <c r="N103" i="43"/>
  <c r="N106" i="43"/>
  <c r="N107" i="43"/>
  <c r="N105" i="43"/>
  <c r="N104" i="43"/>
  <c r="N109" i="43"/>
  <c r="K103" i="43"/>
  <c r="K102" i="43"/>
  <c r="K109" i="43"/>
  <c r="E106" i="43"/>
  <c r="E109" i="43"/>
  <c r="M102" i="43"/>
  <c r="M107" i="43"/>
  <c r="J105" i="43"/>
  <c r="J103" i="43"/>
  <c r="J106" i="43"/>
  <c r="J104" i="43"/>
  <c r="J107" i="43"/>
  <c r="J102" i="43"/>
  <c r="J109" i="43"/>
  <c r="G102" i="43"/>
  <c r="G103" i="43"/>
  <c r="G109" i="43"/>
  <c r="G105" i="43"/>
  <c r="G107" i="43"/>
  <c r="G104" i="43"/>
  <c r="G106" i="43"/>
  <c r="H10" i="39"/>
  <c r="U10" i="39"/>
  <c r="F10" i="40"/>
  <c r="S10" i="40"/>
  <c r="J10" i="39"/>
  <c r="AC10" i="39"/>
  <c r="H10" i="40"/>
  <c r="AB10" i="40"/>
  <c r="C49" i="67"/>
  <c r="E39" i="43"/>
  <c r="G39" i="43"/>
  <c r="I39" i="43"/>
  <c r="E36" i="43"/>
  <c r="G36" i="43"/>
  <c r="I36" i="43"/>
  <c r="E35" i="43"/>
  <c r="G35" i="43"/>
  <c r="I35" i="43"/>
  <c r="E37" i="43"/>
  <c r="G37" i="43"/>
  <c r="I37" i="43"/>
  <c r="E34" i="43"/>
  <c r="G34" i="43"/>
  <c r="I34" i="43"/>
  <c r="G38" i="43"/>
  <c r="I38" i="43"/>
  <c r="E38" i="43"/>
  <c r="E33" i="43"/>
  <c r="G33" i="43"/>
  <c r="I33" i="43"/>
  <c r="E58" i="21"/>
  <c r="W7" i="36"/>
  <c r="AC7" i="36"/>
  <c r="V36" i="36"/>
  <c r="I36" i="36"/>
  <c r="AB7" i="37"/>
  <c r="T42" i="37"/>
  <c r="G42" i="37"/>
  <c r="U7" i="37"/>
  <c r="S10" i="39"/>
  <c r="AA10" i="39"/>
  <c r="S7" i="33"/>
  <c r="AA7" i="33"/>
  <c r="R48" i="33"/>
  <c r="AA7" i="35"/>
  <c r="R38" i="35"/>
  <c r="S7" i="35"/>
  <c r="U7" i="34"/>
  <c r="AB7" i="34"/>
  <c r="T49" i="34"/>
  <c r="G49" i="34"/>
  <c r="AA7" i="36"/>
  <c r="R36" i="36"/>
  <c r="S7" i="36"/>
  <c r="U7" i="36"/>
  <c r="AB7" i="36"/>
  <c r="T36" i="36"/>
  <c r="G36" i="36"/>
  <c r="W7" i="37"/>
  <c r="AC7" i="37"/>
  <c r="V42" i="37"/>
  <c r="I42" i="37"/>
  <c r="AA7" i="37"/>
  <c r="R42" i="37"/>
  <c r="S7" i="37"/>
  <c r="AB7" i="33"/>
  <c r="T48" i="33"/>
  <c r="G48" i="33"/>
  <c r="U7" i="33"/>
  <c r="W7" i="33"/>
  <c r="AC7" i="33"/>
  <c r="V48" i="33"/>
  <c r="I48" i="33"/>
  <c r="E63" i="40"/>
  <c r="D65" i="40"/>
  <c r="AB7" i="35"/>
  <c r="T38" i="35"/>
  <c r="G38" i="35"/>
  <c r="U7" i="35"/>
  <c r="W7" i="35"/>
  <c r="AC7" i="35"/>
  <c r="V38" i="35"/>
  <c r="I38" i="35"/>
  <c r="S7" i="34"/>
  <c r="AA7" i="34"/>
  <c r="R49" i="34"/>
  <c r="W7" i="34"/>
  <c r="AC7" i="34"/>
  <c r="V49" i="34"/>
  <c r="I49" i="34"/>
  <c r="Q74" i="67"/>
  <c r="F11" i="67"/>
  <c r="M11" i="67"/>
  <c r="J10" i="67"/>
  <c r="M11" i="15"/>
  <c r="F11" i="15"/>
  <c r="Q60" i="15"/>
  <c r="Q73" i="15"/>
  <c r="C16" i="15"/>
  <c r="C17" i="67"/>
  <c r="G1" i="73"/>
  <c r="C16" i="67"/>
  <c r="C14" i="67"/>
  <c r="O28" i="43"/>
  <c r="L103" i="43"/>
  <c r="D102" i="43"/>
  <c r="D104" i="43"/>
  <c r="D3" i="37"/>
  <c r="L109" i="43"/>
  <c r="D107" i="43"/>
  <c r="L106" i="43"/>
  <c r="D106" i="43"/>
  <c r="E6" i="6"/>
  <c r="M105" i="43"/>
  <c r="M103" i="43"/>
  <c r="E104" i="43"/>
  <c r="K104" i="43"/>
  <c r="B14" i="74"/>
  <c r="M109" i="43"/>
  <c r="M104" i="43"/>
  <c r="D22" i="43"/>
  <c r="J19" i="78"/>
  <c r="M28" i="43"/>
  <c r="Q73" i="67"/>
  <c r="N28" i="43"/>
  <c r="J5" i="67"/>
  <c r="J24" i="67"/>
  <c r="C15" i="67"/>
  <c r="C18" i="67"/>
  <c r="B40" i="1"/>
  <c r="F22" i="68"/>
  <c r="N52" i="71"/>
  <c r="N53" i="71"/>
  <c r="T7" i="71"/>
  <c r="C6" i="71"/>
  <c r="D7" i="71"/>
  <c r="U7" i="71"/>
  <c r="B6" i="71"/>
  <c r="B5" i="71"/>
  <c r="S7" i="71"/>
  <c r="P52" i="71"/>
  <c r="P53" i="71"/>
  <c r="C27" i="71"/>
  <c r="D26" i="71"/>
  <c r="D43" i="71"/>
  <c r="T43" i="71"/>
  <c r="D23" i="71"/>
  <c r="T23" i="71"/>
  <c r="V7" i="71"/>
  <c r="E6" i="71"/>
  <c r="E5" i="71"/>
  <c r="T19" i="71"/>
  <c r="D19" i="71"/>
  <c r="J20" i="78"/>
  <c r="AY3" i="3"/>
  <c r="E107" i="43"/>
  <c r="E105" i="43"/>
  <c r="E103" i="43"/>
  <c r="K105" i="43"/>
  <c r="K106" i="43"/>
  <c r="L107" i="43"/>
  <c r="L104" i="43"/>
  <c r="J10" i="15"/>
  <c r="J5" i="15"/>
  <c r="J24" i="15"/>
  <c r="C29" i="69"/>
  <c r="D27" i="69"/>
  <c r="AC6" i="3"/>
  <c r="H6" i="3"/>
  <c r="AC10" i="40"/>
  <c r="D37" i="11"/>
  <c r="AY6" i="3"/>
  <c r="B118" i="9"/>
  <c r="B1" i="74"/>
  <c r="C7" i="74"/>
  <c r="D19" i="11"/>
  <c r="C19" i="11"/>
  <c r="C20" i="11"/>
  <c r="C17" i="4"/>
  <c r="B4" i="52"/>
  <c r="B43" i="72"/>
  <c r="C8" i="74"/>
  <c r="D3" i="33"/>
  <c r="U10" i="40"/>
  <c r="O6" i="1"/>
  <c r="P6" i="1"/>
  <c r="AA11" i="39"/>
  <c r="S11" i="39"/>
  <c r="W11" i="39"/>
  <c r="AC11" i="39"/>
  <c r="AB11" i="39"/>
  <c r="U11" i="39"/>
  <c r="E70" i="39"/>
  <c r="F68" i="39"/>
  <c r="AA10" i="40"/>
  <c r="O14" i="1"/>
  <c r="P14" i="1"/>
  <c r="M16" i="1"/>
  <c r="C38" i="69"/>
  <c r="C35" i="69"/>
  <c r="AB10" i="39"/>
  <c r="F31" i="6"/>
  <c r="E27" i="6"/>
  <c r="C10" i="68"/>
  <c r="B29" i="1"/>
  <c r="C8" i="68"/>
  <c r="D19" i="68"/>
  <c r="C115" i="43"/>
  <c r="D113" i="43"/>
  <c r="W10" i="39"/>
  <c r="G42" i="35"/>
  <c r="H42" i="35"/>
  <c r="G43" i="35"/>
  <c r="H43" i="35"/>
  <c r="E65" i="40"/>
  <c r="F63" i="40"/>
  <c r="G52" i="33"/>
  <c r="H52" i="33"/>
  <c r="G53" i="33"/>
  <c r="H53" i="33"/>
  <c r="R43" i="37"/>
  <c r="E42" i="37"/>
  <c r="R37" i="36"/>
  <c r="E36" i="36"/>
  <c r="I41" i="36"/>
  <c r="J41" i="36"/>
  <c r="E38" i="35"/>
  <c r="I43" i="35"/>
  <c r="J43" i="35"/>
  <c r="R39" i="35"/>
  <c r="R49" i="33"/>
  <c r="E48" i="33"/>
  <c r="I53" i="33"/>
  <c r="J53" i="33"/>
  <c r="I40" i="36"/>
  <c r="J40" i="36"/>
  <c r="I53" i="34"/>
  <c r="J53" i="34"/>
  <c r="R50" i="34"/>
  <c r="E49" i="34"/>
  <c r="I42" i="35"/>
  <c r="J42" i="35"/>
  <c r="I52" i="33"/>
  <c r="J52" i="33"/>
  <c r="I47" i="37"/>
  <c r="J47" i="37"/>
  <c r="I46" i="37"/>
  <c r="J46" i="37"/>
  <c r="G40" i="36"/>
  <c r="H40" i="36"/>
  <c r="G41" i="36"/>
  <c r="H41" i="36"/>
  <c r="G53" i="34"/>
  <c r="H53" i="34"/>
  <c r="G54" i="34"/>
  <c r="H54" i="34"/>
  <c r="G46" i="37"/>
  <c r="H46" i="37"/>
  <c r="G47" i="37"/>
  <c r="H47" i="37"/>
  <c r="F58" i="21"/>
  <c r="G58" i="21"/>
  <c r="H58" i="21"/>
  <c r="I58" i="21"/>
  <c r="J58" i="21"/>
  <c r="K58" i="21"/>
  <c r="L58" i="21"/>
  <c r="M58" i="21"/>
  <c r="N58" i="21"/>
  <c r="O58" i="21"/>
  <c r="C53" i="15"/>
  <c r="C48" i="15"/>
  <c r="C10" i="15"/>
  <c r="C5" i="15"/>
  <c r="C53" i="67"/>
  <c r="C48" i="67"/>
  <c r="C10" i="67"/>
  <c r="C5" i="67"/>
  <c r="J26" i="67"/>
  <c r="J29" i="67"/>
  <c r="D10" i="11"/>
  <c r="C10" i="11"/>
  <c r="D10" i="69"/>
  <c r="F24" i="15"/>
  <c r="C24" i="15"/>
  <c r="F25" i="12"/>
  <c r="F22" i="11"/>
  <c r="F24" i="67"/>
  <c r="C24" i="67"/>
  <c r="F22" i="69"/>
  <c r="C44" i="69"/>
  <c r="D41" i="69"/>
  <c r="C19" i="67"/>
  <c r="C20" i="67"/>
  <c r="C26" i="67"/>
  <c r="D6" i="71"/>
  <c r="C5" i="71"/>
  <c r="D5" i="71"/>
  <c r="S5" i="43"/>
  <c r="T5" i="43"/>
  <c r="V5" i="43"/>
  <c r="T27" i="71"/>
  <c r="D27" i="71"/>
  <c r="M20" i="43"/>
  <c r="J26" i="15"/>
  <c r="S3" i="43"/>
  <c r="T3" i="43"/>
  <c r="V3" i="43"/>
  <c r="C23" i="43"/>
  <c r="C21" i="43"/>
  <c r="S6" i="43"/>
  <c r="T6" i="43"/>
  <c r="V6" i="43"/>
  <c r="S7" i="43"/>
  <c r="T7" i="43"/>
  <c r="V7" i="43"/>
  <c r="S2" i="43"/>
  <c r="T2" i="43"/>
  <c r="V2" i="43"/>
  <c r="S4" i="43"/>
  <c r="T4" i="43"/>
  <c r="V4" i="43"/>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68" i="3"/>
  <c r="AY182" i="3"/>
  <c r="AY146" i="3"/>
  <c r="AY126" i="3"/>
  <c r="AY302" i="3"/>
  <c r="AY239" i="3"/>
  <c r="AY222" i="3"/>
  <c r="AY389" i="3"/>
  <c r="BS6" i="3"/>
  <c r="AY93" i="3"/>
  <c r="AY40" i="3"/>
  <c r="AY150" i="3"/>
  <c r="AY114" i="3"/>
  <c r="AY290" i="3"/>
  <c r="AY274" i="3"/>
  <c r="AY210" i="3"/>
  <c r="AY377" i="3"/>
  <c r="AY349" i="3"/>
  <c r="AY317" i="3"/>
  <c r="AY332" i="3"/>
  <c r="AY491" i="3"/>
  <c r="AY488" i="3"/>
  <c r="AY457" i="3"/>
  <c r="AY67" i="3"/>
  <c r="AY196" i="3"/>
  <c r="AY139" i="3"/>
  <c r="AY74" i="3"/>
  <c r="AY123" i="3"/>
  <c r="AY204" i="3"/>
  <c r="AY252" i="3"/>
  <c r="AY363" i="3"/>
  <c r="AY489" i="3"/>
  <c r="AY412" i="3"/>
  <c r="AY43" i="3"/>
  <c r="AY229" i="3"/>
  <c r="AY379" i="3"/>
  <c r="AY326" i="3"/>
  <c r="AY436" i="3"/>
  <c r="AY557" i="3"/>
  <c r="AY540" i="3"/>
  <c r="AY105" i="3"/>
  <c r="AY69" i="3"/>
  <c r="AY52" i="3"/>
  <c r="AY198" i="3"/>
  <c r="AY162" i="3"/>
  <c r="AY34" i="3"/>
  <c r="AY95" i="3"/>
  <c r="AY111" i="3"/>
  <c r="AY382" i="3"/>
  <c r="AY460" i="3"/>
  <c r="AY300" i="3"/>
  <c r="AY327" i="3"/>
  <c r="AY401" i="3"/>
  <c r="BE6" i="3"/>
  <c r="AY76" i="3"/>
  <c r="AY185" i="3"/>
  <c r="AY125" i="3"/>
  <c r="AY262" i="3"/>
  <c r="AY374" i="3"/>
  <c r="AY73" i="3"/>
  <c r="AY98" i="3"/>
  <c r="AY163" i="3"/>
  <c r="AY334" i="3"/>
  <c r="AY390" i="3"/>
  <c r="AY574" i="3"/>
  <c r="AY25" i="3"/>
  <c r="AY157" i="3"/>
  <c r="AY271" i="3"/>
  <c r="AY211" i="3"/>
  <c r="BI6" i="3"/>
  <c r="AY186" i="3"/>
  <c r="AY295" i="3"/>
  <c r="AY87" i="3"/>
  <c r="AY144" i="3"/>
  <c r="AY152" i="3"/>
  <c r="AY253" i="3"/>
  <c r="AY303" i="3"/>
  <c r="AY529" i="3"/>
  <c r="AY217" i="3"/>
  <c r="AY463" i="3"/>
  <c r="AY544" i="3"/>
  <c r="AY92" i="3"/>
  <c r="AY33" i="3"/>
  <c r="AY165" i="3"/>
  <c r="AY278" i="3"/>
  <c r="AY219" i="3"/>
  <c r="BH6" i="3"/>
  <c r="AY202" i="3"/>
  <c r="AY171" i="3"/>
  <c r="AY237" i="3"/>
  <c r="AY526" i="3"/>
  <c r="AY447" i="3"/>
  <c r="AY85" i="3"/>
  <c r="AY178" i="3"/>
  <c r="AY117" i="3"/>
  <c r="AY254" i="3"/>
  <c r="AY365" i="3"/>
  <c r="AY57" i="3"/>
  <c r="AY145" i="3"/>
  <c r="AY259" i="3"/>
  <c r="AY388" i="3"/>
  <c r="AY333" i="3"/>
  <c r="AY316" i="3"/>
  <c r="AY472" i="3"/>
  <c r="AY50" i="3"/>
  <c r="AY289" i="3"/>
  <c r="AY261" i="3"/>
  <c r="AY209" i="3"/>
  <c r="AY455" i="3"/>
  <c r="AY116" i="3"/>
  <c r="AY343" i="3"/>
  <c r="AY417" i="3"/>
  <c r="AY539" i="3"/>
  <c r="AY84" i="3"/>
  <c r="AY193" i="3"/>
  <c r="AY141" i="3"/>
  <c r="AY291" i="3"/>
  <c r="AY255" i="3"/>
  <c r="AY238" i="3"/>
  <c r="AY384" i="3"/>
  <c r="AY368" i="3"/>
  <c r="BB6" i="3"/>
  <c r="AY72" i="3"/>
  <c r="AY181"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353" i="3"/>
  <c r="AY475" i="3"/>
  <c r="AY160" i="3"/>
  <c r="AY284" i="3"/>
  <c r="AY497" i="3"/>
  <c r="AY478" i="3"/>
  <c r="AY100" i="3"/>
  <c r="AY173" i="3"/>
  <c r="AY286" i="3"/>
  <c r="AY227" i="3"/>
  <c r="AY507" i="3"/>
  <c r="AY29"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62" i="3"/>
  <c r="BQ6" i="3"/>
  <c r="AY495" i="3"/>
  <c r="AY582" i="3"/>
  <c r="AY194" i="3"/>
  <c r="AY251" i="3"/>
  <c r="AY329" i="3"/>
  <c r="AY468" i="3"/>
  <c r="AY407" i="3"/>
  <c r="AY565" i="3"/>
  <c r="AY99" i="3"/>
  <c r="AY156" i="3"/>
  <c r="AY232" i="3"/>
  <c r="AY469" i="3"/>
  <c r="AY560" i="3"/>
  <c r="AY38" i="3"/>
  <c r="AY128" i="3"/>
  <c r="AY241" i="3"/>
  <c r="AY391" i="3"/>
  <c r="AY338" i="3"/>
  <c r="AY448" i="3"/>
  <c r="BD6" i="3"/>
  <c r="AY586"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242" i="3"/>
  <c r="AY348" i="3"/>
  <c r="AY103" i="3"/>
  <c r="AY183" i="3"/>
  <c r="AY319" i="3"/>
  <c r="AY212" i="3"/>
  <c r="AY573" i="3"/>
  <c r="AY20" i="3"/>
  <c r="AY134" i="3"/>
  <c r="AY270" i="3"/>
  <c r="AY373" i="3"/>
  <c r="AY88"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98" i="3"/>
  <c r="AY534" i="3"/>
  <c r="AY501" i="3"/>
  <c r="AY65" i="3"/>
  <c r="AY137" i="3"/>
  <c r="AY380" i="3"/>
  <c r="AY312" i="3"/>
  <c r="AY426" i="3"/>
  <c r="AY14" i="3"/>
  <c r="AY570" i="3"/>
  <c r="AY46" i="3"/>
  <c r="AY285" i="3"/>
  <c r="AY362" i="3"/>
  <c r="AY437" i="3"/>
  <c r="AY91" i="3"/>
  <c r="AY148" i="3"/>
  <c r="AY277" i="3"/>
  <c r="AY224" i="3"/>
  <c r="AY354" i="3"/>
  <c r="AY490" i="3"/>
  <c r="AY429" i="3"/>
  <c r="AY511"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P16" i="1"/>
  <c r="O16" i="1"/>
  <c r="F7" i="21"/>
  <c r="S7" i="21"/>
  <c r="F70" i="39"/>
  <c r="G68" i="39"/>
  <c r="N16" i="1"/>
  <c r="B21" i="1"/>
  <c r="L16" i="1"/>
  <c r="K22" i="6"/>
  <c r="M22" i="6"/>
  <c r="I22" i="6"/>
  <c r="K23" i="6"/>
  <c r="M23" i="6"/>
  <c r="I23" i="6"/>
  <c r="K20" i="6"/>
  <c r="K24" i="6"/>
  <c r="M24" i="6"/>
  <c r="I24" i="6"/>
  <c r="K21" i="6"/>
  <c r="M21" i="6"/>
  <c r="I21" i="6"/>
  <c r="K26" i="6"/>
  <c r="M26" i="6"/>
  <c r="I26" i="6"/>
  <c r="K19" i="6"/>
  <c r="S6" i="1"/>
  <c r="K25" i="6"/>
  <c r="M25" i="6"/>
  <c r="I25" i="6"/>
  <c r="E31" i="6"/>
  <c r="C19" i="68"/>
  <c r="D37" i="68"/>
  <c r="C29" i="43"/>
  <c r="J7" i="21"/>
  <c r="E53" i="34"/>
  <c r="F53" i="34"/>
  <c r="E54" i="34"/>
  <c r="F54" i="34"/>
  <c r="I54" i="34"/>
  <c r="J54" i="34"/>
  <c r="E53" i="33"/>
  <c r="F53" i="33"/>
  <c r="E52" i="33"/>
  <c r="F52" i="33"/>
  <c r="E43" i="35"/>
  <c r="F43" i="35"/>
  <c r="E42" i="35"/>
  <c r="F42" i="35"/>
  <c r="C37" i="36"/>
  <c r="B2" i="36"/>
  <c r="B3" i="36"/>
  <c r="C36" i="36"/>
  <c r="C43" i="37"/>
  <c r="B2" i="37"/>
  <c r="B3" i="37"/>
  <c r="C42" i="37"/>
  <c r="C50" i="34"/>
  <c r="B2" i="34"/>
  <c r="B3" i="34"/>
  <c r="C49" i="34"/>
  <c r="C49" i="33"/>
  <c r="B2" i="33"/>
  <c r="B3" i="33"/>
  <c r="C48" i="33"/>
  <c r="C38" i="35"/>
  <c r="C39" i="35"/>
  <c r="B2" i="35"/>
  <c r="B3" i="35"/>
  <c r="E40" i="36"/>
  <c r="F40" i="36"/>
  <c r="E41" i="36"/>
  <c r="F41" i="36"/>
  <c r="E47" i="37"/>
  <c r="F47" i="37"/>
  <c r="E46" i="37"/>
  <c r="F46" i="37"/>
  <c r="G63" i="40"/>
  <c r="F65" i="40"/>
  <c r="H7" i="21"/>
  <c r="C66" i="67"/>
  <c r="C60" i="67"/>
  <c r="C38" i="15"/>
  <c r="C38" i="67"/>
  <c r="C60" i="15"/>
  <c r="C66" i="15"/>
  <c r="D19" i="69"/>
  <c r="C10" i="69"/>
  <c r="C8" i="69"/>
  <c r="C5" i="69"/>
  <c r="C23" i="69"/>
  <c r="C26" i="69"/>
  <c r="D22" i="69"/>
  <c r="C44" i="11"/>
  <c r="D41" i="11"/>
  <c r="C23" i="67"/>
  <c r="C29" i="67"/>
  <c r="C57" i="67"/>
  <c r="E66" i="39"/>
  <c r="M19" i="9"/>
  <c r="C118" i="9"/>
  <c r="C14" i="74"/>
  <c r="B2" i="74"/>
  <c r="D26" i="6"/>
  <c r="D8" i="6"/>
  <c r="D14" i="6"/>
  <c r="D22" i="6"/>
  <c r="D6" i="6"/>
  <c r="D10" i="6"/>
  <c r="D29" i="6"/>
  <c r="D21" i="6"/>
  <c r="D5" i="6"/>
  <c r="D11" i="6"/>
  <c r="D28" i="6"/>
  <c r="D30" i="6"/>
  <c r="D19" i="6"/>
  <c r="C18" i="4"/>
  <c r="D23" i="6"/>
  <c r="D25" i="6"/>
  <c r="D24" i="6"/>
  <c r="D9" i="6"/>
  <c r="L19" i="9"/>
  <c r="D15" i="6"/>
  <c r="D20" i="6"/>
  <c r="D12" i="6"/>
  <c r="D13" i="6"/>
  <c r="E61" i="40"/>
  <c r="AA7" i="21"/>
  <c r="R48" i="21"/>
  <c r="E48" i="21"/>
  <c r="M20" i="6"/>
  <c r="I20" i="6"/>
  <c r="H20" i="6"/>
  <c r="S7" i="1"/>
  <c r="S16" i="1"/>
  <c r="D17" i="12"/>
  <c r="C17" i="12"/>
  <c r="C20" i="12"/>
  <c r="C18" i="12"/>
  <c r="E6" i="70"/>
  <c r="C24" i="68"/>
  <c r="C24" i="11"/>
  <c r="H68" i="39"/>
  <c r="G70" i="39"/>
  <c r="C44" i="68"/>
  <c r="D41" i="68"/>
  <c r="B24" i="1"/>
  <c r="F50" i="68"/>
  <c r="B23" i="1"/>
  <c r="C29" i="68"/>
  <c r="D27" i="68"/>
  <c r="C29" i="11"/>
  <c r="D27" i="11"/>
  <c r="C28" i="11"/>
  <c r="C27" i="11"/>
  <c r="AQ6" i="1"/>
  <c r="AR6" i="1"/>
  <c r="T6" i="1"/>
  <c r="S25" i="6"/>
  <c r="H25" i="6"/>
  <c r="S26" i="6"/>
  <c r="H26" i="6"/>
  <c r="S24" i="6"/>
  <c r="H24" i="6"/>
  <c r="R24" i="6"/>
  <c r="S23" i="6"/>
  <c r="H23" i="6"/>
  <c r="R23" i="6"/>
  <c r="K27" i="6"/>
  <c r="M19" i="6"/>
  <c r="S21" i="6"/>
  <c r="H21" i="6"/>
  <c r="R21" i="6"/>
  <c r="S22" i="6"/>
  <c r="H22" i="6"/>
  <c r="E29" i="43"/>
  <c r="C26" i="43"/>
  <c r="C30" i="43"/>
  <c r="E30" i="43"/>
  <c r="C27" i="43"/>
  <c r="AB7" i="21"/>
  <c r="T48" i="21"/>
  <c r="G48" i="21"/>
  <c r="U7" i="21"/>
  <c r="W7" i="21"/>
  <c r="AC7" i="21"/>
  <c r="V48" i="21"/>
  <c r="I48" i="21"/>
  <c r="G65" i="40"/>
  <c r="H63" i="40"/>
  <c r="J59" i="15"/>
  <c r="C11" i="12"/>
  <c r="E6" i="76"/>
  <c r="C17" i="15"/>
  <c r="S20" i="6"/>
  <c r="D37" i="69"/>
  <c r="C37" i="69"/>
  <c r="C33" i="69"/>
  <c r="C19" i="69"/>
  <c r="J59" i="67"/>
  <c r="J14" i="67"/>
  <c r="J13" i="67"/>
  <c r="J23" i="67"/>
  <c r="C13" i="67"/>
  <c r="Q70" i="67"/>
  <c r="C33" i="67"/>
  <c r="C31" i="67"/>
  <c r="C36" i="67"/>
  <c r="Q49" i="67"/>
  <c r="J19" i="67"/>
  <c r="J17" i="67"/>
  <c r="R22" i="6"/>
  <c r="R20" i="6"/>
  <c r="R7" i="1"/>
  <c r="R26" i="6"/>
  <c r="R25" i="6"/>
  <c r="D27" i="6"/>
  <c r="D31" i="6"/>
  <c r="D16" i="6"/>
  <c r="D7" i="74"/>
  <c r="D8" i="74"/>
  <c r="A10" i="51"/>
  <c r="B9" i="72"/>
  <c r="C4" i="52"/>
  <c r="B45" i="72"/>
  <c r="A7" i="51"/>
  <c r="B7" i="72"/>
  <c r="R49" i="21"/>
  <c r="C48" i="21"/>
  <c r="E7" i="70"/>
  <c r="E2" i="70"/>
  <c r="AR7" i="1"/>
  <c r="T7" i="1"/>
  <c r="AQ7" i="1"/>
  <c r="C15" i="12"/>
  <c r="C12" i="12"/>
  <c r="T16" i="1"/>
  <c r="H70" i="39"/>
  <c r="I68" i="39"/>
  <c r="F34" i="11"/>
  <c r="J53" i="15"/>
  <c r="J60" i="15"/>
  <c r="M59" i="15"/>
  <c r="L59" i="15"/>
  <c r="J53" i="67"/>
  <c r="C29" i="12"/>
  <c r="D28" i="12"/>
  <c r="M59" i="67"/>
  <c r="C26" i="12"/>
  <c r="D25" i="12"/>
  <c r="F50" i="69"/>
  <c r="F50" i="11"/>
  <c r="C25" i="11"/>
  <c r="C23" i="11"/>
  <c r="C26" i="11"/>
  <c r="D22" i="11"/>
  <c r="C26" i="68"/>
  <c r="D22" i="68"/>
  <c r="I19" i="6"/>
  <c r="M27" i="6"/>
  <c r="E2" i="76"/>
  <c r="B2" i="43"/>
  <c r="E52" i="21"/>
  <c r="F52" i="21"/>
  <c r="E53" i="21"/>
  <c r="F53" i="21"/>
  <c r="H65" i="40"/>
  <c r="I63" i="40"/>
  <c r="I52" i="21"/>
  <c r="J52" i="21"/>
  <c r="I53" i="21"/>
  <c r="J53" i="21"/>
  <c r="G52" i="21"/>
  <c r="H52" i="21"/>
  <c r="G53" i="21"/>
  <c r="H53" i="21"/>
  <c r="C61" i="67"/>
  <c r="C59" i="67"/>
  <c r="C64" i="67"/>
  <c r="F34" i="68"/>
  <c r="F11" i="12"/>
  <c r="C14" i="15"/>
  <c r="B6" i="76"/>
  <c r="C20" i="69"/>
  <c r="C24" i="69"/>
  <c r="C42" i="69"/>
  <c r="C39" i="69"/>
  <c r="J22" i="67"/>
  <c r="J16" i="67"/>
  <c r="J25" i="67"/>
  <c r="C37" i="67"/>
  <c r="C30" i="67"/>
  <c r="C39" i="67"/>
  <c r="Q69" i="67"/>
  <c r="Q68" i="67"/>
  <c r="C75" i="67"/>
  <c r="C56" i="67"/>
  <c r="C65" i="67"/>
  <c r="C58" i="67"/>
  <c r="C67" i="67"/>
  <c r="C68" i="67"/>
  <c r="C71" i="67"/>
  <c r="I5" i="6"/>
  <c r="I6" i="6"/>
  <c r="C49" i="21"/>
  <c r="B2" i="21"/>
  <c r="B3" i="21"/>
  <c r="C6" i="12"/>
  <c r="C8" i="12"/>
  <c r="C15" i="15"/>
  <c r="C18" i="15"/>
  <c r="J68" i="39"/>
  <c r="I70" i="39"/>
  <c r="Q61" i="15"/>
  <c r="Q74" i="15"/>
  <c r="C22" i="11"/>
  <c r="C31" i="11"/>
  <c r="Q48" i="15"/>
  <c r="F1" i="67"/>
  <c r="Q52" i="67"/>
  <c r="Q52" i="15"/>
  <c r="L56" i="15"/>
  <c r="F1" i="15"/>
  <c r="C36" i="11"/>
  <c r="C37" i="11"/>
  <c r="C34" i="11"/>
  <c r="J60" i="67"/>
  <c r="C37" i="68"/>
  <c r="C14" i="12"/>
  <c r="C16" i="12"/>
  <c r="C21" i="12"/>
  <c r="I27" i="6"/>
  <c r="S19" i="6"/>
  <c r="S27" i="6"/>
  <c r="H19" i="6"/>
  <c r="B2" i="76"/>
  <c r="B3" i="76"/>
  <c r="B3" i="43"/>
  <c r="I65" i="40"/>
  <c r="J63" i="40"/>
  <c r="C34" i="68"/>
  <c r="C36" i="68"/>
  <c r="AE6" i="1"/>
  <c r="L51" i="67"/>
  <c r="AE7" i="1"/>
  <c r="C43" i="69"/>
  <c r="C41" i="69"/>
  <c r="C46" i="69"/>
  <c r="C45" i="69"/>
  <c r="C28" i="69"/>
  <c r="C27" i="69"/>
  <c r="C25" i="69"/>
  <c r="C22" i="69"/>
  <c r="C40" i="67"/>
  <c r="C45" i="67"/>
  <c r="C46" i="67"/>
  <c r="C80" i="67"/>
  <c r="C79" i="67"/>
  <c r="C19" i="15"/>
  <c r="C20" i="15"/>
  <c r="C26" i="15"/>
  <c r="J70" i="39"/>
  <c r="K68" i="39"/>
  <c r="C22" i="12"/>
  <c r="C38" i="68"/>
  <c r="C35" i="68"/>
  <c r="L46" i="67"/>
  <c r="Q48" i="67"/>
  <c r="C38" i="11"/>
  <c r="C35" i="11"/>
  <c r="H27" i="6"/>
  <c r="R19" i="6"/>
  <c r="J65" i="40"/>
  <c r="K63" i="40"/>
  <c r="Q67" i="67"/>
  <c r="L57" i="67"/>
  <c r="L60" i="67"/>
  <c r="F41" i="15"/>
  <c r="C31" i="69"/>
  <c r="C49" i="69"/>
  <c r="C51" i="69"/>
  <c r="Q47" i="67"/>
  <c r="Q53" i="67"/>
  <c r="Q56" i="67"/>
  <c r="C83" i="67"/>
  <c r="C82" i="67"/>
  <c r="Q65" i="67"/>
  <c r="C43" i="67"/>
  <c r="D2" i="67"/>
  <c r="B3" i="67"/>
  <c r="C23" i="15"/>
  <c r="C29" i="15"/>
  <c r="C57" i="15"/>
  <c r="C33" i="15"/>
  <c r="L68" i="39"/>
  <c r="K70" i="39"/>
  <c r="F69" i="15"/>
  <c r="J29" i="15"/>
  <c r="C33" i="11"/>
  <c r="C39" i="11"/>
  <c r="C33" i="68"/>
  <c r="C39" i="68"/>
  <c r="C43" i="68"/>
  <c r="R27" i="6"/>
  <c r="R6" i="1"/>
  <c r="K65" i="40"/>
  <c r="L63" i="40"/>
  <c r="Q66" i="67"/>
  <c r="Q57" i="67"/>
  <c r="M21" i="15"/>
  <c r="F35" i="15"/>
  <c r="C52" i="69"/>
  <c r="B2" i="69"/>
  <c r="B3" i="69"/>
  <c r="Q75" i="67"/>
  <c r="Q62" i="67"/>
  <c r="B2" i="67"/>
  <c r="C42" i="11"/>
  <c r="C13" i="15"/>
  <c r="C56" i="15"/>
  <c r="C65" i="15"/>
  <c r="Q49" i="15"/>
  <c r="J19" i="15"/>
  <c r="J14" i="15"/>
  <c r="J22" i="15"/>
  <c r="C36" i="15"/>
  <c r="C42" i="68"/>
  <c r="C41" i="68"/>
  <c r="C64" i="15"/>
  <c r="C61" i="15"/>
  <c r="M68" i="39"/>
  <c r="L70" i="39"/>
  <c r="J20" i="15"/>
  <c r="C34" i="15"/>
  <c r="C31" i="15"/>
  <c r="F63" i="15"/>
  <c r="C62" i="15"/>
  <c r="R16" i="1"/>
  <c r="C43" i="11"/>
  <c r="C46" i="11"/>
  <c r="C45" i="11"/>
  <c r="C46" i="68"/>
  <c r="C45" i="68"/>
  <c r="L65" i="40"/>
  <c r="M63" i="40"/>
  <c r="C57" i="69"/>
  <c r="C56" i="69"/>
  <c r="C41" i="11"/>
  <c r="C49" i="11"/>
  <c r="C51" i="11"/>
  <c r="C52" i="11"/>
  <c r="B2" i="11"/>
  <c r="B3" i="11"/>
  <c r="J13" i="15"/>
  <c r="J23" i="15"/>
  <c r="C75" i="15"/>
  <c r="J17" i="15"/>
  <c r="Q70" i="15"/>
  <c r="C37" i="15"/>
  <c r="C30" i="15"/>
  <c r="C39" i="15"/>
  <c r="C59" i="15"/>
  <c r="C58" i="15"/>
  <c r="C67" i="15"/>
  <c r="C68" i="15"/>
  <c r="C71" i="15"/>
  <c r="M70" i="39"/>
  <c r="N68" i="39"/>
  <c r="L57" i="15"/>
  <c r="L60" i="15"/>
  <c r="C49" i="68"/>
  <c r="C51" i="68"/>
  <c r="M65" i="40"/>
  <c r="N63" i="40"/>
  <c r="L51" i="15"/>
  <c r="J16" i="15"/>
  <c r="J25" i="15"/>
  <c r="C80" i="15"/>
  <c r="C79" i="15"/>
  <c r="Q67" i="15"/>
  <c r="Q69" i="15"/>
  <c r="Q68" i="15"/>
  <c r="C40" i="15"/>
  <c r="Q47" i="15"/>
  <c r="Q53" i="15"/>
  <c r="C56" i="11"/>
  <c r="C57" i="11"/>
  <c r="O68" i="39"/>
  <c r="O70" i="39"/>
  <c r="N70" i="39"/>
  <c r="H7" i="39"/>
  <c r="L46" i="15"/>
  <c r="Q66" i="15"/>
  <c r="Q57" i="15"/>
  <c r="N65" i="40"/>
  <c r="O63" i="40"/>
  <c r="O65" i="40"/>
  <c r="B2" i="15"/>
  <c r="Q56" i="15"/>
  <c r="Q62" i="15"/>
  <c r="C43" i="15"/>
  <c r="C46" i="15"/>
  <c r="C83" i="15"/>
  <c r="C82" i="15"/>
  <c r="Q65" i="15"/>
  <c r="Q75" i="15"/>
  <c r="AB7" i="39"/>
  <c r="T47" i="39"/>
  <c r="G47" i="39"/>
  <c r="U7" i="39"/>
  <c r="J7" i="39"/>
  <c r="F7" i="39"/>
  <c r="H7" i="40"/>
  <c r="J7" i="40"/>
  <c r="F7" i="40"/>
  <c r="AO7" i="1"/>
  <c r="AO6" i="1"/>
  <c r="B7" i="70"/>
  <c r="B6" i="70"/>
  <c r="D8" i="12"/>
  <c r="B3" i="15"/>
  <c r="D6" i="12"/>
  <c r="S7" i="39"/>
  <c r="AA7" i="39"/>
  <c r="R47" i="39"/>
  <c r="AC7" i="39"/>
  <c r="V47" i="39"/>
  <c r="I47" i="39"/>
  <c r="G52" i="39"/>
  <c r="H52" i="39"/>
  <c r="W7" i="39"/>
  <c r="G51" i="39"/>
  <c r="H51" i="39"/>
  <c r="AA7" i="40"/>
  <c r="R42" i="40"/>
  <c r="S7" i="40"/>
  <c r="W7" i="40"/>
  <c r="AC7" i="40"/>
  <c r="V42" i="40"/>
  <c r="I42" i="40"/>
  <c r="AB7" i="40"/>
  <c r="T42" i="40"/>
  <c r="G42" i="40"/>
  <c r="U7" i="40"/>
  <c r="B2" i="70"/>
  <c r="B3" i="70"/>
  <c r="C4" i="12"/>
  <c r="C31" i="12"/>
  <c r="I51" i="39"/>
  <c r="J51" i="39"/>
  <c r="E47" i="39"/>
  <c r="I52" i="39"/>
  <c r="J52" i="39"/>
  <c r="R48" i="39"/>
  <c r="G47" i="40"/>
  <c r="H47" i="40"/>
  <c r="G46" i="40"/>
  <c r="H46" i="40"/>
  <c r="R43" i="40"/>
  <c r="E42" i="40"/>
  <c r="I47" i="40"/>
  <c r="J47" i="40"/>
  <c r="I46" i="40"/>
  <c r="J46" i="40"/>
  <c r="C23" i="12"/>
  <c r="C47" i="39"/>
  <c r="C48" i="39"/>
  <c r="E51" i="39"/>
  <c r="F51" i="39"/>
  <c r="E52" i="39"/>
  <c r="F52" i="39"/>
  <c r="C43" i="40"/>
  <c r="C42" i="40"/>
  <c r="E47" i="40"/>
  <c r="F47" i="40"/>
  <c r="E46" i="40"/>
  <c r="F46" i="40"/>
  <c r="C30" i="12"/>
  <c r="C28" i="12"/>
  <c r="C27" i="12"/>
  <c r="C25" i="12"/>
  <c r="B64" i="39"/>
  <c r="F64" i="39"/>
  <c r="B61" i="39"/>
  <c r="F61" i="39"/>
  <c r="B59" i="39"/>
  <c r="F59" i="39"/>
  <c r="B60" i="39"/>
  <c r="F60" i="39"/>
  <c r="B57" i="39"/>
  <c r="F57" i="39"/>
  <c r="B63" i="39"/>
  <c r="F63" i="39"/>
  <c r="B62" i="39"/>
  <c r="F62" i="39"/>
  <c r="B56" i="39"/>
  <c r="F56" i="39"/>
  <c r="B65" i="39"/>
  <c r="F65" i="39"/>
  <c r="B58" i="39"/>
  <c r="F58" i="39"/>
  <c r="F66" i="39"/>
  <c r="B2" i="39"/>
  <c r="B55" i="40"/>
  <c r="F55" i="40"/>
  <c r="B57" i="40"/>
  <c r="F57" i="40"/>
  <c r="B53" i="40"/>
  <c r="F53" i="40"/>
  <c r="B51" i="40"/>
  <c r="F51" i="40"/>
  <c r="B59" i="40"/>
  <c r="F59" i="40"/>
  <c r="F61" i="40"/>
  <c r="B2" i="40"/>
  <c r="B3" i="40"/>
  <c r="B52" i="40"/>
  <c r="F52" i="40"/>
  <c r="B56" i="40"/>
  <c r="F56" i="40"/>
  <c r="B58" i="40"/>
  <c r="F58" i="40"/>
  <c r="B60" i="40"/>
  <c r="F60" i="40"/>
  <c r="B54" i="40"/>
  <c r="F54" i="40"/>
  <c r="C32" i="12"/>
  <c r="B2" i="12"/>
  <c r="B3" i="12"/>
  <c r="C6" i="68"/>
  <c r="C7" i="68"/>
  <c r="C5" i="68"/>
  <c r="B3" i="39"/>
  <c r="D20" i="9"/>
  <c r="D19" i="9"/>
  <c r="D102" i="9"/>
  <c r="D21" i="9"/>
  <c r="D103" i="9"/>
  <c r="C23" i="68"/>
  <c r="C20" i="68"/>
  <c r="C25" i="68"/>
  <c r="C28" i="68"/>
  <c r="C27" i="68"/>
  <c r="C22" i="68"/>
  <c r="C31" i="68"/>
  <c r="C52" i="68"/>
  <c r="B2" i="68"/>
  <c r="C19" i="9"/>
  <c r="B3" i="68"/>
  <c r="C102" i="9"/>
  <c r="G19" i="9"/>
  <c r="G21" i="9"/>
  <c r="D22" i="9"/>
  <c r="C21" i="9"/>
  <c r="C57" i="68"/>
  <c r="C56" i="68"/>
  <c r="C20" i="9"/>
  <c r="D34" i="9"/>
  <c r="D35" i="9"/>
  <c r="G20" i="9"/>
  <c r="C103" i="9"/>
  <c r="C32" i="9"/>
  <c r="H118" i="9"/>
  <c r="C35" i="9"/>
  <c r="F118" i="9"/>
  <c r="G118" i="9"/>
  <c r="G4" i="52"/>
  <c r="B52" i="72"/>
  <c r="I118" i="9"/>
  <c r="D14" i="74"/>
  <c r="H4" i="52"/>
  <c r="H101" i="9"/>
  <c r="H119" i="9"/>
  <c r="H5" i="52"/>
  <c r="C104" i="9"/>
  <c r="C34" i="9"/>
  <c r="D118" i="9"/>
  <c r="D119" i="9"/>
  <c r="D5" i="52"/>
  <c r="B49" i="72"/>
  <c r="F119" i="9"/>
  <c r="F5" i="52"/>
  <c r="B53" i="72"/>
  <c r="F4" i="52"/>
  <c r="B51" i="72"/>
  <c r="E118" i="9"/>
  <c r="E4" i="52"/>
  <c r="B48" i="72"/>
  <c r="C105" i="9"/>
  <c r="H102" i="9"/>
  <c r="D7" i="53"/>
  <c r="B21" i="72"/>
  <c r="I4" i="52"/>
  <c r="D45" i="9"/>
  <c r="D5" i="53"/>
  <c r="M48" i="9"/>
  <c r="H107" i="9"/>
  <c r="F14" i="74"/>
  <c r="B5" i="74"/>
  <c r="E14" i="74"/>
  <c r="D4" i="52"/>
  <c r="B47" i="72"/>
  <c r="C93" i="9"/>
  <c r="C86" i="9"/>
  <c r="D52" i="9"/>
  <c r="C85" i="9"/>
  <c r="C72" i="9"/>
  <c r="C64" i="9"/>
  <c r="C63" i="9"/>
  <c r="C67" i="9"/>
  <c r="C68" i="9"/>
  <c r="D54" i="9"/>
  <c r="D55" i="9"/>
  <c r="M53" i="9"/>
  <c r="C78" i="9"/>
  <c r="C73" i="9"/>
  <c r="D53" i="9"/>
  <c r="D5" i="74"/>
  <c r="C5" i="74"/>
  <c r="H108" i="9"/>
  <c r="D15" i="53"/>
  <c r="B31" i="72"/>
  <c r="D122" i="9"/>
  <c r="D13" i="53"/>
  <c r="M49" i="9"/>
  <c r="B20" i="72"/>
  <c r="D6" i="53"/>
  <c r="B22" i="72"/>
  <c r="C95" i="9"/>
  <c r="C96" i="9"/>
  <c r="E96" i="9"/>
  <c r="E97" i="9"/>
  <c r="L64" i="9"/>
  <c r="M64" i="9"/>
  <c r="L66" i="9"/>
  <c r="M66" i="9"/>
  <c r="L67" i="9"/>
  <c r="M67" i="9"/>
  <c r="L65" i="9"/>
  <c r="M65" i="9"/>
  <c r="L68" i="9"/>
  <c r="M68" i="9"/>
  <c r="L63" i="9"/>
  <c r="M63" i="9"/>
  <c r="G14" i="74"/>
  <c r="B6" i="74"/>
  <c r="D8" i="52"/>
  <c r="D123" i="9"/>
  <c r="D9" i="52"/>
  <c r="C79" i="9"/>
  <c r="D14" i="53"/>
  <c r="B32" i="72"/>
  <c r="B30" i="72"/>
  <c r="D6" i="74"/>
  <c r="C6" i="74"/>
  <c r="M69" i="9"/>
  <c r="N69" i="9"/>
  <c r="C97" i="9"/>
  <c r="D58" i="9"/>
  <c r="D56" i="9"/>
  <c r="M54" i="9"/>
  <c r="N57" i="9"/>
  <c r="C80" i="9"/>
  <c r="E80" i="9"/>
  <c r="E81" i="9"/>
  <c r="C81" i="9"/>
  <c r="P57" i="9"/>
  <c r="N58" i="9"/>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5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 xml:space="preserve">在建项目均选择“是”
</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3000000}">
      <text>
        <r>
          <rPr>
            <b/>
            <sz val="12"/>
            <color indexed="81"/>
            <rFont val="宋体"/>
            <family val="3"/>
            <charset val="134"/>
          </rPr>
          <t>所属项目品质或
物业管理</t>
        </r>
      </text>
    </comment>
    <comment ref="B90" authorId="0" shapeId="0" xr:uid="{00000000-0006-0000-22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3000000}">
      <text>
        <r>
          <rPr>
            <b/>
            <sz val="12"/>
            <color indexed="81"/>
            <rFont val="宋体"/>
            <family val="3"/>
            <charset val="134"/>
          </rPr>
          <t>所属项目品质或
物业管理</t>
        </r>
      </text>
    </comment>
    <comment ref="B86" authorId="0" shapeId="0" xr:uid="{00000000-0006-0000-2300-000004000000}">
      <text>
        <r>
          <rPr>
            <b/>
            <sz val="12"/>
            <color indexed="81"/>
            <rFont val="宋体"/>
            <family val="3"/>
            <charset val="134"/>
          </rPr>
          <t>所属项目品质</t>
        </r>
      </text>
    </comment>
    <comment ref="B89"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作者</author>
    <author>yishengli</author>
  </authors>
  <commentList>
    <comment ref="D2" authorId="0" shapeId="0" xr:uid="{00000000-0006-0000-0E00-000001000000}">
      <text>
        <r>
          <rPr>
            <sz val="9"/>
            <rFont val="宋体"/>
            <family val="3"/>
            <charset val="134"/>
          </rPr>
          <t>作者:
临时工规，2014年</t>
        </r>
      </text>
    </comment>
    <comment ref="L2" authorId="0" shapeId="0" xr:uid="{00000000-0006-0000-0E00-000002000000}">
      <text>
        <r>
          <rPr>
            <sz val="9"/>
            <rFont val="宋体"/>
            <family val="3"/>
            <charset val="134"/>
          </rPr>
          <t>作者:
临时工规，2014</t>
        </r>
      </text>
    </comment>
    <comment ref="Q2" authorId="0" shapeId="0" xr:uid="{00000000-0006-0000-0E00-000003000000}">
      <text>
        <r>
          <rPr>
            <sz val="9"/>
            <rFont val="宋体"/>
            <family val="3"/>
            <charset val="134"/>
          </rPr>
          <t>作者:
临时工规，2014年</t>
        </r>
      </text>
    </comment>
    <comment ref="O3" authorId="0" shapeId="0" xr:uid="{00000000-0006-0000-0E00-000004000000}">
      <text>
        <r>
          <rPr>
            <sz val="9"/>
            <rFont val="宋体"/>
            <family val="3"/>
            <charset val="134"/>
          </rPr>
          <t>作者:
太阳能补偿面积210平米</t>
        </r>
      </text>
    </comment>
    <comment ref="Q3" authorId="0" shapeId="0" xr:uid="{00000000-0006-0000-0E00-000005000000}">
      <text>
        <r>
          <rPr>
            <sz val="9"/>
            <rFont val="宋体"/>
            <family val="3"/>
            <charset val="134"/>
          </rPr>
          <t>作者:
其中地上车道车库和设备用房30985.71平米</t>
        </r>
      </text>
    </comment>
    <comment ref="O4" authorId="0" shapeId="0" xr:uid="{00000000-0006-0000-0E00-000006000000}">
      <text>
        <r>
          <rPr>
            <sz val="9"/>
            <rFont val="宋体"/>
            <family val="3"/>
            <charset val="134"/>
          </rPr>
          <t>作者:
太阳能补偿面积72平米</t>
        </r>
      </text>
    </comment>
    <comment ref="O5" authorId="0" shapeId="0" xr:uid="{00000000-0006-0000-0E00-000007000000}">
      <text>
        <r>
          <rPr>
            <sz val="9"/>
            <rFont val="宋体"/>
            <family val="3"/>
            <charset val="134"/>
          </rPr>
          <t>作者:
太阳能补偿面积30平米</t>
        </r>
      </text>
    </comment>
    <comment ref="O6" authorId="0" shapeId="0" xr:uid="{00000000-0006-0000-0E00-000008000000}">
      <text>
        <r>
          <rPr>
            <sz val="9"/>
            <rFont val="宋体"/>
            <family val="3"/>
            <charset val="134"/>
          </rPr>
          <t>作者:
(2016)388
（2014）158
含太阳能补偿面积312平米，扣除该部分后应计容面积14157.3平米</t>
        </r>
      </text>
    </comment>
    <comment ref="A7" authorId="0" shapeId="0" xr:uid="{00000000-0006-0000-0E00-000009000000}">
      <text>
        <r>
          <rPr>
            <sz val="9"/>
            <rFont val="宋体"/>
            <family val="3"/>
            <charset val="134"/>
          </rPr>
          <t>作者:
不可销售</t>
        </r>
      </text>
    </comment>
    <comment ref="L7" authorId="0" shapeId="0" xr:uid="{00000000-0006-0000-0E00-00000A000000}">
      <text>
        <r>
          <rPr>
            <sz val="9"/>
            <rFont val="宋体"/>
            <family val="3"/>
            <charset val="134"/>
          </rPr>
          <t>作者:
豪华客房</t>
        </r>
      </text>
    </comment>
    <comment ref="O7" authorId="0" shapeId="0" xr:uid="{00000000-0006-0000-0E00-00000B000000}">
      <text>
        <r>
          <rPr>
            <sz val="9"/>
            <rFont val="宋体"/>
            <family val="3"/>
            <charset val="134"/>
          </rPr>
          <t xml:space="preserve">作者:
扣除太阳能补偿面积后实为46147.73
</t>
        </r>
      </text>
    </comment>
    <comment ref="O8" authorId="0" shapeId="0" xr:uid="{00000000-0006-0000-0E00-00000C000000}">
      <text>
        <r>
          <rPr>
            <sz val="9"/>
            <rFont val="宋体"/>
            <family val="3"/>
            <charset val="134"/>
          </rPr>
          <t>作者:
作为经营性用房</t>
        </r>
      </text>
    </comment>
    <comment ref="O10" authorId="0" shapeId="0" xr:uid="{00000000-0006-0000-0E00-00000D000000}">
      <text>
        <r>
          <rPr>
            <sz val="9"/>
            <rFont val="宋体"/>
            <family val="3"/>
            <charset val="134"/>
          </rPr>
          <t xml:space="preserve">作者:
太阳能补偿面积201平米
</t>
        </r>
      </text>
    </comment>
    <comment ref="O11" authorId="0" shapeId="0" xr:uid="{00000000-0006-0000-0E00-00000E000000}">
      <text>
        <r>
          <rPr>
            <sz val="9"/>
            <rFont val="宋体"/>
            <family val="3"/>
            <charset val="134"/>
          </rPr>
          <t>作者:
太阳能补偿面积60平米</t>
        </r>
      </text>
    </comment>
    <comment ref="O12" authorId="0" shapeId="0" xr:uid="{00000000-0006-0000-0E00-00000F000000}">
      <text>
        <r>
          <rPr>
            <sz val="9"/>
            <rFont val="宋体"/>
            <family val="3"/>
            <charset val="134"/>
          </rPr>
          <t>作者:
太阳能补偿面积30</t>
        </r>
      </text>
    </comment>
    <comment ref="O13" authorId="0" shapeId="0" xr:uid="{00000000-0006-0000-0E00-000010000000}">
      <text>
        <r>
          <rPr>
            <sz val="9"/>
            <rFont val="宋体"/>
            <family val="3"/>
            <charset val="134"/>
          </rPr>
          <t xml:space="preserve">作者:
扣除太阳能补偿面积后实为14858.74
</t>
        </r>
      </text>
    </comment>
    <comment ref="O20" authorId="1" shapeId="0" xr:uid="{00000000-0006-0000-0E00-000011000000}">
      <text>
        <r>
          <rPr>
            <b/>
            <sz val="9"/>
            <rFont val="宋体"/>
            <family val="3"/>
            <charset val="134"/>
          </rPr>
          <t>yishengli:</t>
        </r>
        <r>
          <rPr>
            <sz val="9"/>
            <rFont val="宋体"/>
            <family val="3"/>
            <charset val="134"/>
          </rPr>
          <t xml:space="preserve">
太阳能补偿面积369平米</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<sst xmlns="http://schemas.openxmlformats.org/spreadsheetml/2006/main" count="9062" uniqueCount="3479">
  <si>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</si>
  <si>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</si>
  <si>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</si>
  <si>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</si>
  <si>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</si>
  <si>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</si>
  <si>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</si>
  <si>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</si>
  <si>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</si>
  <si>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</si>
  <si>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</si>
  <si>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</si>
  <si>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</si>
  <si>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</si>
  <si>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</si>
  <si>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</si>
  <si>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</si>
  <si>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</si>
  <si>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</si>
  <si>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</si>
  <si>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</si>
  <si>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</si>
  <si>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</si>
  <si>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</si>
  <si>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</si>
  <si>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</si>
  <si>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</si>
  <si>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</si>
  <si>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</si>
  <si>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</si>
  <si>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</si>
  <si>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</si>
  <si>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</si>
  <si>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</si>
  <si>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</si>
  <si>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</si>
  <si>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</si>
  <si>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</si>
  <si>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</si>
  <si>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</si>
  <si>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</si>
  <si>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</si>
  <si>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</si>
  <si>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</si>
  <si>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</si>
  <si>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</si>
  <si>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</si>
  <si>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</si>
  <si>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</si>
  <si>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</si>
  <si>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</si>
  <si>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</si>
  <si>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</si>
  <si>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</si>
  <si>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</si>
  <si>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</si>
  <si>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</si>
  <si>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</si>
  <si>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</si>
  <si>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</si>
  <si>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</si>
  <si>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</si>
  <si>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</si>
  <si>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</si>
  <si>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</si>
  <si>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</si>
  <si>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</si>
  <si>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</si>
  <si>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</si>
  <si>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</si>
  <si>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</si>
  <si>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</si>
  <si>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</si>
  <si>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</si>
  <si>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</si>
  <si>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</si>
  <si>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</si>
  <si>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</si>
  <si>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</si>
  <si>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</si>
  <si>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</si>
  <si>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</si>
  <si>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</si>
  <si>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</si>
  <si>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</si>
  <si>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</si>
  <si>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</si>
  <si>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</si>
  <si>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</si>
  <si>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</si>
  <si>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</si>
  <si>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</si>
  <si>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</si>
  <si>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</si>
  <si>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</si>
  <si>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</si>
  <si>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</si>
  <si>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</si>
  <si>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</si>
  <si>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</si>
  <si>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</si>
  <si>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</si>
  <si>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</si>
  <si>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</si>
  <si>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</si>
  <si>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</si>
  <si>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</si>
  <si>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</si>
  <si>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</si>
  <si>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</si>
  <si>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</si>
  <si>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</si>
  <si>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</si>
  <si>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</si>
  <si>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</si>
  <si>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</si>
  <si>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</si>
  <si>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</si>
  <si>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</si>
  <si>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</si>
  <si>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</si>
  <si>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</si>
  <si>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</si>
  <si>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</si>
  <si>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</si>
  <si>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</si>
  <si>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</si>
  <si>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</si>
  <si>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</si>
  <si>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</si>
  <si>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</si>
  <si>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</si>
  <si>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</si>
  <si>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</si>
  <si>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</si>
  <si>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</si>
  <si>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</si>
  <si>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</si>
  <si>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</si>
  <si>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</si>
  <si>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</si>
  <si>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</si>
  <si>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</si>
  <si>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</si>
  <si>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</si>
  <si>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</si>
  <si>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</si>
  <si>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</si>
  <si>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</si>
  <si>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</si>
  <si>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</si>
  <si>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</si>
  <si>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</si>
  <si>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</si>
  <si>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</si>
  <si>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</si>
  <si>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</si>
  <si>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</si>
  <si>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</si>
  <si>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</si>
  <si>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</si>
  <si>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</si>
  <si>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</si>
  <si>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</si>
  <si>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</si>
  <si>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</si>
  <si>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</si>
  <si>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</si>
  <si>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</si>
  <si>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</si>
  <si>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</si>
  <si>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</si>
  <si>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</si>
  <si>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</si>
  <si>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</si>
  <si>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</si>
  <si>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</si>
  <si>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</si>
  <si>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</si>
  <si>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</si>
  <si>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</si>
  <si>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</si>
  <si>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</si>
  <si>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</si>
  <si>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</si>
  <si>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</si>
  <si>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</si>
  <si>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</si>
  <si>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</si>
  <si>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</si>
  <si>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</si>
  <si>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</si>
  <si>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</si>
  <si>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</si>
  <si>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</si>
  <si>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</si>
  <si>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</si>
  <si>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</si>
  <si>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</si>
  <si>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</si>
  <si>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</si>
  <si>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</si>
  <si>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</si>
  <si>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</si>
  <si>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</si>
  <si>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</si>
  <si>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</si>
  <si>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</si>
  <si>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</si>
  <si>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</si>
  <si>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</si>
  <si>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</si>
  <si>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</si>
  <si>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</si>
  <si>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</si>
  <si>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</si>
  <si>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</si>
  <si>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</si>
  <si>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</si>
  <si>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</si>
  <si>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</si>
  <si>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</si>
  <si>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</si>
  <si>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</si>
  <si>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</si>
  <si>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</si>
  <si>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</si>
  <si>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</si>
  <si>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</si>
  <si>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</si>
  <si>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</si>
  <si>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</si>
  <si>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</si>
  <si>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</si>
  <si>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</si>
  <si>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</si>
  <si>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</si>
  <si>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</si>
  <si>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</si>
  <si>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</si>
  <si>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</si>
  <si>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</si>
  <si>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</si>
  <si>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</si>
  <si>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</si>
  <si>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</si>
  <si>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</si>
  <si>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</si>
  <si>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</si>
  <si>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</si>
  <si>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</si>
  <si>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</si>
  <si>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</si>
  <si>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</si>
  <si>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</si>
  <si>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</si>
  <si>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</si>
  <si>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</si>
  <si>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</si>
  <si>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</si>
  <si>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</si>
  <si>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</si>
  <si>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</si>
  <si>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</si>
  <si>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</si>
  <si>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</si>
  <si>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</si>
  <si>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</si>
  <si>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</si>
  <si>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</si>
  <si>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</si>
  <si>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</si>
  <si>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</si>
  <si>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</si>
  <si>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</si>
  <si>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</si>
  <si>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</si>
  <si>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</si>
  <si>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</si>
  <si>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</si>
  <si>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</si>
  <si>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</si>
  <si>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</si>
  <si>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</si>
  <si>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</si>
  <si>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</si>
  <si>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</si>
  <si>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</si>
  <si>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</si>
  <si>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</si>
  <si>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</si>
  <si>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</si>
  <si>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</si>
  <si>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</si>
  <si>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</si>
  <si>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</si>
  <si>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</si>
  <si>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</si>
  <si>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</si>
  <si>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</si>
  <si>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</si>
  <si>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</si>
  <si>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</si>
  <si>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</si>
  <si>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</si>
  <si>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</si>
  <si>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</si>
  <si>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</si>
  <si>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</si>
  <si>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</si>
  <si>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</si>
  <si>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</si>
  <si>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</si>
  <si>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</si>
  <si>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</si>
  <si>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</si>
  <si>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</si>
  <si>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</si>
  <si>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</si>
  <si>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</si>
  <si>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</si>
  <si>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</si>
  <si>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</si>
  <si>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</si>
  <si>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</si>
  <si>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</si>
  <si>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</si>
  <si>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</si>
  <si>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</si>
  <si>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</si>
  <si>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</si>
  <si>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</si>
  <si>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</si>
  <si>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</si>
  <si>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</si>
  <si>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</si>
  <si>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</si>
  <si>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</si>
  <si>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</si>
  <si>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</si>
  <si>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</si>
  <si>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</si>
  <si>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</si>
  <si>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</si>
  <si>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</si>
  <si>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</si>
  <si>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</si>
  <si>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</si>
  <si>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</si>
  <si>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</si>
  <si>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</si>
  <si>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</si>
  <si>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</si>
  <si>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</si>
  <si>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</si>
  <si>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</si>
  <si>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</si>
  <si>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</si>
  <si>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</si>
  <si>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</si>
  <si>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</si>
  <si>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</si>
  <si>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</si>
  <si>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</si>
  <si>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</si>
  <si>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</si>
  <si>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</si>
  <si>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</si>
  <si>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</si>
  <si>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</si>
  <si>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</si>
  <si>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</si>
  <si>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</si>
  <si>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</si>
  <si>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</si>
  <si>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</si>
  <si>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</si>
  <si>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</si>
  <si>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</si>
  <si>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</si>
  <si>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</si>
  <si>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</si>
  <si>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</si>
  <si>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</si>
  <si>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</si>
  <si>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</si>
  <si>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</si>
  <si>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</si>
  <si>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</si>
  <si>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</si>
  <si>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</si>
  <si>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</si>
  <si>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</si>
  <si>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</si>
  <si>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</si>
  <si>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</si>
  <si>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</si>
  <si>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</si>
  <si>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</si>
  <si>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</si>
  <si>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</si>
  <si>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</si>
  <si>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</si>
  <si>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</si>
  <si>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</si>
  <si>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</si>
  <si>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</si>
  <si>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</si>
  <si>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</si>
  <si>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</si>
  <si>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</si>
  <si>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</si>
  <si>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</si>
  <si>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</si>
  <si>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</si>
  <si>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</si>
  <si>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</si>
  <si>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</si>
  <si>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</si>
  <si>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</si>
  <si>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</si>
  <si>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</si>
  <si>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</si>
  <si>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</si>
  <si>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</si>
  <si>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</si>
  <si>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</si>
  <si>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</si>
  <si>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</si>
  <si>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</si>
  <si>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</si>
  <si>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</si>
  <si>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</si>
  <si>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</si>
  <si>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</si>
  <si>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</si>
  <si>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</si>
  <si>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</si>
  <si>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</si>
  <si>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</si>
  <si>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</si>
  <si>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</si>
  <si>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</si>
  <si>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</si>
  <si>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</si>
  <si>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</si>
  <si>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</si>
  <si>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</si>
  <si>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</si>
  <si>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</si>
  <si>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</si>
  <si>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</si>
  <si>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</si>
  <si>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</si>
  <si>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</si>
  <si>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</si>
  <si>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</si>
  <si>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</si>
  <si>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</si>
  <si>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</si>
  <si>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</si>
  <si>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</si>
  <si>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</si>
  <si>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</si>
  <si>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</si>
  <si>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</si>
  <si>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</si>
  <si>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</si>
  <si>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</si>
  <si>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</si>
  <si>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</si>
  <si>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</si>
  <si>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</si>
  <si>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</si>
  <si>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</si>
  <si>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</si>
  <si>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</si>
  <si>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</si>
  <si>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</si>
  <si>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</si>
  <si>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</si>
  <si>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</si>
  <si>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</si>
  <si>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</si>
  <si>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</si>
  <si>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</si>
  <si>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</si>
  <si>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</si>
  <si>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</si>
  <si>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</si>
  <si>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</si>
  <si>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</si>
  <si>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</si>
  <si>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</si>
  <si>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</si>
  <si>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</si>
  <si>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</si>
  <si>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</si>
  <si>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</si>
  <si>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</si>
  <si>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</si>
  <si>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</si>
  <si>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</si>
  <si>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</si>
  <si>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</si>
  <si>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</si>
  <si>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</si>
  <si>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</si>
  <si>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</si>
  <si>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</si>
  <si>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</si>
  <si>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</si>
  <si>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</si>
  <si>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</si>
  <si>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</si>
  <si>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</si>
  <si>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</si>
  <si>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</si>
  <si>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</si>
  <si>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</si>
  <si>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</si>
  <si>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</si>
  <si>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</si>
  <si>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</si>
  <si>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</si>
  <si>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</si>
  <si>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</si>
  <si>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</si>
  <si>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</si>
  <si>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</si>
  <si>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</si>
  <si>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</si>
  <si>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</si>
  <si>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</si>
  <si>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</si>
  <si>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</si>
  <si>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</si>
  <si>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</si>
  <si>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</si>
  <si>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</si>
  <si>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</si>
  <si>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</si>
  <si>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</si>
  <si>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</si>
  <si>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</si>
  <si>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</si>
  <si>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</si>
  <si>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</si>
  <si>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</si>
  <si>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</si>
  <si>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</si>
  <si>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</si>
  <si>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</si>
  <si>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</si>
  <si>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</si>
  <si>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</si>
  <si>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</si>
  <si>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</si>
  <si>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</si>
  <si>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</si>
  <si>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</si>
  <si>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</si>
  <si>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</si>
  <si>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</si>
  <si>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</si>
  <si>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</si>
  <si>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</si>
  <si>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</si>
  <si>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</si>
  <si>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</si>
  <si>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</si>
  <si>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</si>
  <si>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</si>
  <si>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</si>
  <si>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</si>
  <si>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</si>
  <si>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</si>
  <si>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</si>
  <si>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</si>
  <si>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</si>
  <si>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</si>
  <si>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</si>
  <si>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</si>
  <si>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</si>
  <si>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</si>
  <si>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</si>
  <si>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</si>
  <si>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</si>
  <si>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</si>
  <si>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</si>
  <si>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</si>
  <si>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</si>
  <si>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</si>
  <si>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</si>
  <si>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</si>
  <si>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</si>
  <si>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</si>
  <si>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</si>
  <si>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</si>
  <si>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</si>
  <si>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</si>
  <si>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</si>
  <si>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</si>
  <si>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</si>
  <si>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</si>
  <si>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</si>
  <si>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</si>
  <si>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</si>
  <si>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</si>
  <si>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</si>
  <si>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</si>
  <si>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</si>
  <si>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</si>
  <si>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</si>
  <si>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</si>
  <si>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</si>
  <si>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</si>
  <si>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</si>
  <si>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</si>
  <si>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</si>
  <si>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</si>
  <si>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</si>
  <si>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</si>
  <si>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</si>
  <si>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</si>
  <si>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</si>
  <si>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</si>
  <si>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</si>
  <si>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</si>
  <si>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</si>
  <si>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</si>
  <si>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</si>
  <si>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</si>
  <si>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</si>
  <si>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</si>
  <si>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</si>
  <si>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</si>
  <si>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</si>
  <si>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</si>
  <si>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</si>
  <si>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</si>
  <si>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</si>
  <si>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</si>
  <si>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</si>
  <si>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</si>
  <si>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</si>
  <si>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</si>
  <si>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</si>
  <si>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</si>
  <si>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</si>
  <si>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</si>
  <si>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</si>
  <si>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</si>
  <si>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</si>
  <si>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</si>
  <si>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</si>
  <si>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</si>
  <si>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</si>
  <si>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</si>
  <si>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</si>
  <si>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</si>
  <si>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</si>
  <si>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</si>
  <si>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</si>
  <si>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</si>
  <si>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</si>
  <si>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</si>
  <si>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</si>
  <si>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</si>
  <si>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</si>
  <si>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</si>
  <si>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</si>
  <si>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</si>
  <si>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</si>
  <si>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</si>
  <si>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</si>
  <si>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</si>
  <si>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</si>
  <si>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</si>
  <si>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</si>
  <si>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</si>
  <si>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</si>
  <si>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</si>
  <si>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</si>
  <si>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</si>
  <si>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</si>
  <si>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</si>
  <si>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</si>
  <si>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</si>
  <si>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</si>
  <si>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</si>
  <si>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</si>
  <si>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</si>
  <si>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</si>
  <si>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</si>
  <si>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</si>
  <si>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</si>
  <si>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</si>
  <si>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</si>
  <si>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</si>
  <si>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</si>
  <si>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</si>
  <si>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</si>
  <si>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</si>
  <si>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</si>
  <si>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</si>
  <si>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</si>
  <si>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</si>
  <si>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</si>
  <si>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</si>
  <si>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</si>
  <si>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</si>
  <si>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</si>
  <si>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</si>
  <si>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</si>
  <si>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</si>
  <si>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</si>
  <si>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</si>
  <si>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</si>
  <si>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</si>
  <si>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</si>
  <si>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</si>
  <si>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</si>
  <si>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</si>
  <si>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</si>
  <si>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</si>
  <si>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</si>
  <si>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</si>
  <si>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</si>
  <si>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</si>
  <si>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</si>
  <si>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</si>
  <si>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</si>
  <si>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</si>
  <si>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</si>
  <si>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</si>
  <si>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</si>
  <si>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</si>
  <si>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</si>
  <si>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</si>
  <si>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</si>
  <si>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</si>
  <si>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</si>
  <si>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</si>
  <si>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</si>
  <si>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</si>
  <si>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</si>
  <si>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</si>
  <si>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</si>
  <si>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</si>
  <si>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</si>
  <si>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</si>
  <si>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</si>
  <si>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</si>
  <si>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</si>
  <si>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</si>
  <si>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</si>
  <si>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</si>
  <si>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</si>
  <si>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</si>
  <si>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</si>
  <si>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</si>
  <si>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</si>
  <si>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</si>
  <si>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</si>
  <si>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</si>
  <si>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</si>
  <si>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</si>
  <si>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</si>
  <si>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</si>
  <si>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</si>
  <si>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</si>
  <si>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</si>
  <si>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</si>
  <si>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</si>
  <si>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</si>
  <si>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</si>
  <si>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</si>
  <si>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</si>
  <si>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</si>
  <si>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</si>
  <si>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</si>
  <si>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</si>
  <si>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</si>
  <si>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</si>
  <si>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</si>
  <si>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</si>
  <si>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</si>
  <si>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</si>
  <si>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</si>
  <si>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</si>
  <si>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</si>
  <si>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</si>
  <si>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</si>
  <si>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</si>
  <si>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</si>
  <si>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</si>
  <si>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</si>
  <si>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</si>
  <si>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</si>
  <si>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</si>
  <si>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</si>
  <si>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</si>
  <si>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</si>
  <si>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</si>
  <si>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</si>
  <si>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</si>
  <si>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</si>
  <si>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</si>
  <si>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</si>
  <si>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</si>
  <si>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</si>
  <si>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</si>
  <si>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</si>
  <si>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</si>
  <si>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</si>
  <si>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</si>
  <si>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</si>
  <si>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</si>
  <si>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</si>
  <si>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</si>
  <si>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</si>
  <si>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</si>
  <si>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</si>
  <si>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</si>
  <si>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</si>
  <si>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</si>
  <si>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</si>
  <si>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</si>
  <si>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</si>
  <si>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</si>
  <si>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</si>
  <si>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</si>
  <si>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</si>
  <si>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</si>
  <si>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</si>
  <si>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</si>
  <si>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</si>
  <si>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</si>
  <si>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</si>
  <si>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</si>
  <si>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</si>
  <si>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</si>
  <si>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</si>
  <si>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</si>
  <si>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</si>
  <si>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</si>
  <si>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</si>
  <si>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</si>
  <si>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</si>
  <si>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</si>
  <si>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</si>
  <si>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</si>
  <si>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</si>
  <si>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</si>
  <si>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</si>
  <si>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</si>
  <si>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</si>
  <si>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</si>
  <si>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</si>
  <si>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</si>
  <si>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</si>
  <si>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</si>
  <si>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</si>
  <si>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</si>
  <si>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</si>
  <si>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</si>
  <si>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</si>
  <si>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</si>
  <si>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</si>
  <si>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</si>
  <si>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</si>
  <si>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</si>
  <si>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</si>
  <si>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</si>
  <si>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</si>
  <si>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</si>
  <si>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</si>
  <si>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</si>
  <si>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</si>
  <si>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</si>
  <si>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</si>
  <si>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</si>
  <si>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</si>
  <si>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</si>
  <si>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</si>
  <si>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</si>
  <si>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</si>
  <si>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</si>
  <si>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</si>
  <si>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</si>
  <si>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</si>
  <si>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</si>
  <si>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</si>
  <si>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</si>
  <si>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</si>
  <si>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</si>
  <si>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</si>
  <si>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</si>
  <si>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</si>
  <si>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</si>
  <si>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</si>
  <si>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</si>
  <si>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</si>
  <si>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</si>
  <si>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</si>
  <si>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</si>
  <si>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</si>
  <si>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</si>
  <si>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</si>
  <si>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</si>
  <si>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</si>
  <si>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</si>
  <si>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</si>
  <si>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</si>
  <si>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</si>
  <si>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</si>
  <si>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</si>
  <si>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</si>
  <si>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</si>
  <si>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</si>
  <si>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</si>
  <si>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</si>
  <si>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</si>
  <si>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</si>
  <si>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</si>
  <si>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</si>
  <si>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</si>
  <si>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</si>
  <si>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</si>
  <si>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</si>
  <si>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</si>
  <si>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</si>
  <si>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</si>
  <si>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</si>
  <si>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</si>
  <si>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</si>
  <si>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</si>
  <si>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</si>
  <si>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</si>
  <si>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</si>
  <si>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</si>
  <si>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</si>
  <si>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</si>
  <si>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</si>
  <si>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</si>
  <si>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</si>
  <si>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</si>
  <si>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</si>
  <si>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</si>
  <si>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</si>
  <si>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</si>
  <si>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</si>
  <si>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</si>
  <si>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</si>
  <si>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</si>
  <si>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</si>
  <si>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</si>
  <si>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</si>
  <si>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</si>
  <si>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</si>
  <si>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</si>
  <si>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</si>
  <si>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</si>
  <si>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</si>
  <si>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</si>
  <si>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</si>
  <si>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</si>
  <si>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</si>
  <si>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</si>
  <si>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</si>
  <si>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</si>
  <si>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</si>
  <si>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</si>
  <si>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</si>
  <si>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</si>
  <si>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</si>
  <si>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</si>
  <si>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</si>
  <si>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</si>
  <si>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</si>
  <si>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</si>
  <si>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</si>
  <si>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</si>
  <si>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</si>
  <si>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</si>
  <si>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</si>
  <si>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</si>
  <si>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</si>
  <si>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</si>
  <si>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</si>
  <si>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</si>
  <si>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</si>
  <si>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</si>
  <si>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</si>
  <si>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</si>
  <si>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</si>
  <si>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</si>
  <si>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</si>
  <si>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</si>
  <si>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</si>
  <si>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</si>
  <si>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</si>
  <si>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</si>
  <si>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</si>
  <si>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</si>
  <si>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</si>
  <si>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</si>
  <si>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</si>
  <si>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</si>
  <si>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</si>
  <si>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</si>
  <si>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</si>
  <si>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</si>
  <si>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</si>
  <si>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</si>
  <si>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</si>
  <si>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</si>
  <si>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</si>
  <si>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</si>
  <si>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</si>
  <si>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</si>
  <si>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</si>
  <si>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</si>
  <si>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</si>
  <si>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</si>
  <si>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</si>
  <si>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</si>
  <si>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</si>
  <si>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</si>
  <si>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</si>
  <si>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</si>
  <si>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</si>
  <si>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</si>
  <si>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</si>
  <si>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</si>
  <si>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</si>
  <si>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</si>
  <si>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</si>
  <si>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</si>
  <si>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</si>
  <si>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</si>
  <si>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</si>
  <si>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</si>
  <si>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</si>
  <si>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</si>
  <si>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</si>
  <si>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</si>
  <si>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</si>
  <si>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</si>
  <si>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</si>
  <si>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</si>
  <si>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</si>
  <si>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</si>
  <si>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</si>
  <si>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</si>
  <si>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</si>
  <si>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</si>
  <si>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</si>
  <si>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</si>
  <si>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</si>
  <si>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</si>
  <si>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</si>
  <si>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</si>
  <si>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</si>
  <si>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</si>
  <si>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</si>
  <si>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</si>
  <si>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</si>
  <si>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</si>
  <si>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</si>
  <si>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</si>
  <si>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</si>
  <si>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</si>
  <si>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</si>
  <si>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</si>
  <si>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</si>
  <si>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</si>
  <si>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</si>
  <si>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</si>
  <si>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</si>
  <si>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</si>
  <si>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</si>
  <si>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</si>
  <si>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</si>
  <si>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</si>
  <si>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</si>
  <si>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</si>
  <si>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</si>
  <si>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</si>
  <si>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</si>
  <si>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</si>
  <si>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</si>
  <si>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</si>
  <si>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</si>
  <si>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</si>
  <si>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</si>
  <si>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</si>
  <si>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</si>
  <si>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</si>
  <si>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</si>
  <si>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</si>
  <si>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</si>
  <si>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</si>
  <si>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</si>
  <si>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</si>
  <si>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</si>
  <si>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</si>
  <si>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</si>
  <si>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</si>
  <si>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</si>
  <si>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</si>
  <si>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</si>
  <si>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</si>
  <si>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</si>
  <si>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</si>
  <si>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</si>
  <si>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</si>
  <si>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</si>
  <si>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</si>
  <si>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</si>
  <si>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</si>
  <si>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</si>
  <si>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</si>
  <si>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</si>
  <si>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</si>
  <si>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</si>
  <si>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</si>
  <si>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</si>
  <si>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</si>
  <si>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</si>
  <si>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</si>
  <si>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</si>
  <si>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</si>
  <si>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</si>
  <si>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</si>
  <si>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</si>
  <si>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</si>
  <si>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</si>
  <si>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</si>
  <si>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</si>
  <si>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</si>
  <si>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</si>
  <si>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</si>
  <si>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</si>
  <si>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</si>
  <si>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</si>
  <si>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</si>
  <si>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</si>
  <si>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</si>
  <si>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</si>
  <si>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</si>
  <si>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</si>
  <si>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</si>
  <si>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</si>
  <si>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</si>
  <si>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</si>
  <si>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</si>
  <si>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</si>
  <si>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</si>
  <si>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</si>
  <si>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</si>
  <si>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</si>
  <si>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</si>
  <si>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</si>
  <si>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</si>
  <si>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</si>
  <si>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</si>
  <si>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</si>
  <si>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</si>
  <si>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</si>
  <si>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</si>
  <si>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</si>
  <si>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</si>
  <si>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</si>
  <si>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</si>
  <si>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</si>
  <si>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</si>
  <si>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</si>
  <si>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</si>
  <si>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</si>
  <si>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</si>
  <si>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</si>
  <si>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</si>
  <si>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</si>
  <si>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</si>
  <si>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</si>
  <si>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</si>
  <si>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</si>
  <si>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</si>
  <si>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</si>
  <si>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</si>
  <si>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</si>
  <si>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</si>
  <si>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</si>
  <si>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</si>
  <si>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</si>
  <si>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</si>
  <si>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</si>
  <si>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</si>
  <si>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</si>
  <si>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</si>
  <si>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</si>
  <si>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</si>
  <si>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</si>
  <si>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</si>
  <si>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</si>
  <si>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</si>
  <si>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</si>
  <si>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</si>
  <si>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</si>
  <si>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</si>
  <si>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</si>
  <si>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</si>
  <si>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</si>
  <si>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</si>
  <si>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</si>
  <si>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</si>
  <si>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</si>
  <si>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</si>
  <si>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</si>
  <si>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</si>
  <si>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</si>
  <si>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</si>
  <si>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</si>
  <si>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</si>
  <si>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</si>
  <si>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</si>
  <si>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</si>
  <si>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</si>
  <si>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</si>
  <si>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</si>
  <si>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</si>
  <si>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</si>
  <si>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</si>
  <si>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</si>
  <si>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</si>
  <si>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</si>
  <si>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</si>
  <si>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</si>
  <si>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</si>
  <si>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</si>
  <si>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</si>
  <si>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</si>
  <si>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</si>
  <si>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</si>
  <si>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</si>
  <si>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</si>
  <si>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</si>
  <si>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</si>
  <si>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</si>
  <si>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</si>
  <si>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</si>
  <si>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</si>
  <si>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</si>
  <si>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</si>
  <si>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</si>
  <si>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</si>
  <si>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</si>
  <si>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</si>
  <si>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</si>
  <si>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</si>
  <si>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</si>
  <si>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</si>
  <si>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</si>
  <si>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</si>
  <si>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</si>
  <si>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</si>
  <si>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</si>
  <si>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</si>
  <si>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</si>
  <si>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</si>
  <si>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</si>
  <si>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</si>
  <si>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</si>
  <si>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</si>
  <si>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</si>
  <si>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</si>
  <si>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</si>
  <si>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</si>
  <si>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</si>
  <si>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</si>
  <si>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</si>
  <si>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</si>
  <si>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</si>
  <si>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</si>
  <si>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</si>
  <si>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</si>
  <si>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</si>
  <si>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</si>
  <si>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</si>
  <si>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</si>
  <si>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</si>
  <si>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</si>
  <si>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</si>
  <si>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</si>
  <si>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</si>
  <si>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</si>
  <si>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</si>
  <si>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</si>
  <si>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</si>
  <si>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</si>
  <si>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</si>
  <si>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</si>
  <si>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</si>
  <si>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</si>
  <si>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</si>
  <si>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</si>
  <si>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</si>
  <si>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</si>
  <si>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</si>
  <si>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</si>
  <si>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</si>
  <si>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</si>
  <si>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</si>
  <si>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</si>
  <si>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</si>
  <si>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</si>
  <si>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</si>
  <si>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</si>
  <si>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</si>
  <si>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</si>
  <si>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</si>
  <si>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</si>
  <si>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</si>
  <si>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</si>
  <si>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</si>
  <si>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</si>
  <si>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</si>
  <si>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</si>
  <si>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</si>
  <si>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</si>
  <si>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</si>
  <si>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</si>
  <si>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</si>
  <si>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</si>
  <si>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</si>
  <si>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</si>
  <si>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</si>
  <si>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</si>
  <si>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</si>
  <si>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</si>
  <si>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</si>
  <si>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</si>
  <si>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</si>
  <si>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</si>
  <si>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</si>
  <si>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</si>
  <si>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</si>
  <si>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</si>
  <si>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</si>
  <si>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</si>
  <si>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</si>
  <si>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</si>
  <si>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</si>
  <si>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</si>
  <si>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</si>
  <si>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</si>
  <si>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</si>
  <si>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</si>
  <si>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</si>
  <si>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</si>
  <si>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</si>
  <si>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</si>
  <si>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</si>
  <si>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</si>
  <si>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</si>
  <si>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</si>
  <si>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</si>
  <si>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</si>
  <si>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</si>
  <si>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</si>
  <si>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</si>
  <si>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</si>
  <si>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</si>
  <si>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</si>
  <si>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</si>
  <si>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</si>
  <si>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</si>
  <si>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</si>
  <si>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</si>
  <si>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</si>
  <si>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</si>
  <si>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</si>
  <si>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</si>
  <si>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</si>
  <si>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</si>
  <si>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</si>
  <si>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</si>
  <si>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</si>
  <si>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</si>
  <si>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</si>
  <si>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</si>
  <si>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</si>
  <si>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</si>
  <si>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</si>
  <si>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</si>
  <si>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</si>
  <si>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</si>
  <si>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</si>
  <si>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</si>
  <si>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</si>
  <si>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</si>
  <si>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</si>
  <si>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</si>
  <si>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</si>
  <si>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</si>
  <si>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</si>
  <si>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</si>
  <si>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</si>
  <si>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</si>
  <si>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</si>
  <si>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</si>
  <si>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</si>
  <si>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</si>
  <si>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</si>
  <si>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</si>
  <si>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</si>
  <si>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</si>
  <si>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</si>
  <si>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</si>
  <si>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</si>
  <si>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</si>
  <si>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</si>
  <si>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</si>
  <si>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</si>
  <si>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</si>
  <si>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</si>
  <si>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</si>
  <si>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</si>
  <si>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</si>
  <si>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</si>
  <si>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</si>
  <si>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</si>
  <si>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</si>
  <si>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</si>
  <si>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</si>
  <si>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</si>
  <si>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</si>
  <si>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</si>
  <si>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</si>
  <si>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</si>
  <si>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</si>
  <si>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</si>
  <si>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</si>
  <si>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</si>
  <si>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</si>
  <si>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</si>
  <si>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</si>
  <si>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</si>
  <si>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</si>
  <si>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</si>
  <si>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</si>
  <si>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</si>
  <si>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</si>
  <si>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</si>
  <si>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</si>
  <si>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</si>
  <si>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</si>
  <si>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</si>
  <si>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</si>
  <si>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</si>
  <si>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</si>
  <si>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</si>
  <si>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</si>
  <si>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</si>
  <si>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</si>
  <si>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</si>
  <si>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</si>
  <si>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</si>
  <si>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</si>
  <si>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</si>
  <si>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</si>
  <si>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</si>
  <si>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</si>
  <si>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</si>
  <si>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</si>
  <si>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</si>
  <si>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</si>
  <si>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</si>
  <si>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</si>
  <si>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</si>
  <si>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</si>
  <si>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</si>
  <si>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</si>
  <si>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</si>
  <si>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</si>
  <si>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</si>
  <si>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</si>
  <si>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</si>
  <si>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</si>
  <si>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</si>
  <si>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</si>
  <si>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</si>
  <si>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</si>
  <si>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</si>
  <si>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</si>
  <si>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</si>
  <si>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</si>
  <si>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</si>
  <si>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</si>
  <si>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</si>
  <si>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</si>
  <si>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</si>
  <si>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</si>
  <si>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</si>
  <si>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</si>
  <si>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</si>
  <si>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</si>
  <si>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</si>
  <si>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</si>
  <si>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</si>
  <si>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</si>
  <si>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</si>
  <si>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</si>
  <si>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</si>
  <si>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</si>
  <si>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</si>
  <si>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</si>
  <si>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</si>
  <si>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</si>
  <si>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</si>
  <si>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</si>
  <si>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</si>
  <si>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</si>
  <si>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</si>
  <si>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</si>
  <si>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</si>
  <si>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</si>
  <si>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</si>
  <si>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</si>
  <si>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</si>
  <si>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</si>
  <si>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</si>
  <si>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</si>
  <si>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</si>
  <si>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</si>
  <si>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</si>
  <si>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</si>
  <si>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</si>
  <si>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</si>
  <si>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</si>
  <si>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</si>
  <si>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</si>
  <si>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</si>
  <si>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</si>
  <si>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</si>
  <si>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</si>
  <si>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</si>
  <si>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</si>
  <si>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</si>
  <si>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</si>
  <si>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</si>
  <si>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</si>
  <si>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</si>
  <si>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</si>
  <si>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</si>
  <si>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</si>
  <si>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</si>
  <si>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</si>
  <si>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</si>
  <si>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</si>
  <si>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</si>
  <si>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</si>
  <si>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</si>
  <si>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</si>
  <si>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</si>
  <si>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</si>
  <si>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</si>
  <si>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</si>
  <si>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</si>
  <si>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</si>
  <si>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</si>
  <si>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</si>
  <si>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</si>
  <si>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</si>
  <si>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</si>
  <si>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</si>
  <si>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</si>
  <si>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</si>
  <si>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</si>
  <si>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</si>
  <si>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</si>
  <si>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</si>
  <si>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</si>
  <si>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</si>
  <si>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</si>
  <si>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</si>
  <si>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</si>
  <si>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</si>
  <si>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</si>
  <si>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</si>
  <si>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</si>
  <si>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</si>
  <si>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</si>
  <si>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</si>
  <si>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</si>
  <si>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</si>
  <si>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</si>
  <si>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</si>
  <si>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</si>
  <si>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</si>
  <si>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</si>
  <si>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</si>
  <si>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</si>
  <si>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</si>
  <si>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</si>
  <si>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</si>
  <si>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</si>
  <si>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</si>
  <si>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</si>
  <si>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</si>
  <si>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</si>
  <si>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</si>
  <si>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</si>
  <si>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</si>
  <si>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</si>
  <si>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</si>
  <si>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</si>
  <si>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</si>
  <si>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</si>
  <si>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</si>
  <si>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</si>
  <si>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</si>
  <si>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</si>
  <si>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</si>
  <si>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</si>
  <si>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</si>
  <si>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</si>
  <si>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</si>
  <si>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</si>
  <si>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</si>
  <si>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</si>
  <si>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</si>
  <si>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</si>
  <si>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</si>
  <si>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</si>
  <si>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</si>
  <si>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</si>
  <si>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</si>
  <si>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</si>
  <si>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</si>
  <si>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</si>
  <si>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</si>
  <si>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</si>
  <si>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</si>
  <si>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</si>
  <si>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</si>
  <si>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</si>
  <si>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</si>
  <si>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</si>
  <si>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</si>
  <si>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</si>
  <si>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</si>
  <si>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</si>
  <si>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</si>
  <si>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</si>
  <si>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</si>
  <si>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</si>
  <si>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</si>
  <si>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</si>
  <si>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</si>
  <si>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</si>
  <si>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</si>
  <si>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</si>
  <si>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</si>
  <si>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</si>
  <si>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</si>
  <si>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</si>
  <si>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</si>
  <si>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</si>
  <si>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</si>
  <si>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</si>
  <si>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</si>
  <si>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</si>
  <si>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</si>
  <si>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</si>
  <si>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</si>
  <si>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</si>
  <si>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</si>
  <si>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</si>
  <si>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</si>
  <si>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</si>
  <si>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</si>
  <si>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</si>
  <si>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</si>
  <si>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</si>
  <si>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</si>
  <si>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</si>
  <si>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</si>
  <si>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</si>
  <si>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</si>
  <si>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</si>
  <si>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</si>
  <si>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</si>
  <si>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</si>
  <si>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</si>
  <si>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</si>
  <si>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</si>
  <si>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</si>
  <si>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</si>
  <si>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</si>
  <si>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</si>
  <si>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</si>
  <si>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</si>
  <si>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</si>
  <si>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</si>
  <si>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</si>
  <si>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</si>
  <si>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</si>
  <si>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</si>
  <si>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</si>
  <si>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</si>
  <si>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</si>
  <si>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</si>
  <si>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</si>
  <si>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</si>
  <si>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</si>
  <si>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</si>
  <si>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</si>
  <si>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</si>
  <si>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</si>
  <si>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</si>
  <si>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</si>
  <si>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</si>
  <si>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</si>
  <si>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</si>
  <si>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</si>
  <si>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</si>
  <si>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</si>
  <si>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</si>
  <si>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</si>
  <si>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</si>
  <si>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</si>
  <si>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</si>
  <si>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</si>
  <si>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</si>
  <si>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</si>
  <si>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</si>
  <si>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</si>
  <si>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</si>
  <si>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</si>
  <si>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</si>
  <si>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</si>
  <si>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</si>
  <si>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</si>
  <si>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</si>
  <si>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</si>
  <si>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</si>
  <si>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</si>
  <si>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</si>
  <si>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</si>
  <si>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</si>
  <si>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</si>
  <si>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</si>
  <si>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</si>
  <si>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</si>
  <si>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</si>
  <si>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</si>
  <si>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</si>
  <si>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</si>
  <si>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</si>
  <si>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</si>
  <si>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</si>
  <si>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</si>
  <si>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</si>
  <si>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</si>
  <si>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</si>
  <si>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</si>
  <si>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</si>
  <si>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</si>
  <si>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</si>
  <si>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</si>
  <si>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</si>
  <si>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</si>
  <si>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</si>
  <si>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</si>
  <si>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</si>
  <si>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</si>
  <si>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</si>
  <si>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</si>
  <si>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</si>
  <si>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</si>
  <si>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</si>
  <si>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</si>
  <si>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</si>
  <si>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</si>
  <si>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</si>
  <si>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</si>
  <si>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</si>
  <si>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</si>
  <si>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</si>
  <si>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</si>
  <si>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</si>
  <si>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</si>
  <si>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</si>
  <si>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</si>
  <si>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</si>
  <si>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</si>
  <si>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</si>
  <si>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</si>
  <si>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</si>
  <si>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</si>
  <si>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</si>
  <si>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</si>
  <si>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</si>
  <si>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</si>
  <si>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</si>
  <si>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</si>
  <si>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</si>
  <si>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</si>
  <si>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</si>
  <si>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</si>
  <si>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</si>
  <si>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</si>
  <si>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</si>
  <si>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</si>
  <si>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</si>
  <si>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</si>
  <si>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</si>
  <si>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</si>
  <si>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</si>
  <si>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</si>
  <si>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</si>
  <si>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</si>
  <si>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</si>
  <si>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</si>
  <si>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</si>
  <si>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</si>
  <si>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</si>
  <si>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</si>
  <si>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</si>
  <si>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</si>
  <si>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</si>
  <si>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</si>
  <si>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</si>
  <si>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</si>
  <si>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</si>
  <si>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</si>
  <si>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</si>
  <si>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</si>
  <si>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</si>
  <si>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</si>
  <si>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</si>
  <si>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</si>
  <si>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</si>
  <si>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</si>
  <si>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</si>
  <si>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</si>
  <si>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</si>
  <si>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</si>
  <si>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</si>
  <si>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</si>
  <si>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</si>
  <si>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</si>
  <si>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</si>
  <si>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</si>
  <si>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</si>
  <si>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</si>
  <si>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</si>
  <si>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</si>
  <si>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</si>
  <si>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</si>
  <si>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</si>
  <si>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</si>
  <si>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</si>
  <si>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</si>
  <si>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</si>
  <si>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</si>
  <si>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</si>
  <si>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</si>
  <si>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</si>
  <si>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</si>
  <si>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</si>
  <si>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</si>
  <si>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</si>
  <si>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</si>
  <si>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</si>
  <si>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</si>
  <si>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</si>
  <si>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</si>
  <si>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</si>
  <si>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</si>
  <si>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</si>
  <si>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</si>
  <si>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</si>
  <si>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</si>
  <si>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</si>
  <si>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</si>
  <si>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</si>
  <si>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</si>
  <si>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</si>
  <si>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</si>
  <si>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</si>
  <si>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</si>
  <si>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</si>
  <si>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</si>
  <si>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</si>
  <si>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</si>
  <si>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</si>
  <si>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</si>
  <si>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</si>
  <si>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</si>
  <si>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</si>
  <si>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</si>
  <si>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</si>
  <si>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</si>
  <si>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</si>
  <si>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</si>
  <si>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</si>
  <si>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</si>
  <si>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</si>
  <si>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</si>
  <si>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</si>
  <si>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</si>
  <si>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</si>
  <si>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</si>
  <si>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</si>
  <si>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</si>
  <si>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</si>
  <si>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</si>
  <si>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</si>
  <si>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</si>
  <si>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</si>
  <si>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</si>
  <si>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</si>
  <si>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</si>
  <si>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</si>
  <si>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</si>
  <si>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</si>
  <si>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</si>
  <si>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</si>
  <si>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</si>
  <si>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</si>
  <si>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</si>
  <si>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</si>
  <si>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</si>
  <si>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</si>
  <si>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</si>
  <si>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</si>
  <si>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</si>
  <si>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</si>
  <si>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</si>
  <si>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</si>
  <si>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</si>
  <si>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</si>
  <si>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</si>
  <si>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</si>
  <si>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</si>
  <si>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</si>
  <si>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</si>
  <si>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</si>
  <si>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</si>
  <si>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</si>
  <si>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</si>
  <si>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</si>
  <si>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</si>
  <si>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</si>
  <si>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</si>
  <si>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</si>
  <si>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</si>
  <si>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</si>
  <si>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</si>
  <si>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</si>
  <si>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</si>
  <si>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</si>
  <si>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</si>
  <si>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</si>
  <si>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</si>
  <si>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</si>
  <si>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</si>
  <si>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</si>
  <si>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</si>
  <si>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</si>
  <si>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</si>
  <si>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</si>
  <si>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</si>
  <si>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</si>
  <si>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</si>
  <si>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</si>
  <si>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</si>
  <si>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</si>
  <si>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</si>
  <si>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</si>
  <si>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</si>
  <si>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</si>
  <si>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</si>
  <si>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</si>
  <si>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</si>
  <si>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</si>
  <si>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</si>
  <si>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</si>
  <si>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</si>
  <si>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</si>
  <si>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</si>
  <si>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</si>
  <si>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</si>
  <si>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</si>
  <si>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</si>
  <si>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</si>
  <si>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</si>
  <si>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</si>
  <si>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</si>
  <si>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</si>
  <si>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</si>
  <si>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</si>
  <si>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</si>
  <si>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</si>
  <si>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</si>
  <si>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</si>
  <si>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</si>
  <si>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</si>
  <si>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</si>
  <si>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</si>
  <si>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</si>
  <si>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</si>
  <si>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</si>
  <si>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</si>
  <si>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</si>
  <si>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</si>
  <si>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</si>
  <si>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</si>
  <si>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</si>
  <si>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</si>
  <si>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</si>
  <si>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</si>
  <si>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</si>
  <si>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</si>
  <si>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</si>
  <si>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</si>
  <si>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</si>
  <si>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</si>
  <si>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</si>
  <si>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</si>
  <si>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</si>
  <si>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</si>
  <si>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</si>
  <si>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</si>
  <si>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</si>
  <si>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</si>
  <si>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</si>
  <si>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</si>
  <si>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</si>
  <si>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</si>
  <si>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</si>
  <si>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</si>
  <si>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</si>
  <si>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</si>
  <si>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</si>
  <si>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</si>
  <si>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</si>
  <si>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</si>
  <si>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</si>
  <si>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</si>
  <si>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</si>
  <si>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</si>
  <si>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</si>
  <si>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</si>
  <si>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</si>
  <si>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</si>
  <si>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</si>
  <si>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</si>
  <si>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</si>
  <si>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</si>
  <si>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</si>
  <si>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</si>
  <si>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</si>
  <si>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</si>
  <si>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</si>
  <si>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</si>
  <si>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</si>
  <si>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</si>
  <si>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</si>
  <si>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</si>
  <si>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</si>
  <si>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</si>
  <si>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</si>
  <si>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</si>
  <si>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</si>
  <si>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</si>
  <si>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</si>
  <si>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</si>
  <si>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</si>
  <si>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</si>
  <si>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</si>
  <si>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</si>
  <si>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</si>
  <si>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</si>
  <si>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</si>
  <si>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</si>
  <si>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</si>
  <si>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</si>
  <si>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</si>
  <si>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</si>
  <si>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</si>
  <si>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</si>
  <si>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</si>
  <si>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</si>
  <si>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</si>
  <si>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</si>
  <si>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</si>
  <si>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</si>
  <si>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</si>
  <si>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</si>
  <si>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</si>
  <si>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</si>
  <si>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</si>
  <si>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</si>
  <si>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</si>
  <si>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</si>
  <si>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</si>
  <si>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</si>
  <si>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</si>
  <si>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</si>
  <si>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</si>
  <si>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</si>
  <si>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</si>
  <si>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</si>
  <si>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</si>
  <si>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</si>
  <si>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</si>
  <si>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</si>
  <si>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</si>
  <si>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</si>
  <si>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</si>
  <si>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</si>
  <si>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</si>
  <si>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</si>
  <si>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</si>
  <si>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</si>
  <si>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</si>
  <si>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</si>
  <si>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</si>
  <si>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</si>
  <si>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</si>
  <si>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</si>
  <si>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</si>
  <si>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</si>
  <si>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</si>
  <si>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</si>
  <si>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</si>
  <si>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</si>
  <si>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</si>
  <si>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</si>
  <si>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</si>
  <si>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</si>
  <si>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</si>
  <si>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</si>
  <si>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</si>
  <si>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</si>
  <si>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</si>
  <si>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</si>
  <si>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</si>
  <si>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</si>
  <si>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</si>
  <si>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</si>
  <si>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</si>
  <si>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</si>
  <si>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</si>
  <si>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</si>
  <si>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</si>
  <si>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</si>
  <si>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</si>
  <si>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</si>
  <si>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</si>
  <si>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</si>
  <si>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</si>
  <si>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</si>
  <si>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</si>
  <si>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</si>
  <si>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</si>
  <si>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</si>
  <si>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</si>
  <si>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</si>
  <si>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</si>
  <si>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</si>
  <si>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</si>
  <si>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</si>
  <si>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</si>
  <si>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</si>
  <si>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</si>
  <si>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</si>
  <si>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</si>
  <si>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</si>
  <si>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</si>
  <si>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</si>
  <si>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</si>
  <si>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</si>
  <si>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</si>
  <si>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</si>
  <si>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</si>
  <si>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</si>
  <si>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</si>
  <si>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</si>
  <si>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</si>
  <si>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</si>
  <si>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</si>
  <si>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</si>
  <si>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</si>
  <si>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</si>
  <si>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</si>
  <si>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</si>
  <si>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</si>
  <si>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</si>
  <si>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</si>
  <si>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</si>
  <si>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</si>
  <si>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</si>
  <si>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</si>
  <si>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</si>
  <si>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</si>
  <si>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</si>
  <si>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</si>
  <si>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</si>
  <si>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</si>
  <si>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</si>
  <si>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</si>
  <si>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</si>
  <si>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</si>
  <si>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</si>
  <si>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</si>
  <si>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</si>
  <si>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</si>
  <si>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</si>
  <si>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</si>
  <si>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</si>
  <si>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</si>
  <si>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</si>
  <si>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</si>
  <si>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</si>
  <si>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</si>
  <si>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</si>
  <si>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</si>
  <si>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</si>
  <si>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</si>
  <si>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</si>
  <si>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</si>
  <si>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</si>
  <si>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</si>
  <si>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</si>
  <si>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</si>
  <si>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</si>
  <si>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</si>
  <si>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</si>
  <si>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</si>
  <si>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</si>
  <si>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</si>
  <si>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</si>
  <si>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</si>
  <si>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</si>
  <si>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</si>
  <si>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</si>
  <si>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</si>
  <si>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</si>
  <si>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</si>
  <si>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</si>
  <si>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</si>
  <si>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</si>
  <si>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</si>
  <si>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</si>
  <si>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</si>
  <si>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</si>
  <si>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</si>
  <si>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</si>
  <si>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</si>
  <si>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</si>
  <si>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</si>
  <si>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</si>
  <si>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</si>
  <si>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</si>
  <si>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</si>
  <si>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</si>
  <si>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</si>
  <si>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</si>
  <si>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</si>
  <si>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</si>
  <si>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</si>
  <si>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</si>
  <si>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</si>
  <si>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</si>
  <si>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</si>
  <si>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</si>
  <si>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</si>
  <si>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</si>
  <si>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</si>
  <si>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</si>
  <si>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</si>
  <si>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</si>
  <si>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</si>
  <si>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</si>
  <si>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</si>
  <si>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</si>
  <si>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</si>
  <si>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</si>
  <si>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</si>
  <si>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</si>
  <si>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</si>
  <si>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</si>
  <si>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</si>
  <si>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</si>
  <si>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</si>
  <si>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</si>
  <si>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</si>
  <si>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</si>
  <si>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</si>
  <si>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</si>
  <si>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</si>
  <si>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</si>
  <si>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</si>
  <si>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</si>
  <si>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</si>
  <si>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</si>
  <si>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</si>
  <si>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</si>
  <si>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</si>
  <si>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</si>
  <si>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</si>
  <si>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</si>
  <si>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</si>
  <si>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</si>
  <si>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</si>
  <si>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</si>
  <si>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</si>
  <si>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</si>
  <si>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</si>
  <si>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</si>
  <si>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</si>
  <si>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</si>
  <si>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</si>
  <si>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</si>
  <si>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</si>
  <si>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</si>
  <si>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</si>
  <si>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</si>
  <si>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</si>
  <si>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</si>
  <si>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</si>
  <si>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</si>
  <si>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</si>
  <si>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</si>
  <si>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</si>
  <si>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</si>
  <si>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</si>
  <si>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</si>
  <si>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</si>
  <si>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</si>
  <si>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</si>
  <si>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</si>
  <si>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</si>
  <si>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</si>
  <si>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</si>
  <si>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</si>
  <si>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</si>
  <si>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</si>
  <si>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</si>
  <si>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</si>
  <si>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</si>
  <si>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</si>
  <si>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</si>
  <si>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</si>
  <si>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</si>
  <si>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</si>
  <si>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</si>
  <si>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</si>
  <si>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</si>
  <si>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</si>
  <si>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</si>
  <si>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</si>
  <si>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</si>
  <si>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</si>
  <si>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</si>
  <si>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</si>
  <si>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</si>
  <si>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</si>
  <si>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</si>
  <si>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</si>
  <si>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</si>
  <si>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</si>
  <si>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</si>
  <si>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</si>
  <si>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</si>
  <si>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</si>
  <si>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</si>
  <si>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</si>
  <si>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</si>
  <si>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</si>
  <si>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</si>
  <si>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</si>
  <si>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</si>
  <si>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</si>
  <si>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</si>
  <si>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</si>
  <si>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</si>
  <si>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</si>
  <si>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</si>
  <si>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</si>
  <si>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</si>
  <si>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</si>
  <si>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</si>
  <si>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</si>
  <si>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</si>
  <si>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</si>
  <si>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</si>
  <si>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</si>
  <si>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</si>
  <si>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</si>
  <si>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</si>
  <si>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</si>
  <si>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</si>
  <si>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</si>
  <si>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</si>
  <si>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</si>
  <si>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</si>
  <si>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</si>
  <si>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</si>
  <si>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</si>
  <si>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</si>
  <si>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</si>
  <si>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</si>
  <si>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</si>
  <si>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</si>
  <si>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</si>
  <si>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</si>
  <si>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</si>
  <si>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</si>
  <si>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</si>
  <si>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</si>
  <si>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</si>
  <si>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</si>
  <si>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</si>
  <si>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</si>
  <si>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</si>
  <si>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</si>
  <si>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</si>
  <si>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</si>
  <si>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</si>
  <si>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</si>
  <si>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</si>
  <si>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</si>
  <si>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</si>
  <si>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</si>
  <si>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</si>
  <si>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</si>
  <si>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</si>
  <si>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</si>
  <si>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</si>
  <si>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</si>
  <si>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</si>
  <si>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</si>
  <si>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</si>
  <si>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</si>
  <si>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</si>
  <si>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</si>
  <si>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</si>
  <si>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</si>
  <si>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</si>
  <si>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</si>
  <si>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</si>
  <si>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</si>
  <si>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</si>
  <si>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</si>
  <si>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</si>
  <si>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</si>
  <si>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</si>
  <si>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</si>
  <si>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</si>
  <si>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</si>
  <si>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</si>
  <si>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</si>
  <si>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</si>
  <si>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</si>
  <si>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</si>
  <si>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</si>
  <si>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</si>
  <si>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</si>
  <si>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</si>
  <si>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</si>
  <si>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</si>
  <si>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</si>
  <si>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</si>
  <si>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</si>
  <si>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</si>
  <si>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</si>
  <si>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</si>
  <si>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</si>
  <si>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</si>
  <si>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</si>
  <si>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</si>
  <si>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</si>
  <si>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</si>
  <si>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</si>
  <si>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</si>
  <si>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</si>
  <si>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</si>
  <si>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</si>
  <si>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</si>
  <si>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</si>
  <si>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</si>
  <si>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</si>
  <si>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</si>
  <si>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</si>
  <si>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</si>
  <si>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</si>
  <si>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</si>
  <si>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</si>
  <si>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</si>
  <si>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</si>
  <si>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</si>
  <si>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</si>
  <si>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</si>
  <si>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</si>
  <si>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</si>
  <si>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</si>
  <si>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</si>
  <si>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</si>
  <si>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</si>
  <si>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</si>
  <si>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</si>
  <si>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</si>
  <si>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</si>
  <si>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</si>
  <si>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</si>
  <si>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</si>
  <si>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</si>
  <si>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</si>
  <si>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</si>
  <si>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</si>
  <si>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</si>
  <si>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</si>
  <si>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</si>
  <si>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</si>
  <si>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</si>
  <si>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</si>
  <si>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</si>
  <si>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</si>
  <si>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</si>
  <si>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</si>
  <si>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</si>
  <si>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</si>
  <si>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</si>
  <si>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</si>
  <si>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</si>
  <si>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</si>
  <si>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</si>
  <si>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</si>
  <si>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</si>
  <si>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</si>
  <si>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</si>
  <si>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</si>
  <si>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</si>
  <si>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</si>
  <si>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</si>
  <si>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</si>
  <si>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</si>
  <si>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</si>
  <si>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</si>
  <si>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</si>
  <si>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</si>
  <si>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</si>
  <si>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</si>
  <si>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</si>
  <si>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</si>
  <si>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</si>
  <si>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</si>
  <si>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</si>
  <si>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</si>
  <si>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</si>
  <si>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</si>
  <si>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</si>
  <si>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</si>
  <si>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</si>
  <si>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</si>
  <si>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</si>
  <si>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</si>
  <si>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</si>
  <si>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</si>
  <si>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</si>
  <si>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</si>
  <si>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</si>
  <si>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</si>
  <si>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</si>
  <si>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</si>
  <si>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</si>
  <si>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</si>
  <si>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</si>
  <si>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</si>
  <si>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</si>
  <si>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</si>
  <si>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</si>
  <si>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</si>
  <si>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</si>
  <si>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</si>
  <si>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</si>
  <si>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</si>
  <si>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</si>
  <si>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</si>
  <si>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</si>
  <si>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</si>
  <si>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</si>
  <si>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</si>
  <si>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</si>
  <si>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</si>
  <si>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</si>
  <si>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</si>
  <si>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</si>
  <si>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</si>
  <si>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</si>
  <si>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</si>
  <si>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</si>
  <si>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</si>
  <si>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</si>
  <si>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</si>
  <si>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</si>
  <si>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</si>
  <si>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</si>
  <si>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</si>
  <si>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</si>
  <si>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</si>
  <si>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</si>
  <si>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</si>
  <si>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</si>
  <si>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</si>
  <si>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</si>
  <si>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</si>
  <si>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</si>
  <si>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</si>
  <si>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</si>
  <si>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</si>
  <si>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</si>
  <si>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</si>
  <si>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</si>
  <si>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</si>
  <si>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</si>
  <si>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</si>
  <si>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</si>
  <si>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</si>
  <si>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</si>
  <si>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</si>
  <si>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</si>
  <si>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</si>
  <si>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</si>
  <si>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</si>
  <si>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</si>
  <si>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</si>
  <si>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</si>
  <si>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</si>
  <si>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</si>
  <si>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</si>
  <si>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</si>
  <si>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</si>
  <si>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</si>
  <si>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</si>
  <si>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</si>
  <si>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</si>
  <si>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</si>
  <si>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</si>
  <si>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</si>
  <si>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</si>
  <si>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</si>
  <si>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</si>
  <si>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</si>
  <si>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</si>
  <si>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</si>
  <si>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</si>
  <si>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</si>
  <si>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</si>
  <si>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</si>
  <si>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</si>
  <si>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</si>
  <si>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</si>
  <si>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</si>
  <si>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</si>
  <si>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</si>
  <si>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</si>
  <si>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</si>
  <si>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</si>
  <si>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</si>
  <si>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</si>
  <si>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</si>
  <si>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</si>
  <si>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</si>
  <si>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</si>
  <si>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</si>
  <si>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</si>
  <si>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</si>
  <si>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</si>
  <si>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</si>
  <si>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</si>
  <si>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</si>
  <si>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</si>
  <si>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</si>
  <si>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</si>
  <si>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</si>
  <si>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</si>
  <si>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</si>
  <si>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</si>
  <si>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</si>
  <si>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</si>
  <si>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</si>
  <si>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</si>
  <si>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</si>
  <si>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</si>
  <si>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</si>
  <si>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</si>
  <si>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</si>
  <si>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</si>
  <si>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</si>
  <si>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</si>
  <si>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</si>
  <si>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</si>
  <si>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</si>
  <si>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</si>
  <si>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</si>
  <si>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</si>
  <si>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</si>
  <si>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</si>
  <si>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</si>
  <si>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</si>
  <si>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</si>
  <si>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</si>
  <si>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</si>
  <si>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</si>
  <si>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</si>
  <si>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</si>
  <si>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</si>
  <si>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</si>
  <si>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</si>
  <si>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</si>
  <si>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</si>
  <si>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</si>
  <si>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</si>
  <si>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</si>
  <si>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</si>
  <si>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</si>
  <si>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</si>
  <si>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</si>
  <si>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</si>
  <si>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</si>
  <si>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</si>
  <si>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</si>
  <si>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</si>
  <si>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</si>
  <si>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</si>
  <si>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</si>
  <si>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</si>
  <si>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</si>
  <si>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</si>
  <si>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</si>
  <si>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</si>
  <si>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</si>
  <si>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</si>
  <si>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</si>
  <si>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</si>
  <si>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</si>
  <si>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</si>
  <si>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</si>
  <si>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</si>
  <si>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</si>
  <si>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</si>
  <si>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</si>
  <si>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</si>
  <si>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</si>
  <si>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</si>
  <si>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</si>
  <si>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</si>
  <si>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</si>
  <si>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</si>
  <si>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</si>
  <si>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</si>
  <si>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</si>
  <si>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</si>
  <si>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</si>
  <si>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</si>
  <si>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</si>
  <si>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</si>
  <si>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</si>
  <si>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</si>
  <si>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</si>
  <si>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</si>
  <si>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</si>
  <si>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</si>
  <si>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</si>
  <si>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</si>
  <si>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</si>
  <si>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</si>
  <si>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</si>
  <si>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</si>
  <si>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</si>
  <si>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</si>
  <si>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</si>
  <si>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</si>
  <si>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</si>
  <si>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</si>
  <si>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</si>
  <si>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</si>
  <si>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</si>
  <si>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</si>
  <si>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</si>
  <si>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</si>
  <si>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</si>
  <si>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</si>
  <si>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</si>
  <si>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</si>
  <si>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</si>
  <si>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</si>
  <si>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</si>
  <si>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</si>
  <si>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</si>
  <si>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</si>
  <si>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</si>
  <si>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</si>
  <si>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</si>
  <si>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</si>
  <si>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</si>
  <si>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</si>
  <si>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</si>
  <si>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</si>
  <si>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</si>
  <si>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</si>
  <si>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</si>
  <si>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</si>
  <si>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</si>
  <si>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</si>
  <si>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</si>
  <si>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</si>
  <si>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</si>
  <si>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</si>
  <si>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</si>
  <si>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</si>
  <si>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</si>
  <si>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</si>
  <si>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</si>
  <si>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</si>
  <si>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</si>
  <si>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</si>
  <si>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</si>
  <si>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</si>
  <si>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</si>
  <si>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</si>
  <si>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</si>
  <si>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</si>
  <si>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</si>
  <si>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</si>
  <si>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</si>
  <si>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</si>
  <si>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</si>
  <si>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</si>
  <si>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</si>
  <si>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</si>
  <si>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</si>
  <si>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</si>
  <si>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</si>
  <si>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</si>
  <si>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</si>
  <si>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</si>
  <si>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</si>
  <si>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</si>
  <si>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</si>
  <si>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</si>
  <si>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</si>
  <si>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</si>
  <si>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</si>
  <si>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</si>
  <si>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</si>
  <si>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</si>
  <si>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</si>
  <si>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</si>
  <si>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</si>
  <si>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</si>
  <si>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</si>
  <si>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</si>
  <si>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</si>
  <si>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</si>
  <si>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</si>
  <si>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</si>
  <si>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</si>
  <si>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</si>
  <si>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</si>
  <si>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</si>
  <si>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</si>
  <si>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</si>
  <si>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</si>
  <si>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</si>
  <si>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</si>
  <si>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</si>
  <si>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</si>
  <si>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</si>
  <si>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</si>
  <si>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</si>
  <si>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</si>
  <si>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</si>
  <si>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</si>
  <si>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</si>
  <si>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</si>
  <si>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</si>
  <si>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</si>
  <si>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</si>
  <si>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</si>
  <si>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</si>
  <si>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</si>
  <si>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</si>
  <si>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</si>
  <si>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</si>
  <si>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</si>
  <si>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</si>
  <si>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</si>
  <si>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</si>
  <si>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</si>
  <si>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</si>
  <si>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</si>
  <si>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</si>
  <si>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</si>
  <si>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</si>
  <si>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</si>
  <si>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</si>
  <si>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</si>
  <si>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</si>
  <si>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</si>
  <si>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</si>
  <si>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</si>
  <si>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</si>
  <si>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</si>
  <si>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</si>
  <si>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</si>
  <si>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</si>
  <si>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</si>
  <si>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</si>
  <si>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</si>
  <si>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</si>
  <si>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</si>
  <si>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</si>
  <si>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</si>
  <si>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</si>
  <si>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</si>
  <si>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</si>
  <si>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</si>
  <si>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</si>
  <si>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</si>
  <si>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</si>
  <si>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</si>
  <si>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</si>
  <si>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</si>
  <si>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</si>
  <si>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</si>
  <si>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</si>
  <si>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</si>
  <si>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</si>
  <si>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</si>
  <si>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</si>
  <si>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</si>
  <si>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</si>
  <si>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</si>
  <si>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</si>
  <si>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</si>
  <si>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</si>
  <si>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</si>
  <si>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</si>
  <si>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</si>
  <si>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</si>
  <si>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</si>
  <si>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</si>
  <si>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</si>
  <si>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</si>
  <si>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</si>
  <si>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</si>
  <si>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</si>
  <si>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</si>
  <si>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</si>
  <si>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</si>
  <si>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</si>
  <si>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</si>
  <si>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</si>
  <si>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</si>
  <si>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</si>
  <si>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</si>
  <si>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</si>
  <si>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</si>
  <si>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</si>
  <si>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</si>
  <si>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</si>
  <si>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</si>
  <si>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</si>
  <si>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</si>
  <si>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</si>
  <si>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</si>
  <si>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</si>
  <si>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</si>
  <si>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</si>
  <si>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</si>
  <si>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</si>
  <si>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</si>
  <si>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</si>
  <si>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</si>
  <si>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</si>
  <si>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</si>
  <si>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</si>
  <si>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</si>
  <si>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</si>
  <si>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</si>
  <si>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</si>
  <si>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</si>
  <si>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</si>
  <si>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</si>
  <si>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</si>
  <si>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</si>
  <si>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</si>
  <si>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</si>
  <si>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</si>
  <si>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</si>
  <si>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</si>
  <si>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</si>
  <si>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</si>
  <si>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</si>
  <si>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</si>
  <si>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</si>
  <si>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</si>
  <si>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</si>
  <si>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</si>
  <si>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</si>
  <si>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</si>
  <si>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</si>
  <si>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</si>
  <si>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</si>
  <si>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</si>
  <si>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</si>
  <si>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</si>
  <si>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</si>
  <si>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</si>
  <si>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</si>
  <si>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</si>
  <si>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</si>
  <si>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</si>
  <si>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</si>
  <si>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</si>
  <si>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</si>
  <si>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</si>
  <si>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</si>
  <si>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</si>
  <si>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</si>
  <si>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</si>
  <si>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</si>
  <si>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</si>
  <si>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</si>
  <si>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</si>
  <si>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</si>
  <si>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</si>
  <si>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</si>
  <si>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</si>
  <si>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</si>
  <si>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</si>
  <si>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</si>
  <si>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</si>
  <si>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</si>
  <si>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</si>
  <si>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</si>
  <si>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</si>
  <si>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商业项目</t>
  </si>
  <si>
    <t>在建</t>
  </si>
  <si>
    <t>通路</t>
  </si>
  <si>
    <t>通电</t>
  </si>
  <si>
    <t>通讯</t>
  </si>
  <si>
    <t>通上水</t>
  </si>
  <si>
    <t>通下水</t>
  </si>
  <si>
    <t>燃气</t>
  </si>
  <si>
    <t>期数</t>
  </si>
  <si>
    <t>证号</t>
  </si>
  <si>
    <t>国土证面积</t>
  </si>
  <si>
    <t>用地规模</t>
  </si>
  <si>
    <t>抵押状态</t>
  </si>
  <si>
    <t>业态</t>
  </si>
  <si>
    <t>临规</t>
  </si>
  <si>
    <t>施工证</t>
  </si>
  <si>
    <t>单栋建面</t>
  </si>
  <si>
    <t>层数</t>
  </si>
  <si>
    <t>高度</t>
  </si>
  <si>
    <t>户/套数</t>
  </si>
  <si>
    <t>建设规模</t>
  </si>
  <si>
    <t>其中：地上总建面</t>
  </si>
  <si>
    <t>计容面积</t>
  </si>
  <si>
    <t>实际计容面积</t>
  </si>
  <si>
    <t>地下建筑面积</t>
  </si>
  <si>
    <t>一期</t>
  </si>
  <si>
    <t>三土房（2014）字第13968号</t>
  </si>
  <si>
    <t>售罄
不可抵押</t>
  </si>
  <si>
    <t>低层独栋酒店A型</t>
  </si>
  <si>
    <t>√</t>
  </si>
  <si>
    <t>地上1层</t>
  </si>
  <si>
    <t>低层独栋酒店B型</t>
  </si>
  <si>
    <t>低层独栋酒店C型</t>
  </si>
  <si>
    <t>一期合计</t>
  </si>
  <si>
    <t>一期工审意见【2014】158号小计+临规证</t>
  </si>
  <si>
    <t>二期</t>
  </si>
  <si>
    <t>三土房（2014）字第13969号</t>
  </si>
  <si>
    <t>抵押至
交行</t>
  </si>
  <si>
    <t>1栋酒店主楼</t>
  </si>
  <si>
    <t>地上28层（含部分架空层）</t>
  </si>
  <si>
    <t>321间客房
7间别墅</t>
  </si>
  <si>
    <t>大盘地下室</t>
  </si>
  <si>
    <t>地下3层</t>
  </si>
  <si>
    <t>二期合计</t>
  </si>
  <si>
    <t>二期工审意见【2015】135号小计+临规证</t>
  </si>
  <si>
    <t>三期</t>
  </si>
  <si>
    <t>三土房（2014）字第13970号</t>
  </si>
  <si>
    <t>未抵押</t>
  </si>
  <si>
    <t>85,46</t>
  </si>
  <si>
    <t>三期工审意见【2015】146号小计</t>
  </si>
  <si>
    <t>文化荟（酒店配套活动中心）</t>
  </si>
  <si>
    <t>地上1层，地下1层</t>
  </si>
  <si>
    <t>地下车道</t>
  </si>
  <si>
    <t>设备用房</t>
  </si>
  <si>
    <t>三期合计</t>
  </si>
  <si>
    <t>三期工审意见【2015】146号合计</t>
  </si>
  <si>
    <t>四期</t>
  </si>
  <si>
    <t>三土房（2014）字第13969号
三土房（2014）字第13970号</t>
  </si>
  <si>
    <t>高层酒店主楼（1栋）</t>
  </si>
  <si>
    <t>地上32层，地下3层</t>
  </si>
  <si>
    <t>低层独栋酒店B1型</t>
  </si>
  <si>
    <t>低层独栋酒店C1型</t>
  </si>
  <si>
    <t>低层独栋酒店D型</t>
  </si>
  <si>
    <t>地上2层</t>
  </si>
  <si>
    <t>低层独栋酒店E型</t>
  </si>
  <si>
    <t>低层独栋酒店F型</t>
  </si>
  <si>
    <t>低层独栋酒店大地下室</t>
  </si>
  <si>
    <t>地下1层</t>
  </si>
  <si>
    <t>低层独栋酒店小计</t>
  </si>
  <si>
    <t>四期小计</t>
  </si>
  <si>
    <r>
      <rPr>
        <b/>
        <sz val="10"/>
        <rFont val="宋体"/>
        <family val="3"/>
        <charset val="134"/>
      </rPr>
      <t>四期三服园管委【</t>
    </r>
    <r>
      <rPr>
        <b/>
        <sz val="10"/>
        <rFont val="宋体"/>
        <family val="3"/>
        <charset val="134"/>
        <scheme val="minor"/>
      </rPr>
      <t>2019</t>
    </r>
    <r>
      <rPr>
        <b/>
        <sz val="10"/>
        <rFont val="宋体"/>
        <family val="3"/>
        <charset val="134"/>
      </rPr>
      <t>】</t>
    </r>
    <r>
      <rPr>
        <b/>
        <sz val="10"/>
        <rFont val="宋体"/>
        <family val="3"/>
        <charset val="134"/>
        <scheme val="minor"/>
      </rPr>
      <t>78号+临规证</t>
    </r>
  </si>
  <si>
    <t>项目合计</t>
  </si>
  <si>
    <t>序号</t>
  </si>
  <si>
    <t>217</t>
  </si>
  <si>
    <t>别墅</t>
  </si>
  <si>
    <t>218</t>
  </si>
  <si>
    <t>219</t>
  </si>
  <si>
    <t>220</t>
  </si>
  <si>
    <t>221</t>
  </si>
  <si>
    <t>225</t>
  </si>
  <si>
    <t>226</t>
  </si>
  <si>
    <t>227</t>
  </si>
  <si>
    <t>228</t>
  </si>
  <si>
    <t>229</t>
  </si>
  <si>
    <t>230</t>
  </si>
  <si>
    <t>231</t>
  </si>
  <si>
    <t>232</t>
  </si>
  <si>
    <t>233</t>
  </si>
  <si>
    <t>235</t>
  </si>
  <si>
    <t>236</t>
  </si>
  <si>
    <t>237</t>
  </si>
  <si>
    <t>238</t>
  </si>
  <si>
    <t>239</t>
  </si>
  <si>
    <t>251</t>
  </si>
  <si>
    <t>252</t>
  </si>
  <si>
    <t>253</t>
  </si>
  <si>
    <t>255</t>
  </si>
  <si>
    <t>256</t>
  </si>
  <si>
    <t>257</t>
  </si>
  <si>
    <t>258</t>
  </si>
  <si>
    <t>260</t>
  </si>
  <si>
    <t>261</t>
  </si>
  <si>
    <t>262</t>
  </si>
  <si>
    <t>266</t>
  </si>
  <si>
    <t>267</t>
  </si>
  <si>
    <t>268</t>
  </si>
  <si>
    <t>273</t>
  </si>
  <si>
    <t>275</t>
  </si>
  <si>
    <t>286</t>
  </si>
  <si>
    <t>287</t>
  </si>
  <si>
    <t>288</t>
  </si>
  <si>
    <t>289</t>
  </si>
  <si>
    <t>290</t>
  </si>
  <si>
    <t>291</t>
  </si>
  <si>
    <t>292</t>
  </si>
  <si>
    <t>293</t>
  </si>
  <si>
    <t>295</t>
  </si>
  <si>
    <t>296</t>
  </si>
  <si>
    <t>297</t>
  </si>
  <si>
    <t>298</t>
  </si>
  <si>
    <t>299</t>
  </si>
  <si>
    <t>300</t>
  </si>
  <si>
    <t>309</t>
  </si>
  <si>
    <t>310</t>
  </si>
  <si>
    <t>311</t>
  </si>
  <si>
    <t>312</t>
  </si>
  <si>
    <t>313</t>
  </si>
  <si>
    <t>315</t>
  </si>
  <si>
    <t>317</t>
  </si>
  <si>
    <t>318</t>
  </si>
  <si>
    <t>325</t>
  </si>
  <si>
    <t>326</t>
  </si>
  <si>
    <t>328</t>
  </si>
  <si>
    <t>329</t>
  </si>
  <si>
    <t>330</t>
  </si>
  <si>
    <t>331</t>
  </si>
  <si>
    <t>332</t>
  </si>
  <si>
    <t>333</t>
  </si>
  <si>
    <t>335</t>
  </si>
  <si>
    <t>336</t>
  </si>
  <si>
    <t>337</t>
  </si>
  <si>
    <t>338</t>
  </si>
  <si>
    <t>350</t>
  </si>
  <si>
    <t>351</t>
  </si>
  <si>
    <t>352</t>
  </si>
  <si>
    <t>353</t>
  </si>
  <si>
    <t>地上</t>
  </si>
  <si>
    <t>独栋</t>
  </si>
  <si>
    <t>是</t>
  </si>
  <si>
    <t>否</t>
  </si>
  <si>
    <t>配套</t>
    <phoneticPr fontId="3" type="noConversion"/>
  </si>
  <si>
    <t>酒店（别墅）</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</si>
  <si>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</si>
  <si>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</si>
  <si>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</si>
  <si>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</si>
  <si>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</si>
  <si>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</si>
  <si>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</si>
  <si>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</si>
  <si>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</si>
  <si>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</si>
  <si>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</si>
  <si>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</si>
  <si>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</si>
  <si>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三亚市海棠湾C2片区控规D-04地块</t>
  </si>
  <si>
    <t>三亚市</t>
  </si>
  <si>
    <t>商业/办公用地</t>
  </si>
  <si>
    <t>≤0.4</t>
  </si>
  <si>
    <t>挂牌</t>
  </si>
  <si>
    <t>2019-01-31</t>
  </si>
  <si>
    <t>三亚市海棠湾水稻国家公园开发有限公司</t>
  </si>
  <si>
    <t>三亚市海棠湾C2片区控规D-01地块</t>
  </si>
  <si>
    <t>≤0.66</t>
  </si>
  <si>
    <t>2019-01-30</t>
  </si>
  <si>
    <t>三亚瑞兴水稻产业基地开发有限公司</t>
  </si>
  <si>
    <t>三亚市海棠湾C6片区控规A-2-11-2地块</t>
  </si>
  <si>
    <t>≤1.2</t>
  </si>
  <si>
    <t>2018-10-19</t>
  </si>
  <si>
    <t>海南鸿瓴置业有限公司</t>
  </si>
  <si>
    <t>海棠湾林旺片区控规F-1-1地块和F-2-1地块</t>
  </si>
  <si>
    <t>≤0.7</t>
  </si>
  <si>
    <t>2017-12-22</t>
  </si>
  <si>
    <t>太平人寿保险有限公司</t>
  </si>
  <si>
    <t>海棠湾C7片区控规C7-02-01、C7-02-02-a、C7-02-04地块</t>
  </si>
  <si>
    <t>≤0.48</t>
  </si>
  <si>
    <t>2016-12-30</t>
  </si>
  <si>
    <t>海南满天星旅业开发有限公司</t>
  </si>
  <si>
    <t>海棠湾A8片区A8-08-16、A8-08-19、A8-10-10地块</t>
  </si>
  <si>
    <t>≤0.6</t>
  </si>
  <si>
    <t>2016-10-14</t>
  </si>
  <si>
    <t>三亚石药德中健康产业园有限公司</t>
  </si>
  <si>
    <t>海棠湾C6片区A-2-3地块</t>
  </si>
  <si>
    <t>保利(三亚)房地产开发有限公司</t>
  </si>
  <si>
    <t>海棠湾A8片区A8-08-13、A8-10-13、A8-10-15地块</t>
  </si>
  <si>
    <t>2016-10-13</t>
  </si>
  <si>
    <t>海棠湾C6片区C-2-1、C-1-4地块</t>
  </si>
  <si>
    <t>2016-07-15</t>
  </si>
  <si>
    <t>阳光人寿保险股份有限公司</t>
  </si>
  <si>
    <t>海棠湾林旺片区F-3-2、F-4-1地块</t>
  </si>
  <si>
    <t>f-3-2≤1.5、f-4-1≤1.03</t>
  </si>
  <si>
    <t>2016-01-27</t>
  </si>
  <si>
    <t>三亚恒合融医院投资管理有限公司(恒大健康产业集团)</t>
  </si>
  <si>
    <t>海棠湾林旺片区F-3-1地块</t>
  </si>
  <si>
    <t>2015-12-31</t>
  </si>
  <si>
    <t>国寿(三亚)健康投资有限公司</t>
  </si>
  <si>
    <t>海棠湾C6片区B-2-1地块和B-2-2地块</t>
  </si>
  <si>
    <t>2015-11-06</t>
  </si>
  <si>
    <t>三亚新天房投资发展有限公司</t>
  </si>
  <si>
    <t>海棠湾B1片区B1-c1-25、B1-b2-1、B1-b1-12地块</t>
  </si>
  <si>
    <t>≤1</t>
  </si>
  <si>
    <t>2015-10-16</t>
  </si>
  <si>
    <t>齐瓦颂(三亚)养生社区开发有限公司</t>
  </si>
  <si>
    <t>海棠湾B1片区B1-d1-10a地块、B1-d1-10b地块和B1-d1-8地块</t>
  </si>
  <si>
    <t>≤1.5</t>
  </si>
  <si>
    <t>2015-07-10</t>
  </si>
  <si>
    <t>海南中海三邦友房地产开发有限责任公司</t>
  </si>
  <si>
    <t>海棠湾A5/A8/A9片区A8-03-26地块</t>
  </si>
  <si>
    <t>2015-03-10</t>
  </si>
  <si>
    <t>国旅(三亚)海棠湾投资发展有限公司</t>
  </si>
  <si>
    <t>未包含在土地购买价格中</t>
  </si>
  <si>
    <t>全部缴纳</t>
  </si>
  <si>
    <t>已包含在土地取得成本中</t>
  </si>
  <si>
    <t>酒店（别墅）</t>
  </si>
  <si>
    <t>项目局部</t>
  </si>
  <si>
    <t>成本法</t>
  </si>
  <si>
    <t>假设开发法</t>
  </si>
  <si>
    <t>收益法</t>
  </si>
  <si>
    <t>在建（套用方法）</t>
  </si>
  <si>
    <t>钢混</t>
  </si>
  <si>
    <t>非生产用房</t>
  </si>
  <si>
    <t>单位面积地价</t>
  </si>
  <si>
    <t>吴薇</t>
  </si>
  <si>
    <t>崔锴</t>
  </si>
  <si>
    <t>《国有土地使用证》</t>
  </si>
  <si>
    <t>原件</t>
  </si>
  <si>
    <t>A户型</t>
    <phoneticPr fontId="143" type="noConversion"/>
  </si>
  <si>
    <t>B户型</t>
    <phoneticPr fontId="143" type="noConversion"/>
  </si>
  <si>
    <t>C户型</t>
    <phoneticPr fontId="143" type="noConversion"/>
  </si>
  <si>
    <t>地上</t>
    <phoneticPr fontId="143" type="noConversion"/>
  </si>
  <si>
    <t>地下</t>
  </si>
  <si>
    <t>地下</t>
    <phoneticPr fontId="143" type="noConversion"/>
  </si>
  <si>
    <t>已售</t>
    <phoneticPr fontId="143" type="noConversion"/>
  </si>
  <si>
    <t>公寓</t>
  </si>
  <si>
    <t>四期高层酒店</t>
    <phoneticPr fontId="3" type="noConversion"/>
  </si>
  <si>
    <t>四期别墅</t>
    <phoneticPr fontId="3" type="noConversion"/>
  </si>
  <si>
    <t>三期别墅未售</t>
    <phoneticPr fontId="3" type="noConversion"/>
  </si>
  <si>
    <t>三期别墅已售</t>
    <phoneticPr fontId="3" type="noConversion"/>
  </si>
  <si>
    <t>酒店（公寓）</t>
  </si>
  <si>
    <t>酒店（公寓）</t>
    <phoneticPr fontId="7" type="noConversion"/>
  </si>
  <si>
    <t>三期</t>
    <phoneticPr fontId="3" type="noConversion"/>
  </si>
  <si>
    <t>四期</t>
    <phoneticPr fontId="3" type="noConversion"/>
  </si>
  <si>
    <t>商业</t>
    <phoneticPr fontId="31" type="noConversion"/>
  </si>
  <si>
    <t>40</t>
    <phoneticPr fontId="31" type="noConversion"/>
  </si>
  <si>
    <t>是</t>
    <phoneticPr fontId="31" type="noConversion"/>
  </si>
  <si>
    <t>否</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</si>
  <si>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</si>
  <si>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</si>
  <si>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</si>
  <si>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</si>
  <si>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</si>
  <si>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</si>
  <si>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</si>
  <si>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</si>
  <si>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一般</t>
  </si>
  <si>
    <t>好</t>
  </si>
  <si>
    <t>押一</t>
  </si>
  <si>
    <t>按租金收入计税</t>
  </si>
  <si>
    <t>保利地块</t>
    <phoneticPr fontId="143" type="noConversion"/>
  </si>
  <si>
    <t>不沿海</t>
    <phoneticPr fontId="143" type="noConversion"/>
  </si>
  <si>
    <t>商业</t>
    <phoneticPr fontId="25" type="noConversion"/>
  </si>
  <si>
    <t>20-30（含）</t>
  </si>
  <si>
    <t>30-40（含）</t>
  </si>
  <si>
    <t>精装</t>
  </si>
  <si>
    <t>精装</t>
    <phoneticPr fontId="25" type="noConversion"/>
  </si>
  <si>
    <t>普装</t>
    <phoneticPr fontId="25" type="noConversion"/>
  </si>
  <si>
    <t>简装</t>
    <phoneticPr fontId="25" type="noConversion"/>
  </si>
  <si>
    <t>毛坯</t>
  </si>
  <si>
    <t>毛坯</t>
    <phoneticPr fontId="25" type="noConversion"/>
  </si>
  <si>
    <t>赠送面积</t>
    <phoneticPr fontId="25" type="noConversion"/>
  </si>
  <si>
    <t>君御别墅</t>
    <phoneticPr fontId="3" type="noConversion"/>
  </si>
  <si>
    <r>
      <t>324</t>
    </r>
    <r>
      <rPr>
        <sz val="11"/>
        <color indexed="8"/>
        <rFont val="宋体"/>
        <family val="3"/>
        <charset val="134"/>
      </rPr>
      <t>（</t>
    </r>
    <r>
      <rPr>
        <sz val="11"/>
        <color indexed="8"/>
        <rFont val="Arial"/>
        <family val="2"/>
      </rPr>
      <t>81%</t>
    </r>
    <r>
      <rPr>
        <sz val="11"/>
        <color indexed="8"/>
        <rFont val="宋体"/>
        <family val="3"/>
        <charset val="134"/>
      </rPr>
      <t>）</t>
    </r>
    <phoneticPr fontId="25" type="noConversion"/>
  </si>
  <si>
    <t>84-122</t>
    <phoneticPr fontId="25" type="noConversion"/>
  </si>
  <si>
    <r>
      <t>256-310</t>
    </r>
    <r>
      <rPr>
        <sz val="11"/>
        <color indexed="8"/>
        <rFont val="宋体"/>
        <family val="3"/>
        <charset val="134"/>
      </rPr>
      <t>（</t>
    </r>
    <r>
      <rPr>
        <sz val="11"/>
        <color indexed="8"/>
        <rFont val="Arial"/>
        <family val="2"/>
      </rPr>
      <t>250%-300%</t>
    </r>
    <r>
      <rPr>
        <sz val="11"/>
        <color indexed="8"/>
        <rFont val="宋体"/>
        <family val="3"/>
        <charset val="134"/>
      </rPr>
      <t>）</t>
    </r>
    <phoneticPr fontId="25" type="noConversion"/>
  </si>
  <si>
    <t>保利财富中心海晏别墅</t>
    <phoneticPr fontId="3" type="noConversion"/>
  </si>
  <si>
    <r>
      <t>295</t>
    </r>
    <r>
      <rPr>
        <sz val="11"/>
        <color indexed="8"/>
        <rFont val="宋体"/>
        <family val="3"/>
        <charset val="134"/>
      </rPr>
      <t>（</t>
    </r>
    <r>
      <rPr>
        <sz val="11"/>
        <color indexed="8"/>
        <rFont val="Arial"/>
        <family val="2"/>
      </rPr>
      <t>94%</t>
    </r>
    <r>
      <rPr>
        <sz val="11"/>
        <color indexed="8"/>
        <rFont val="宋体"/>
        <family val="3"/>
        <charset val="134"/>
      </rPr>
      <t>）</t>
    </r>
    <phoneticPr fontId="25" type="noConversion"/>
  </si>
  <si>
    <t>国美海棠湾</t>
    <phoneticPr fontId="3" type="noConversion"/>
  </si>
  <si>
    <t>200-350</t>
    <phoneticPr fontId="25" type="noConversion"/>
  </si>
  <si>
    <r>
      <t>200-350</t>
    </r>
    <r>
      <rPr>
        <sz val="11"/>
        <color indexed="8"/>
        <rFont val="宋体"/>
        <family val="3"/>
        <charset val="134"/>
      </rPr>
      <t>（</t>
    </r>
    <r>
      <rPr>
        <sz val="11"/>
        <color indexed="8"/>
        <rFont val="Arial"/>
        <family val="2"/>
      </rPr>
      <t>100%</t>
    </r>
    <r>
      <rPr>
        <sz val="11"/>
        <color indexed="8"/>
        <rFont val="宋体"/>
        <family val="3"/>
        <charset val="134"/>
      </rPr>
      <t>）</t>
    </r>
    <phoneticPr fontId="25" type="noConversion"/>
  </si>
  <si>
    <t>别墅</t>
    <phoneticPr fontId="25" type="noConversion"/>
  </si>
  <si>
    <t>钢混</t>
    <phoneticPr fontId="25" type="noConversion"/>
  </si>
  <si>
    <t>高档</t>
  </si>
  <si>
    <t>高档</t>
    <phoneticPr fontId="25" type="noConversion"/>
  </si>
  <si>
    <t>精装</t>
    <phoneticPr fontId="25" type="noConversion"/>
  </si>
  <si>
    <t>专业</t>
  </si>
  <si>
    <t>专业</t>
    <phoneticPr fontId="25" type="noConversion"/>
  </si>
  <si>
    <t>六通</t>
    <phoneticPr fontId="25" type="noConversion"/>
  </si>
  <si>
    <t>三亚市巨源旅业开发有限公司</t>
    <phoneticPr fontId="6" type="noConversion"/>
  </si>
  <si>
    <t>光大兴陇信托有限责任公司</t>
    <phoneticPr fontId="6" type="noConversion"/>
  </si>
  <si>
    <t>海南省</t>
    <phoneticPr fontId="6" type="noConversion"/>
  </si>
  <si>
    <t>三亚市海棠湾镇海棠湾旅游区</t>
    <phoneticPr fontId="6" type="noConversion"/>
  </si>
  <si>
    <t>赠送面积</t>
    <phoneticPr fontId="143" type="noConversion"/>
  </si>
  <si>
    <t>分摊土地</t>
    <phoneticPr fontId="143" type="noConversion"/>
  </si>
  <si>
    <t>土地面积</t>
    <phoneticPr fontId="143" type="noConversion"/>
  </si>
  <si>
    <t>三期</t>
    <phoneticPr fontId="143" type="noConversion"/>
  </si>
  <si>
    <t>三期配套</t>
    <phoneticPr fontId="143" type="noConversion"/>
  </si>
  <si>
    <t>四期高层酒店</t>
    <phoneticPr fontId="143" type="noConversion"/>
  </si>
  <si>
    <t>四期别墅</t>
    <phoneticPr fontId="143" type="noConversion"/>
  </si>
  <si>
    <t>地上</t>
    <phoneticPr fontId="143" type="noConversion"/>
  </si>
  <si>
    <t>地下</t>
    <phoneticPr fontId="143" type="noConversion"/>
  </si>
  <si>
    <t>四期高层酒店</t>
    <phoneticPr fontId="143" type="noConversion"/>
  </si>
  <si>
    <t>成本比率</t>
  </si>
  <si>
    <t>房号</t>
  </si>
  <si>
    <t>房屋用途</t>
  </si>
  <si>
    <t>建筑结构</t>
  </si>
  <si>
    <t>户型</t>
  </si>
  <si>
    <t>建筑面积（㎡）</t>
  </si>
  <si>
    <t>产权式酒店</t>
  </si>
  <si>
    <t>框架</t>
  </si>
  <si>
    <r>
      <rPr>
        <sz val="11"/>
        <color theme="1"/>
        <rFont val="宋体"/>
        <family val="3"/>
        <charset val="134"/>
      </rPr>
      <t>3</t>
    </r>
    <r>
      <rPr>
        <sz val="11"/>
        <color theme="1"/>
        <rFont val="宋体"/>
        <family val="3"/>
        <charset val="134"/>
      </rPr>
      <t>02</t>
    </r>
  </si>
  <si>
    <r>
      <rPr>
        <sz val="11"/>
        <color theme="1"/>
        <rFont val="宋体"/>
        <family val="3"/>
        <charset val="134"/>
      </rPr>
      <t>3</t>
    </r>
    <r>
      <rPr>
        <sz val="11"/>
        <color theme="1"/>
        <rFont val="宋体"/>
        <family val="3"/>
        <charset val="134"/>
      </rPr>
      <t>03</t>
    </r>
  </si>
  <si>
    <r>
      <rPr>
        <sz val="11"/>
        <color theme="1"/>
        <rFont val="宋体"/>
        <family val="3"/>
        <charset val="134"/>
      </rPr>
      <t>3</t>
    </r>
    <r>
      <rPr>
        <sz val="11"/>
        <color theme="1"/>
        <rFont val="宋体"/>
        <family val="3"/>
        <charset val="134"/>
      </rPr>
      <t>05</t>
    </r>
  </si>
  <si>
    <r>
      <rPr>
        <sz val="11"/>
        <color theme="1"/>
        <rFont val="宋体"/>
        <family val="3"/>
        <charset val="134"/>
      </rPr>
      <t>3</t>
    </r>
    <r>
      <rPr>
        <sz val="11"/>
        <color theme="1"/>
        <rFont val="宋体"/>
        <family val="3"/>
        <charset val="134"/>
      </rPr>
      <t>06</t>
    </r>
  </si>
  <si>
    <r>
      <rPr>
        <sz val="11"/>
        <color theme="1"/>
        <rFont val="宋体"/>
        <family val="3"/>
        <charset val="134"/>
      </rPr>
      <t>3</t>
    </r>
    <r>
      <rPr>
        <sz val="11"/>
        <color theme="1"/>
        <rFont val="宋体"/>
        <family val="3"/>
        <charset val="134"/>
      </rPr>
      <t>07</t>
    </r>
  </si>
  <si>
    <t>356</t>
  </si>
  <si>
    <t>357</t>
  </si>
  <si>
    <t>1月</t>
    <phoneticPr fontId="143" type="noConversion"/>
  </si>
  <si>
    <t>2月</t>
  </si>
  <si>
    <t>3月</t>
  </si>
  <si>
    <t>4月</t>
  </si>
  <si>
    <t>5月</t>
  </si>
  <si>
    <t>6月</t>
  </si>
  <si>
    <t>成交面积（㎡）</t>
    <phoneticPr fontId="143" type="noConversion"/>
  </si>
  <si>
    <t>成交金额（万元）</t>
    <phoneticPr fontId="143" type="noConversion"/>
  </si>
  <si>
    <r>
      <t>成交均价（元/</t>
    </r>
    <r>
      <rPr>
        <sz val="11"/>
        <color theme="1"/>
        <rFont val="宋体"/>
        <family val="3"/>
        <charset val="134"/>
        <scheme val="minor"/>
      </rPr>
      <t>㎡</t>
    </r>
    <r>
      <rPr>
        <sz val="11"/>
        <color theme="1"/>
        <rFont val="宋体"/>
        <family val="3"/>
        <charset val="134"/>
        <scheme val="minor"/>
      </rPr>
      <t>）</t>
    </r>
    <phoneticPr fontId="143" type="noConversion"/>
  </si>
  <si>
    <t>时间</t>
    <phoneticPr fontId="143" type="noConversion"/>
  </si>
  <si>
    <t>成交套数（套）</t>
    <phoneticPr fontId="143" type="noConversion"/>
  </si>
  <si>
    <t>总计</t>
    <phoneticPr fontId="143" type="noConversion"/>
  </si>
  <si>
    <t>项目楼栋</t>
  </si>
  <si>
    <t>批次</t>
  </si>
  <si>
    <t>单元号</t>
  </si>
  <si>
    <t>建筑面积</t>
  </si>
  <si>
    <t>户型分类</t>
  </si>
  <si>
    <t>销售状态</t>
  </si>
  <si>
    <t>产品类型</t>
  </si>
  <si>
    <t>海棠华著三期</t>
  </si>
  <si>
    <t>三批次</t>
  </si>
  <si>
    <t>A'-4</t>
  </si>
  <si>
    <t>三房两厅</t>
  </si>
  <si>
    <t>未推售</t>
  </si>
  <si>
    <t>A'</t>
  </si>
  <si>
    <t>四房两厅</t>
  </si>
  <si>
    <t>二批次</t>
  </si>
  <si>
    <t>A'-3</t>
  </si>
  <si>
    <t>未售</t>
  </si>
  <si>
    <t>A'-2</t>
  </si>
  <si>
    <t>一批次</t>
  </si>
  <si>
    <t>A-4</t>
  </si>
  <si>
    <t>A-3</t>
  </si>
  <si>
    <t>A-1</t>
  </si>
  <si>
    <t>301</t>
  </si>
  <si>
    <t>302</t>
  </si>
  <si>
    <t>303</t>
  </si>
  <si>
    <t>305</t>
  </si>
  <si>
    <t>A-2</t>
  </si>
  <si>
    <t>306</t>
  </si>
  <si>
    <t>307</t>
  </si>
  <si>
    <t>308</t>
  </si>
  <si>
    <t>B-1</t>
  </si>
  <si>
    <t>B'-2</t>
  </si>
  <si>
    <t>359</t>
  </si>
  <si>
    <t>360</t>
  </si>
  <si>
    <t>362</t>
  </si>
  <si>
    <t>365</t>
  </si>
  <si>
    <t>五房两厅</t>
  </si>
  <si>
    <t>369</t>
  </si>
  <si>
    <t>370</t>
  </si>
  <si>
    <t>377</t>
  </si>
  <si>
    <t>380</t>
  </si>
  <si>
    <t>381</t>
  </si>
  <si>
    <t>382</t>
  </si>
  <si>
    <t>385</t>
  </si>
  <si>
    <t>387</t>
  </si>
  <si>
    <t>388</t>
  </si>
  <si>
    <t>389</t>
  </si>
  <si>
    <t>390</t>
  </si>
  <si>
    <t>391</t>
  </si>
  <si>
    <t>392</t>
  </si>
  <si>
    <t>393</t>
  </si>
  <si>
    <t>395</t>
  </si>
  <si>
    <t>396</t>
  </si>
  <si>
    <t>397</t>
  </si>
  <si>
    <t>C'</t>
  </si>
  <si>
    <t>398</t>
  </si>
  <si>
    <t>502</t>
  </si>
  <si>
    <t>503</t>
  </si>
  <si>
    <t>508</t>
  </si>
  <si>
    <t>509</t>
  </si>
  <si>
    <t>511</t>
  </si>
  <si>
    <t>512</t>
  </si>
  <si>
    <t>513</t>
  </si>
  <si>
    <t>515</t>
  </si>
  <si>
    <t>517</t>
  </si>
  <si>
    <t>518</t>
  </si>
  <si>
    <t>519</t>
  </si>
  <si>
    <t>520</t>
  </si>
  <si>
    <t>521</t>
  </si>
  <si>
    <t>522</t>
  </si>
  <si>
    <t>523</t>
  </si>
  <si>
    <t>525</t>
  </si>
  <si>
    <t>海棠湾C3片区控规C-03地块</t>
  </si>
  <si>
    <t>小于或等于0.4</t>
  </si>
  <si>
    <t>2019-12-30</t>
  </si>
  <si>
    <t>三亚中交瀚星投资有限公司</t>
  </si>
  <si>
    <t>海棠湾B1片区控规B1-h2-2、B1-h2-3、B1-h2-7和B1-h2-8地块</t>
  </si>
  <si>
    <t>小于或等于0.6</t>
  </si>
  <si>
    <t>2019-12-27</t>
  </si>
  <si>
    <t>三亚富意文化发展有限公司</t>
  </si>
  <si>
    <t>海棠湾B1片区控规B1-C3-8地块</t>
  </si>
  <si>
    <t>小于或等于0.3</t>
  </si>
  <si>
    <t>2019-12-03</t>
  </si>
  <si>
    <t>海南京东智湾投资有限公司</t>
  </si>
  <si>
    <r>
      <t xml:space="preserve">三亚海棠湾项目经济技术指标表
                                  </t>
    </r>
    <r>
      <rPr>
        <b/>
        <sz val="12"/>
        <rFont val="宋体"/>
        <family val="3"/>
        <charset val="134"/>
      </rPr>
      <t>单位：平方米</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</si>
</sst>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_ꃿ"/>
    <numFmt numFmtId="200" formatCode="[$-F400]h:mm:ss\ AM/PM"/>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1"/>
      <name val="宋体"/>
      <family val="3"/>
      <charset val="134"/>
      <scheme val="minor"/>
    </font>
    <font>
      <b/>
      <sz val="9"/>
      <name val="宋体"/>
      <family val="3"/>
      <charset val="134"/>
    </font>
    <font>
      <sz val="12"/>
      <color theme="1"/>
      <name val="方正仿宋_GBK"/>
      <charset val="134"/>
    </font>
    <font>
      <b/>
      <sz val="10"/>
      <name val="微软雅黑"/>
      <family val="2"/>
      <charset val="134"/>
    </font>
    <font>
      <b/>
      <sz val="10"/>
      <color indexed="8"/>
      <name val="微软雅黑"/>
      <family val="2"/>
      <charset val="134"/>
    </font>
    <font>
      <sz val="10"/>
      <name val="微软雅黑"/>
      <family val="2"/>
      <charset val="134"/>
    </font>
    <font>
      <sz val="10"/>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9" fontId="137" fillId="0" borderId="0">
      <alignment vertical="center"/>
    </xf>
    <xf numFmtId="0" fontId="56" fillId="0" borderId="0"/>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55" fillId="7" borderId="0" xfId="0" applyFont="1" applyFill="1" applyAlignment="1">
      <alignment horizontal="center"/>
    </xf>
    <xf numFmtId="0" fontId="255" fillId="7" borderId="0" xfId="0" applyFont="1" applyFill="1" applyAlignment="1"/>
    <xf numFmtId="0" fontId="256" fillId="7" borderId="1" xfId="0" applyFont="1" applyFill="1" applyBorder="1" applyAlignment="1">
      <alignment horizontal="center" vertical="center"/>
    </xf>
    <xf numFmtId="0" fontId="256" fillId="7" borderId="1" xfId="0" applyFont="1" applyFill="1" applyBorder="1" applyAlignment="1">
      <alignment horizontal="center" vertical="center" wrapText="1"/>
    </xf>
    <xf numFmtId="197" fontId="256" fillId="7" borderId="1" xfId="0" applyNumberFormat="1" applyFont="1" applyFill="1" applyBorder="1" applyAlignment="1">
      <alignment horizontal="center" vertical="center"/>
    </xf>
    <xf numFmtId="0" fontId="255" fillId="7" borderId="0" xfId="0" applyFont="1" applyFill="1" applyAlignment="1">
      <alignment horizontal="center" vertical="center"/>
    </xf>
    <xf numFmtId="0" fontId="257" fillId="7" borderId="1" xfId="0" applyFont="1" applyFill="1" applyBorder="1" applyAlignment="1">
      <alignment horizontal="left" vertical="center"/>
    </xf>
    <xf numFmtId="0" fontId="19" fillId="7" borderId="1" xfId="0" applyFont="1" applyFill="1" applyBorder="1" applyAlignment="1">
      <alignment horizontal="center" vertical="center"/>
    </xf>
    <xf numFmtId="198" fontId="257" fillId="7" borderId="1" xfId="0" applyNumberFormat="1" applyFont="1" applyFill="1" applyBorder="1" applyAlignment="1">
      <alignment vertical="center"/>
    </xf>
    <xf numFmtId="0" fontId="257" fillId="7" borderId="1" xfId="0" applyFont="1" applyFill="1" applyBorder="1" applyAlignment="1">
      <alignment vertical="center"/>
    </xf>
    <xf numFmtId="198" fontId="257" fillId="7" borderId="1" xfId="0" applyNumberFormat="1" applyFont="1" applyFill="1" applyBorder="1" applyAlignment="1">
      <alignment horizontal="right" vertical="center"/>
    </xf>
    <xf numFmtId="198" fontId="257" fillId="7" borderId="13" xfId="0" applyNumberFormat="1" applyFont="1" applyFill="1" applyBorder="1" applyAlignment="1">
      <alignment horizontal="right" vertical="center"/>
    </xf>
    <xf numFmtId="0" fontId="255" fillId="7" borderId="0" xfId="0" applyFont="1" applyFill="1" applyAlignment="1">
      <alignment vertical="center"/>
    </xf>
    <xf numFmtId="198" fontId="256" fillId="7" borderId="1" xfId="0" applyNumberFormat="1" applyFont="1" applyFill="1" applyBorder="1" applyAlignment="1">
      <alignment vertical="center"/>
    </xf>
    <xf numFmtId="0" fontId="256" fillId="7" borderId="1" xfId="0" applyFont="1" applyFill="1" applyBorder="1" applyAlignment="1">
      <alignment vertical="center"/>
    </xf>
    <xf numFmtId="197" fontId="256" fillId="7" borderId="1" xfId="0" applyNumberFormat="1" applyFont="1" applyFill="1" applyBorder="1" applyAlignment="1">
      <alignment vertical="center"/>
    </xf>
    <xf numFmtId="198" fontId="256" fillId="7" borderId="1" xfId="0" applyNumberFormat="1" applyFont="1" applyFill="1" applyBorder="1" applyAlignment="1">
      <alignment horizontal="right" vertical="center"/>
    </xf>
    <xf numFmtId="0" fontId="258" fillId="7" borderId="0" xfId="0" applyFont="1" applyFill="1" applyAlignment="1">
      <alignment horizontal="center" vertical="center"/>
    </xf>
    <xf numFmtId="0" fontId="258" fillId="7" borderId="0" xfId="0" applyFont="1" applyFill="1" applyAlignment="1">
      <alignment vertical="center"/>
    </xf>
    <xf numFmtId="0" fontId="257" fillId="7" borderId="1" xfId="0" applyFont="1" applyFill="1" applyBorder="1" applyAlignment="1">
      <alignment vertical="center" wrapText="1"/>
    </xf>
    <xf numFmtId="0" fontId="257" fillId="7" borderId="1" xfId="0" applyFont="1" applyFill="1" applyBorder="1" applyAlignment="1">
      <alignment horizontal="center" vertical="center" wrapText="1"/>
    </xf>
    <xf numFmtId="198" fontId="257" fillId="7" borderId="1" xfId="0" applyNumberFormat="1" applyFont="1" applyFill="1" applyBorder="1" applyAlignment="1">
      <alignment vertical="center" wrapText="1"/>
    </xf>
    <xf numFmtId="0" fontId="257" fillId="7" borderId="1" xfId="0" applyFont="1" applyFill="1" applyBorder="1" applyAlignment="1">
      <alignment horizontal="right" vertical="center" wrapText="1"/>
    </xf>
    <xf numFmtId="197" fontId="257" fillId="7" borderId="1" xfId="0" applyNumberFormat="1" applyFont="1" applyFill="1" applyBorder="1" applyAlignment="1">
      <alignment vertical="center" wrapText="1"/>
    </xf>
    <xf numFmtId="198" fontId="257" fillId="7" borderId="1" xfId="0" applyNumberFormat="1" applyFont="1" applyFill="1" applyBorder="1" applyAlignment="1">
      <alignment horizontal="right" vertical="center" wrapText="1"/>
    </xf>
    <xf numFmtId="0" fontId="255" fillId="7" borderId="0" xfId="0" applyFont="1" applyFill="1" applyAlignment="1">
      <alignment horizontal="center" vertical="center" wrapText="1"/>
    </xf>
    <xf numFmtId="0" fontId="255" fillId="7" borderId="0" xfId="0" applyFont="1" applyFill="1" applyAlignment="1">
      <alignment vertical="center" wrapText="1"/>
    </xf>
    <xf numFmtId="198" fontId="256" fillId="7" borderId="1" xfId="0" applyNumberFormat="1" applyFont="1" applyFill="1" applyBorder="1" applyAlignment="1">
      <alignment vertical="center" wrapText="1"/>
    </xf>
    <xf numFmtId="0" fontId="256" fillId="7" borderId="1" xfId="0" applyFont="1" applyFill="1" applyBorder="1" applyAlignment="1">
      <alignment vertical="center" wrapText="1"/>
    </xf>
    <xf numFmtId="197" fontId="256" fillId="7" borderId="1" xfId="0" applyNumberFormat="1" applyFont="1" applyFill="1" applyBorder="1" applyAlignment="1">
      <alignment vertical="center" wrapText="1"/>
    </xf>
    <xf numFmtId="198" fontId="257" fillId="7" borderId="13" xfId="0" applyNumberFormat="1" applyFont="1" applyFill="1" applyBorder="1" applyAlignment="1">
      <alignment vertical="center" wrapText="1"/>
    </xf>
    <xf numFmtId="0" fontId="258" fillId="7" borderId="0" xfId="0" applyFont="1" applyFill="1" applyAlignment="1">
      <alignment horizontal="center" vertical="center" wrapText="1"/>
    </xf>
    <xf numFmtId="0" fontId="258" fillId="7" borderId="0" xfId="0" applyFont="1" applyFill="1" applyAlignment="1">
      <alignment vertical="center" wrapText="1"/>
    </xf>
    <xf numFmtId="0" fontId="257" fillId="7" borderId="5" xfId="0" applyFont="1" applyFill="1" applyBorder="1" applyAlignment="1">
      <alignment horizontal="left" vertical="center" wrapText="1"/>
    </xf>
    <xf numFmtId="0" fontId="56" fillId="7" borderId="1" xfId="0" applyFont="1" applyFill="1" applyBorder="1" applyAlignment="1">
      <alignment horizontal="center" vertical="center" wrapText="1"/>
    </xf>
    <xf numFmtId="58" fontId="257" fillId="5" borderId="1" xfId="0" applyNumberFormat="1" applyFont="1" applyFill="1" applyBorder="1" applyAlignment="1">
      <alignment vertical="center" wrapText="1"/>
    </xf>
    <xf numFmtId="0" fontId="56" fillId="5" borderId="1" xfId="0" applyFont="1" applyFill="1" applyBorder="1" applyAlignment="1">
      <alignment horizontal="center" vertical="center" wrapText="1"/>
    </xf>
    <xf numFmtId="0" fontId="257" fillId="5" borderId="1" xfId="0" applyFont="1" applyFill="1" applyBorder="1" applyAlignment="1">
      <alignment horizontal="center" vertical="center" wrapText="1"/>
    </xf>
    <xf numFmtId="198" fontId="257" fillId="5" borderId="1" xfId="0" applyNumberFormat="1" applyFont="1" applyFill="1" applyBorder="1" applyAlignment="1">
      <alignment vertical="center" wrapText="1"/>
    </xf>
    <xf numFmtId="0" fontId="257" fillId="5" borderId="1" xfId="0" applyNumberFormat="1" applyFont="1" applyFill="1" applyBorder="1" applyAlignment="1">
      <alignment horizontal="right" vertical="center" wrapText="1"/>
    </xf>
    <xf numFmtId="58" fontId="257" fillId="7" borderId="1" xfId="0" applyNumberFormat="1" applyFont="1" applyFill="1" applyBorder="1" applyAlignment="1">
      <alignment vertical="center" wrapText="1"/>
    </xf>
    <xf numFmtId="0" fontId="257" fillId="7" borderId="1" xfId="0" applyNumberFormat="1" applyFont="1" applyFill="1" applyBorder="1" applyAlignment="1">
      <alignment horizontal="right" vertical="center" wrapText="1"/>
    </xf>
    <xf numFmtId="0" fontId="100" fillId="0" borderId="0" xfId="0" applyFont="1" applyFill="1" applyAlignment="1">
      <alignment horizontal="center"/>
    </xf>
    <xf numFmtId="0" fontId="99" fillId="0" borderId="0" xfId="0" applyFont="1" applyFill="1" applyAlignment="1">
      <alignment horizontal="center" wrapText="1"/>
    </xf>
    <xf numFmtId="0" fontId="99" fillId="0" borderId="0" xfId="0" applyFont="1" applyFill="1" applyAlignment="1"/>
    <xf numFmtId="0" fontId="99" fillId="0" borderId="0" xfId="0" applyFont="1" applyFill="1" applyAlignment="1">
      <alignment horizontal="center"/>
    </xf>
    <xf numFmtId="197" fontId="99" fillId="0" borderId="0" xfId="0" applyNumberFormat="1" applyFont="1" applyFill="1" applyAlignment="1"/>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8"/>
    <xf numFmtId="0" fontId="56" fillId="5" borderId="0" xfId="18" applyFill="1"/>
    <xf numFmtId="0" fontId="0" fillId="5" borderId="0" xfId="0" applyFill="1">
      <alignment vertical="center"/>
    </xf>
    <xf numFmtId="0" fontId="0" fillId="0" borderId="0" xfId="0" applyFill="1">
      <alignment vertical="center"/>
    </xf>
    <xf numFmtId="0" fontId="56" fillId="0" borderId="0" xfId="18" applyFill="1"/>
    <xf numFmtId="198" fontId="257" fillId="5" borderId="1" xfId="0" applyNumberFormat="1" applyFont="1" applyFill="1" applyBorder="1" applyAlignment="1">
      <alignment horizontal="right" vertical="center" wrapText="1"/>
    </xf>
    <xf numFmtId="0" fontId="99" fillId="0" borderId="0" xfId="0" applyFont="1">
      <alignment vertical="center"/>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9" fillId="5" borderId="0" xfId="0" applyFont="1" applyFill="1">
      <alignment vertical="center"/>
    </xf>
    <xf numFmtId="14" fontId="0" fillId="5" borderId="0" xfId="0" applyNumberFormat="1" applyFill="1">
      <alignment vertical="center"/>
    </xf>
    <xf numFmtId="0" fontId="137" fillId="0" borderId="51" xfId="0" applyNumberFormat="1"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0" fontId="64" fillId="18" borderId="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64" fillId="7" borderId="54" xfId="0" applyFont="1" applyFill="1" applyBorder="1" applyAlignment="1" applyProtection="1">
      <alignment vertical="center"/>
      <protection locked="0"/>
    </xf>
    <xf numFmtId="176" fontId="50" fillId="18" borderId="1" xfId="0" applyNumberFormat="1" applyFont="1" applyFill="1" applyBorder="1" applyAlignment="1" applyProtection="1">
      <alignment horizontal="center" vertical="center" wrapText="1"/>
      <protection locked="0"/>
    </xf>
    <xf numFmtId="0" fontId="62" fillId="17" borderId="1" xfId="1" applyNumberFormat="1" applyFont="1" applyFill="1" applyBorder="1" applyAlignment="1" applyProtection="1">
      <protection locked="0"/>
    </xf>
    <xf numFmtId="0" fontId="99" fillId="6" borderId="1" xfId="12" applyFont="1" applyFill="1" applyBorder="1" applyProtection="1">
      <protection locked="0"/>
    </xf>
    <xf numFmtId="0" fontId="171" fillId="6" borderId="13" xfId="12" applyFont="1" applyFill="1" applyBorder="1" applyAlignment="1" applyProtection="1">
      <alignment horizontal="center" vertical="center" wrapText="1"/>
      <protection locked="0"/>
    </xf>
    <xf numFmtId="0" fontId="171" fillId="6" borderId="1" xfId="12" applyFont="1" applyFill="1" applyBorder="1" applyAlignment="1" applyProtection="1">
      <alignment horizontal="center" vertical="center" wrapText="1"/>
      <protection locked="0"/>
    </xf>
    <xf numFmtId="0" fontId="57" fillId="17" borderId="1" xfId="1" applyNumberFormat="1" applyFont="1" applyFill="1" applyBorder="1" applyAlignment="1" applyProtection="1">
      <alignment horizontal="center"/>
      <protection locked="0"/>
    </xf>
    <xf numFmtId="179" fontId="56" fillId="17" borderId="1" xfId="1" applyNumberFormat="1" applyFont="1" applyFill="1" applyBorder="1" applyAlignment="1" applyProtection="1">
      <alignment horizontal="center"/>
      <protection locked="0"/>
    </xf>
    <xf numFmtId="0" fontId="50" fillId="17" borderId="1" xfId="1" applyNumberFormat="1" applyFont="1" applyFill="1" applyBorder="1" applyAlignment="1" applyProtection="1">
      <alignment horizontal="center" vertical="center"/>
      <protection locked="0"/>
    </xf>
    <xf numFmtId="0" fontId="260" fillId="0" borderId="84" xfId="0" applyFont="1" applyFill="1" applyBorder="1" applyAlignment="1">
      <alignment horizontal="center" vertical="center" wrapText="1"/>
    </xf>
    <xf numFmtId="0" fontId="99" fillId="0" borderId="2" xfId="0" applyFont="1" applyFill="1" applyBorder="1" applyAlignment="1">
      <alignment horizontal="center" vertical="center"/>
    </xf>
    <xf numFmtId="0" fontId="99" fillId="0" borderId="1" xfId="0" applyFont="1" applyFill="1" applyBorder="1" applyAlignment="1">
      <alignment horizontal="center" vertical="center"/>
    </xf>
    <xf numFmtId="200" fontId="99"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99" fillId="0" borderId="6" xfId="0" applyFont="1" applyBorder="1">
      <alignment vertical="center"/>
    </xf>
    <xf numFmtId="0" fontId="99" fillId="0" borderId="9" xfId="0" applyFont="1" applyBorder="1">
      <alignment vertical="center"/>
    </xf>
    <xf numFmtId="0" fontId="99" fillId="0" borderId="10" xfId="0" applyFont="1" applyBorder="1">
      <alignment vertical="center"/>
    </xf>
    <xf numFmtId="0" fontId="99" fillId="0" borderId="23" xfId="0" applyFont="1" applyBorder="1">
      <alignment vertical="center"/>
    </xf>
    <xf numFmtId="0" fontId="0" fillId="0" borderId="24" xfId="0" applyBorder="1">
      <alignment vertical="center"/>
    </xf>
    <xf numFmtId="0" fontId="99" fillId="0" borderId="25" xfId="0" applyFont="1" applyBorder="1">
      <alignment vertical="center"/>
    </xf>
    <xf numFmtId="0" fontId="0" fillId="0" borderId="32" xfId="0" applyBorder="1">
      <alignment vertical="center"/>
    </xf>
    <xf numFmtId="0" fontId="0" fillId="0" borderId="49" xfId="0" applyBorder="1">
      <alignment vertical="center"/>
    </xf>
    <xf numFmtId="0" fontId="99" fillId="5" borderId="1" xfId="0" applyFont="1" applyFill="1" applyBorder="1" applyAlignment="1">
      <alignment horizontal="center" vertical="center"/>
    </xf>
    <xf numFmtId="177" fontId="261" fillId="0" borderId="1" xfId="8" applyNumberFormat="1" applyFont="1" applyBorder="1" applyAlignment="1">
      <alignment horizontal="center" vertical="center" wrapText="1" shrinkToFit="1"/>
    </xf>
    <xf numFmtId="49" fontId="261" fillId="0" borderId="1" xfId="8" applyNumberFormat="1" applyFont="1" applyBorder="1" applyAlignment="1">
      <alignment horizontal="center" vertical="center" wrapText="1" shrinkToFit="1"/>
    </xf>
    <xf numFmtId="200" fontId="262" fillId="0" borderId="1" xfId="17" applyNumberFormat="1" applyFont="1" applyBorder="1" applyAlignment="1">
      <alignment horizontal="center" vertical="center" wrapText="1"/>
    </xf>
    <xf numFmtId="176" fontId="261" fillId="0" borderId="1" xfId="8" applyNumberFormat="1" applyFont="1" applyBorder="1" applyAlignment="1">
      <alignment horizontal="center" vertical="center" wrapText="1" shrinkToFit="1"/>
    </xf>
    <xf numFmtId="200" fontId="261" fillId="0" borderId="1" xfId="8" applyNumberFormat="1" applyFont="1" applyBorder="1" applyAlignment="1">
      <alignment horizontal="center" vertical="center" wrapText="1" shrinkToFit="1"/>
    </xf>
    <xf numFmtId="177" fontId="263" fillId="0" borderId="1" xfId="8" applyNumberFormat="1" applyFont="1" applyBorder="1" applyAlignment="1">
      <alignment horizontal="center" vertical="center" shrinkToFit="1"/>
    </xf>
    <xf numFmtId="200" fontId="263" fillId="0" borderId="1" xfId="8" applyNumberFormat="1" applyFont="1" applyBorder="1" applyAlignment="1">
      <alignment horizontal="center" vertical="center" shrinkToFit="1"/>
    </xf>
    <xf numFmtId="200" fontId="264" fillId="0" borderId="1" xfId="0" applyNumberFormat="1" applyFont="1" applyBorder="1" applyAlignment="1">
      <alignment horizontal="center" vertical="center"/>
    </xf>
    <xf numFmtId="200" fontId="264" fillId="0" borderId="1" xfId="0" quotePrefix="1" applyNumberFormat="1" applyFont="1" applyBorder="1" applyAlignment="1">
      <alignment horizontal="center" vertical="center"/>
    </xf>
    <xf numFmtId="176" fontId="264" fillId="0" borderId="1" xfId="0" applyNumberFormat="1" applyFont="1" applyBorder="1" applyAlignment="1">
      <alignment horizontal="center" vertical="center"/>
    </xf>
    <xf numFmtId="200" fontId="263" fillId="0" borderId="1" xfId="8" applyNumberFormat="1" applyFont="1" applyBorder="1" applyAlignment="1">
      <alignment horizontal="center" vertical="center" wrapText="1"/>
    </xf>
    <xf numFmtId="49" fontId="263" fillId="0" borderId="1" xfId="8" applyNumberFormat="1" applyFont="1" applyBorder="1" applyAlignment="1">
      <alignment horizontal="center" vertical="center" wrapText="1"/>
    </xf>
    <xf numFmtId="200" fontId="264" fillId="7" borderId="1" xfId="0" quotePrefix="1" applyNumberFormat="1" applyFont="1" applyFill="1" applyBorder="1" applyAlignment="1">
      <alignment horizontal="center" vertical="center"/>
    </xf>
    <xf numFmtId="49" fontId="264" fillId="0" borderId="1" xfId="0" quotePrefix="1" applyNumberFormat="1" applyFont="1" applyBorder="1" applyAlignment="1">
      <alignment horizontal="center" vertical="center"/>
    </xf>
    <xf numFmtId="176" fontId="0" fillId="0" borderId="0" xfId="0" applyNumberFormat="1">
      <alignment vertical="center"/>
    </xf>
    <xf numFmtId="0" fontId="56" fillId="9" borderId="0" xfId="18" applyFill="1"/>
    <xf numFmtId="0" fontId="56" fillId="0" borderId="0" xfId="18"/>
    <xf numFmtId="0" fontId="0" fillId="9" borderId="0" xfId="0" applyFill="1">
      <alignment vertical="center"/>
    </xf>
    <xf numFmtId="0" fontId="120" fillId="9" borderId="0" xfId="18" applyFont="1" applyFill="1"/>
    <xf numFmtId="0" fontId="101" fillId="9" borderId="0" xfId="0" applyFont="1" applyFill="1">
      <alignment vertical="center"/>
    </xf>
    <xf numFmtId="0" fontId="120" fillId="5" borderId="0" xfId="18" applyFont="1" applyFill="1"/>
    <xf numFmtId="0" fontId="101"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257" fillId="7" borderId="13" xfId="0" applyFont="1" applyFill="1" applyBorder="1" applyAlignment="1">
      <alignment horizontal="center" vertical="center" wrapText="1"/>
    </xf>
    <xf numFmtId="0" fontId="257" fillId="7" borderId="15" xfId="0" applyFont="1" applyFill="1" applyBorder="1" applyAlignment="1">
      <alignment horizontal="center" vertical="center" wrapText="1"/>
    </xf>
    <xf numFmtId="0" fontId="257" fillId="7" borderId="2" xfId="0" applyFont="1" applyFill="1" applyBorder="1" applyAlignment="1">
      <alignment horizontal="center" vertical="center" wrapText="1"/>
    </xf>
    <xf numFmtId="0" fontId="84" fillId="7" borderId="5" xfId="0" applyFont="1" applyFill="1" applyBorder="1" applyAlignment="1">
      <alignment horizontal="center" vertical="center" wrapText="1"/>
    </xf>
    <xf numFmtId="0" fontId="255" fillId="7" borderId="54" xfId="0" applyFont="1" applyFill="1" applyBorder="1" applyAlignment="1">
      <alignment horizontal="center" vertical="center" wrapText="1"/>
    </xf>
    <xf numFmtId="0" fontId="255" fillId="7" borderId="3" xfId="0" applyFont="1" applyFill="1" applyBorder="1" applyAlignment="1">
      <alignment horizontal="center" vertical="center" wrapText="1"/>
    </xf>
    <xf numFmtId="0" fontId="257" fillId="7" borderId="5" xfId="0" applyFont="1" applyFill="1" applyBorder="1" applyAlignment="1">
      <alignment vertical="center"/>
    </xf>
    <xf numFmtId="0" fontId="257" fillId="7" borderId="54" xfId="0" applyFont="1" applyFill="1" applyBorder="1" applyAlignment="1">
      <alignment vertical="center"/>
    </xf>
    <xf numFmtId="0" fontId="257" fillId="7" borderId="3" xfId="0" applyFont="1" applyFill="1" applyBorder="1" applyAlignment="1">
      <alignment vertical="center"/>
    </xf>
    <xf numFmtId="0" fontId="256" fillId="7" borderId="5" xfId="0" applyFont="1" applyFill="1" applyBorder="1" applyAlignment="1">
      <alignment horizontal="center" vertical="center" wrapText="1"/>
    </xf>
    <xf numFmtId="0" fontId="258" fillId="7" borderId="54" xfId="0" applyFont="1" applyFill="1" applyBorder="1" applyAlignment="1">
      <alignment vertical="center" wrapText="1"/>
    </xf>
    <xf numFmtId="0" fontId="258" fillId="7" borderId="3" xfId="0" applyFont="1" applyFill="1" applyBorder="1" applyAlignment="1">
      <alignment vertical="center" wrapText="1"/>
    </xf>
    <xf numFmtId="0" fontId="256" fillId="7" borderId="3" xfId="0" applyFont="1" applyFill="1" applyBorder="1" applyAlignment="1">
      <alignment horizontal="center" vertical="center" wrapText="1"/>
    </xf>
    <xf numFmtId="0" fontId="258" fillId="7" borderId="54" xfId="0" applyFont="1" applyFill="1" applyBorder="1" applyAlignment="1">
      <alignment horizontal="center" vertical="center" wrapText="1"/>
    </xf>
    <xf numFmtId="0" fontId="258" fillId="7" borderId="3" xfId="0" applyFont="1" applyFill="1" applyBorder="1" applyAlignment="1">
      <alignment horizontal="center" vertical="center" wrapText="1"/>
    </xf>
    <xf numFmtId="197" fontId="256" fillId="7" borderId="15" xfId="0" applyNumberFormat="1" applyFont="1" applyFill="1" applyBorder="1" applyAlignment="1">
      <alignment horizontal="center" vertical="center" wrapText="1"/>
    </xf>
    <xf numFmtId="197" fontId="256" fillId="7" borderId="2" xfId="0" applyNumberFormat="1" applyFont="1" applyFill="1" applyBorder="1" applyAlignment="1">
      <alignment horizontal="center" vertical="center" wrapText="1"/>
    </xf>
    <xf numFmtId="197" fontId="257" fillId="7" borderId="15" xfId="0" applyNumberFormat="1" applyFont="1" applyFill="1" applyBorder="1" applyAlignment="1">
      <alignment horizontal="right" vertical="center" wrapText="1"/>
    </xf>
    <xf numFmtId="197" fontId="257" fillId="7" borderId="2" xfId="0" applyNumberFormat="1" applyFont="1" applyFill="1" applyBorder="1" applyAlignment="1">
      <alignment horizontal="right" vertical="center" wrapText="1"/>
    </xf>
    <xf numFmtId="197" fontId="257" fillId="5" borderId="15" xfId="0" applyNumberFormat="1" applyFont="1" applyFill="1" applyBorder="1" applyAlignment="1">
      <alignment horizontal="right" vertical="center" wrapText="1"/>
    </xf>
    <xf numFmtId="197" fontId="257" fillId="5" borderId="2" xfId="0" applyNumberFormat="1" applyFont="1" applyFill="1" applyBorder="1" applyAlignment="1">
      <alignment horizontal="right" vertical="center" wrapText="1"/>
    </xf>
    <xf numFmtId="0" fontId="256" fillId="7" borderId="13" xfId="0" applyFont="1" applyFill="1" applyBorder="1" applyAlignment="1">
      <alignment horizontal="center" vertical="center" wrapText="1"/>
    </xf>
    <xf numFmtId="0" fontId="256" fillId="7" borderId="15" xfId="0" applyFont="1" applyFill="1" applyBorder="1" applyAlignment="1">
      <alignment horizontal="center" vertical="center" wrapText="1"/>
    </xf>
    <xf numFmtId="0" fontId="256" fillId="7" borderId="2" xfId="0" applyFont="1" applyFill="1" applyBorder="1" applyAlignment="1">
      <alignment horizontal="center" vertical="center" wrapText="1"/>
    </xf>
    <xf numFmtId="0" fontId="257" fillId="7" borderId="13" xfId="0" applyFont="1" applyFill="1" applyBorder="1" applyAlignment="1">
      <alignment horizontal="right" vertical="center" wrapText="1"/>
    </xf>
    <xf numFmtId="0" fontId="257" fillId="7" borderId="15" xfId="0" applyFont="1" applyFill="1" applyBorder="1" applyAlignment="1">
      <alignment horizontal="right" vertical="center" wrapText="1"/>
    </xf>
    <xf numFmtId="0" fontId="257"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wrapText="1"/>
    </xf>
    <xf numFmtId="198" fontId="257" fillId="7" borderId="15" xfId="0" applyNumberFormat="1" applyFont="1" applyFill="1" applyBorder="1" applyAlignment="1">
      <alignment horizontal="right" vertical="center" wrapText="1"/>
    </xf>
    <xf numFmtId="198" fontId="257" fillId="7" borderId="2" xfId="0" applyNumberFormat="1" applyFont="1" applyFill="1" applyBorder="1" applyAlignment="1">
      <alignment horizontal="right" vertical="center" wrapText="1"/>
    </xf>
    <xf numFmtId="0" fontId="256" fillId="7" borderId="5" xfId="0" applyFont="1" applyFill="1" applyBorder="1" applyAlignment="1">
      <alignment horizontal="center" vertical="center"/>
    </xf>
    <xf numFmtId="0" fontId="255" fillId="7" borderId="3" xfId="0" applyFont="1" applyFill="1" applyBorder="1" applyAlignment="1">
      <alignment horizontal="center" vertical="center"/>
    </xf>
    <xf numFmtId="0" fontId="255" fillId="7" borderId="54" xfId="0" applyFont="1" applyFill="1" applyBorder="1" applyAlignment="1">
      <alignment horizontal="center" vertical="center"/>
    </xf>
    <xf numFmtId="197" fontId="256" fillId="7" borderId="13" xfId="0" applyNumberFormat="1" applyFont="1" applyFill="1" applyBorder="1" applyAlignment="1">
      <alignment horizontal="center" vertical="center" wrapText="1"/>
    </xf>
    <xf numFmtId="197" fontId="257" fillId="7" borderId="13" xfId="0" applyNumberFormat="1" applyFont="1" applyFill="1" applyBorder="1" applyAlignment="1">
      <alignment horizontal="right" vertical="center" wrapText="1"/>
    </xf>
    <xf numFmtId="197" fontId="257" fillId="7" borderId="13" xfId="0" applyNumberFormat="1" applyFont="1" applyFill="1" applyBorder="1" applyAlignment="1">
      <alignment horizontal="center" vertical="center" wrapText="1"/>
    </xf>
    <xf numFmtId="197" fontId="257" fillId="7" borderId="2" xfId="0" applyNumberFormat="1" applyFont="1" applyFill="1" applyBorder="1" applyAlignment="1">
      <alignment horizontal="center" vertical="center" wrapText="1"/>
    </xf>
    <xf numFmtId="0" fontId="254" fillId="7" borderId="60" xfId="0" applyFont="1" applyFill="1" applyBorder="1" applyAlignment="1">
      <alignment horizontal="center" vertical="center" wrapText="1"/>
    </xf>
    <xf numFmtId="0" fontId="254" fillId="7" borderId="60" xfId="0" applyFont="1" applyFill="1" applyBorder="1" applyAlignment="1">
      <alignment horizontal="center" vertical="center"/>
    </xf>
    <xf numFmtId="0" fontId="256" fillId="7" borderId="13" xfId="0" applyFont="1" applyFill="1" applyBorder="1" applyAlignment="1">
      <alignment horizontal="center" vertical="center"/>
    </xf>
    <xf numFmtId="0" fontId="258" fillId="7" borderId="15" xfId="0" applyFont="1" applyFill="1" applyBorder="1" applyAlignment="1">
      <alignment horizontal="center" vertical="center"/>
    </xf>
    <xf numFmtId="0" fontId="258" fillId="7" borderId="2" xfId="0" applyFont="1" applyFill="1" applyBorder="1" applyAlignment="1">
      <alignment horizontal="center" vertical="center"/>
    </xf>
    <xf numFmtId="0" fontId="255" fillId="7" borderId="15" xfId="0" applyFont="1" applyFill="1" applyBorder="1" applyAlignment="1">
      <alignment horizontal="right" vertical="center" wrapText="1"/>
    </xf>
    <xf numFmtId="0" fontId="255"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xf>
    <xf numFmtId="198" fontId="257" fillId="7" borderId="15" xfId="0" applyNumberFormat="1" applyFont="1" applyFill="1" applyBorder="1" applyAlignment="1">
      <alignment horizontal="right" vertical="center"/>
    </xf>
    <xf numFmtId="198" fontId="257" fillId="7" borderId="2" xfId="0" applyNumberFormat="1" applyFont="1" applyFill="1" applyBorder="1" applyAlignment="1">
      <alignment horizontal="right" vertical="center"/>
    </xf>
    <xf numFmtId="198" fontId="257" fillId="7" borderId="13" xfId="0" applyNumberFormat="1" applyFont="1" applyFill="1" applyBorder="1" applyAlignment="1">
      <alignment horizontal="center" vertical="center" wrapText="1"/>
    </xf>
    <xf numFmtId="198" fontId="257" fillId="7" borderId="15" xfId="0" applyNumberFormat="1" applyFont="1" applyFill="1" applyBorder="1" applyAlignment="1">
      <alignment horizontal="center" vertical="center"/>
    </xf>
    <xf numFmtId="198" fontId="257" fillId="7" borderId="2" xfId="0" applyNumberFormat="1" applyFont="1" applyFill="1" applyBorder="1" applyAlignment="1">
      <alignment horizontal="center" vertical="center"/>
    </xf>
    <xf numFmtId="198" fontId="257" fillId="7" borderId="13" xfId="0" applyNumberFormat="1" applyFont="1" applyFill="1" applyBorder="1" applyAlignment="1">
      <alignment vertical="center"/>
    </xf>
    <xf numFmtId="0" fontId="255" fillId="7" borderId="15" xfId="0" applyFont="1" applyFill="1" applyBorder="1" applyAlignment="1">
      <alignment vertical="center"/>
    </xf>
    <xf numFmtId="0" fontId="255" fillId="7" borderId="2" xfId="0" applyFont="1" applyFill="1" applyBorder="1" applyAlignment="1">
      <alignment vertical="center"/>
    </xf>
    <xf numFmtId="197" fontId="257" fillId="7" borderId="13" xfId="0" applyNumberFormat="1" applyFont="1" applyFill="1" applyBorder="1" applyAlignment="1">
      <alignment horizontal="right" vertical="center"/>
    </xf>
    <xf numFmtId="197" fontId="257" fillId="7" borderId="15" xfId="0" applyNumberFormat="1" applyFont="1" applyFill="1" applyBorder="1" applyAlignment="1">
      <alignment horizontal="right" vertical="center"/>
    </xf>
    <xf numFmtId="197" fontId="257" fillId="7" borderId="2" xfId="0" applyNumberFormat="1" applyFont="1" applyFill="1" applyBorder="1" applyAlignment="1">
      <alignment horizontal="righ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39 2" xfId="17"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a:t>2019</a:t>
            </a:r>
            <a:r>
              <a:rPr lang="zh-CN" altLang="en-US"/>
              <a:t>年上半年三亚楼市成交走势</a:t>
            </a:r>
          </a:p>
        </c:rich>
      </c:tx>
      <c:overlay val="0"/>
      <c:spPr>
        <a:noFill/>
        <a:ln>
          <a:noFill/>
        </a:ln>
        <a:effectLst/>
      </c:spPr>
    </c:title>
    <c:autoTitleDeleted val="0"/>
    <c:plotArea>
      <c:layout/>
      <c:barChart>
        <c:barDir val="col"/>
        <c:grouping val="clustered"/>
        <c:varyColors val="0"/>
        <c:ser>
          <c:idx val="0"/>
          <c:order val="0"/>
          <c:tx>
            <c:strRef>
              <c:f>Sheet2!$B$1</c:f>
              <c:strCache>
                <c:ptCount val="1"/>
                <c:pt idx="0">
                  <c:v>成交面积（㎡）</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Sheet2!$B$2:$B$7</c:f>
              <c:numCache>
                <c:formatCode>General</c:formatCode>
                <c:ptCount val="6"/>
                <c:pt idx="0">
                  <c:v>27354</c:v>
                </c:pt>
                <c:pt idx="1">
                  <c:v>30636</c:v>
                </c:pt>
                <c:pt idx="2">
                  <c:v>101178</c:v>
                </c:pt>
                <c:pt idx="3">
                  <c:v>113456</c:v>
                </c:pt>
                <c:pt idx="4">
                  <c:v>82015</c:v>
                </c:pt>
                <c:pt idx="5">
                  <c:v>111195</c:v>
                </c:pt>
              </c:numCache>
            </c:numRef>
          </c:val>
          <c:extLst>
            <c:ext xmlns:c16="http://schemas.microsoft.com/office/drawing/2014/chart" uri="{C3380CC4-5D6E-409C-BE32-E72D297353CC}">
              <c16:uniqueId val="{00000000-F5AA-4A8C-82AA-F88EE6B23877}"/>
            </c:ext>
          </c:extLst>
        </c:ser>
        <c:ser>
          <c:idx val="1"/>
          <c:order val="1"/>
          <c:tx>
            <c:strRef>
              <c:f>Sheet2!$C$1</c:f>
              <c:strCache>
                <c:ptCount val="1"/>
                <c:pt idx="0">
                  <c:v>成交金额（万元）</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Sheet2!$C$2:$C$7</c:f>
              <c:numCache>
                <c:formatCode>General</c:formatCode>
                <c:ptCount val="6"/>
                <c:pt idx="0">
                  <c:v>72666</c:v>
                </c:pt>
                <c:pt idx="1">
                  <c:v>86290</c:v>
                </c:pt>
                <c:pt idx="2">
                  <c:v>276835</c:v>
                </c:pt>
                <c:pt idx="3">
                  <c:v>318783</c:v>
                </c:pt>
                <c:pt idx="4">
                  <c:v>235377</c:v>
                </c:pt>
                <c:pt idx="5">
                  <c:v>331325</c:v>
                </c:pt>
              </c:numCache>
            </c:numRef>
          </c:val>
          <c:extLst>
            <c:ext xmlns:c16="http://schemas.microsoft.com/office/drawing/2014/chart" uri="{C3380CC4-5D6E-409C-BE32-E72D297353CC}">
              <c16:uniqueId val="{00000001-F5AA-4A8C-82AA-F88EE6B23877}"/>
            </c:ext>
          </c:extLst>
        </c:ser>
        <c:dLbls>
          <c:showLegendKey val="0"/>
          <c:showVal val="0"/>
          <c:showCatName val="0"/>
          <c:showSerName val="0"/>
          <c:showPercent val="0"/>
          <c:showBubbleSize val="0"/>
        </c:dLbls>
        <c:gapWidth val="219"/>
        <c:axId val="153053056"/>
        <c:axId val="153054592"/>
      </c:barChart>
      <c:lineChart>
        <c:grouping val="standard"/>
        <c:varyColors val="0"/>
        <c:ser>
          <c:idx val="2"/>
          <c:order val="2"/>
          <c:tx>
            <c:strRef>
              <c:f>Sheet2!$D$1</c:f>
              <c:strCache>
                <c:ptCount val="1"/>
                <c:pt idx="0">
                  <c:v>成交均价（元/㎡）</c:v>
                </c:pt>
              </c:strCache>
            </c:strRef>
          </c:tx>
          <c:spPr>
            <a:ln w="28575" cap="rnd">
              <a:solidFill>
                <a:schemeClr val="accent3"/>
              </a:solidFill>
              <a:round/>
            </a:ln>
            <a:effectLst/>
          </c:spPr>
          <c:marker>
            <c:symbol val="none"/>
          </c:marker>
          <c:dLbls>
            <c:dLbl>
              <c:idx val="0"/>
              <c:layout>
                <c:manualLayout>
                  <c:x val="-3.6111111111111108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AA-4A8C-82AA-F88EE6B23877}"/>
                </c:ext>
              </c:extLst>
            </c:dLbl>
            <c:dLbl>
              <c:idx val="4"/>
              <c:layout>
                <c:manualLayout>
                  <c:x val="-1.388888888888899E-2"/>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AA-4A8C-82AA-F88EE6B2387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Sheet2!$A$2:$A$7</c:f>
              <c:strCache>
                <c:ptCount val="6"/>
                <c:pt idx="0">
                  <c:v>1月</c:v>
                </c:pt>
                <c:pt idx="1">
                  <c:v>2月</c:v>
                </c:pt>
                <c:pt idx="2">
                  <c:v>3月</c:v>
                </c:pt>
                <c:pt idx="3">
                  <c:v>4月</c:v>
                </c:pt>
                <c:pt idx="4">
                  <c:v>5月</c:v>
                </c:pt>
                <c:pt idx="5">
                  <c:v>6月</c:v>
                </c:pt>
              </c:strCache>
            </c:strRef>
          </c:cat>
          <c:val>
            <c:numRef>
              <c:f>Sheet2!$D$2:$D$7</c:f>
              <c:numCache>
                <c:formatCode>General</c:formatCode>
                <c:ptCount val="6"/>
                <c:pt idx="0">
                  <c:v>26565</c:v>
                </c:pt>
                <c:pt idx="1">
                  <c:v>28166</c:v>
                </c:pt>
                <c:pt idx="2">
                  <c:v>27361</c:v>
                </c:pt>
                <c:pt idx="3">
                  <c:v>28097</c:v>
                </c:pt>
                <c:pt idx="4">
                  <c:v>28699</c:v>
                </c:pt>
                <c:pt idx="5">
                  <c:v>29797</c:v>
                </c:pt>
              </c:numCache>
            </c:numRef>
          </c:val>
          <c:smooth val="0"/>
          <c:extLst>
            <c:ext xmlns:c16="http://schemas.microsoft.com/office/drawing/2014/chart" uri="{C3380CC4-5D6E-409C-BE32-E72D297353CC}">
              <c16:uniqueId val="{00000002-F5AA-4A8C-82AA-F88EE6B23877}"/>
            </c:ext>
          </c:extLst>
        </c:ser>
        <c:dLbls>
          <c:showLegendKey val="0"/>
          <c:showVal val="0"/>
          <c:showCatName val="0"/>
          <c:showSerName val="0"/>
          <c:showPercent val="0"/>
          <c:showBubbleSize val="0"/>
        </c:dLbls>
        <c:marker val="1"/>
        <c:smooth val="0"/>
        <c:axId val="153078400"/>
        <c:axId val="153076864"/>
      </c:lineChart>
      <c:catAx>
        <c:axId val="1530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54592"/>
        <c:crosses val="autoZero"/>
        <c:auto val="1"/>
        <c:lblAlgn val="ctr"/>
        <c:lblOffset val="100"/>
        <c:noMultiLvlLbl val="0"/>
      </c:catAx>
      <c:valAx>
        <c:axId val="15305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53056"/>
        <c:crosses val="autoZero"/>
        <c:crossBetween val="between"/>
      </c:valAx>
      <c:valAx>
        <c:axId val="153076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3078400"/>
        <c:crosses val="max"/>
        <c:crossBetween val="between"/>
      </c:valAx>
      <c:catAx>
        <c:axId val="153078400"/>
        <c:scaling>
          <c:orientation val="minMax"/>
        </c:scaling>
        <c:delete val="1"/>
        <c:axPos val="b"/>
        <c:numFmt formatCode="General" sourceLinked="1"/>
        <c:majorTickMark val="out"/>
        <c:minorTickMark val="none"/>
        <c:tickLblPos val="nextTo"/>
        <c:crossAx val="1530768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16</xdr:row>
      <xdr:rowOff>19050</xdr:rowOff>
    </xdr:from>
    <xdr:to>
      <xdr:col>8</xdr:col>
      <xdr:colOff>600075</xdr:colOff>
      <xdr:row>45</xdr:row>
      <xdr:rowOff>160679</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266700" y="2762250"/>
          <a:ext cx="7639050" cy="5113679"/>
        </a:xfrm>
        <a:prstGeom prst="rect">
          <a:avLst/>
        </a:prstGeom>
      </xdr:spPr>
    </xdr:pic>
    <xdr:clientData/>
  </xdr:twoCellAnchor>
  <xdr:twoCellAnchor editAs="oneCell">
    <xdr:from>
      <xdr:col>0</xdr:col>
      <xdr:colOff>190500</xdr:colOff>
      <xdr:row>47</xdr:row>
      <xdr:rowOff>114300</xdr:rowOff>
    </xdr:from>
    <xdr:to>
      <xdr:col>7</xdr:col>
      <xdr:colOff>95250</xdr:colOff>
      <xdr:row>73</xdr:row>
      <xdr:rowOff>94135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190500" y="8172450"/>
          <a:ext cx="6524625" cy="4437535"/>
        </a:xfrm>
        <a:prstGeom prst="rect">
          <a:avLst/>
        </a:prstGeom>
      </xdr:spPr>
    </xdr:pic>
    <xdr:clientData/>
  </xdr:twoCellAnchor>
  <xdr:twoCellAnchor editAs="oneCell">
    <xdr:from>
      <xdr:col>0</xdr:col>
      <xdr:colOff>276226</xdr:colOff>
      <xdr:row>73</xdr:row>
      <xdr:rowOff>114300</xdr:rowOff>
    </xdr:from>
    <xdr:to>
      <xdr:col>7</xdr:col>
      <xdr:colOff>299189</xdr:colOff>
      <xdr:row>90</xdr:row>
      <xdr:rowOff>114299</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a:stretch>
          <a:fillRect/>
        </a:stretch>
      </xdr:blipFill>
      <xdr:spPr>
        <a:xfrm>
          <a:off x="276226" y="12630150"/>
          <a:ext cx="6642838" cy="2914649"/>
        </a:xfrm>
        <a:prstGeom prst="rect">
          <a:avLst/>
        </a:prstGeom>
      </xdr:spPr>
    </xdr:pic>
    <xdr:clientData/>
  </xdr:twoCellAnchor>
  <xdr:twoCellAnchor editAs="oneCell">
    <xdr:from>
      <xdr:col>0</xdr:col>
      <xdr:colOff>238125</xdr:colOff>
      <xdr:row>92</xdr:row>
      <xdr:rowOff>9526</xdr:rowOff>
    </xdr:from>
    <xdr:to>
      <xdr:col>8</xdr:col>
      <xdr:colOff>333375</xdr:colOff>
      <xdr:row>119</xdr:row>
      <xdr:rowOff>149860</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4"/>
        <a:stretch>
          <a:fillRect/>
        </a:stretch>
      </xdr:blipFill>
      <xdr:spPr>
        <a:xfrm>
          <a:off x="238125" y="15782926"/>
          <a:ext cx="7400925" cy="4769484"/>
        </a:xfrm>
        <a:prstGeom prst="rect">
          <a:avLst/>
        </a:prstGeom>
      </xdr:spPr>
    </xdr:pic>
    <xdr:clientData/>
  </xdr:twoCellAnchor>
  <xdr:twoCellAnchor editAs="oneCell">
    <xdr:from>
      <xdr:col>0</xdr:col>
      <xdr:colOff>333375</xdr:colOff>
      <xdr:row>119</xdr:row>
      <xdr:rowOff>161925</xdr:rowOff>
    </xdr:from>
    <xdr:to>
      <xdr:col>8</xdr:col>
      <xdr:colOff>638175</xdr:colOff>
      <xdr:row>137</xdr:row>
      <xdr:rowOff>36814</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333375" y="20564475"/>
          <a:ext cx="7610475" cy="2960989"/>
        </a:xfrm>
        <a:prstGeom prst="rect">
          <a:avLst/>
        </a:prstGeom>
      </xdr:spPr>
    </xdr:pic>
    <xdr:clientData/>
  </xdr:twoCellAnchor>
  <xdr:twoCellAnchor editAs="oneCell">
    <xdr:from>
      <xdr:col>14</xdr:col>
      <xdr:colOff>66674</xdr:colOff>
      <xdr:row>15</xdr:row>
      <xdr:rowOff>142876</xdr:rowOff>
    </xdr:from>
    <xdr:to>
      <xdr:col>24</xdr:col>
      <xdr:colOff>284557</xdr:colOff>
      <xdr:row>43</xdr:row>
      <xdr:rowOff>158396</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6"/>
        <a:stretch>
          <a:fillRect/>
        </a:stretch>
      </xdr:blipFill>
      <xdr:spPr>
        <a:xfrm>
          <a:off x="12277724" y="2714626"/>
          <a:ext cx="7075883" cy="4816120"/>
        </a:xfrm>
        <a:prstGeom prst="rect">
          <a:avLst/>
        </a:prstGeom>
      </xdr:spPr>
    </xdr:pic>
    <xdr:clientData/>
  </xdr:twoCellAnchor>
  <xdr:twoCellAnchor editAs="oneCell">
    <xdr:from>
      <xdr:col>0</xdr:col>
      <xdr:colOff>352425</xdr:colOff>
      <xdr:row>137</xdr:row>
      <xdr:rowOff>161926</xdr:rowOff>
    </xdr:from>
    <xdr:to>
      <xdr:col>9</xdr:col>
      <xdr:colOff>47625</xdr:colOff>
      <xdr:row>166</xdr:row>
      <xdr:rowOff>38506</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7"/>
        <a:stretch>
          <a:fillRect/>
        </a:stretch>
      </xdr:blipFill>
      <xdr:spPr>
        <a:xfrm>
          <a:off x="352425" y="23650576"/>
          <a:ext cx="7686675" cy="4848630"/>
        </a:xfrm>
        <a:prstGeom prst="rect">
          <a:avLst/>
        </a:prstGeom>
      </xdr:spPr>
    </xdr:pic>
    <xdr:clientData/>
  </xdr:twoCellAnchor>
  <xdr:twoCellAnchor editAs="oneCell">
    <xdr:from>
      <xdr:col>0</xdr:col>
      <xdr:colOff>619125</xdr:colOff>
      <xdr:row>166</xdr:row>
      <xdr:rowOff>152400</xdr:rowOff>
    </xdr:from>
    <xdr:to>
      <xdr:col>10</xdr:col>
      <xdr:colOff>19050</xdr:colOff>
      <xdr:row>186</xdr:row>
      <xdr:rowOff>114031</xdr:rowOff>
    </xdr:to>
    <xdr:pic>
      <xdr:nvPicPr>
        <xdr:cNvPr id="10" name="图片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8"/>
        <a:stretch>
          <a:fillRect/>
        </a:stretch>
      </xdr:blipFill>
      <xdr:spPr>
        <a:xfrm>
          <a:off x="619125" y="28613100"/>
          <a:ext cx="8077200" cy="3390631"/>
        </a:xfrm>
        <a:prstGeom prst="rect">
          <a:avLst/>
        </a:prstGeom>
      </xdr:spPr>
    </xdr:pic>
    <xdr:clientData/>
  </xdr:twoCellAnchor>
  <xdr:twoCellAnchor editAs="oneCell">
    <xdr:from>
      <xdr:col>0</xdr:col>
      <xdr:colOff>685800</xdr:colOff>
      <xdr:row>186</xdr:row>
      <xdr:rowOff>152401</xdr:rowOff>
    </xdr:from>
    <xdr:to>
      <xdr:col>8</xdr:col>
      <xdr:colOff>669692</xdr:colOff>
      <xdr:row>214</xdr:row>
      <xdr:rowOff>95251</xdr:rowOff>
    </xdr:to>
    <xdr:pic>
      <xdr:nvPicPr>
        <xdr:cNvPr id="11" name="图片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9"/>
        <a:stretch>
          <a:fillRect/>
        </a:stretch>
      </xdr:blipFill>
      <xdr:spPr>
        <a:xfrm>
          <a:off x="685800" y="32042101"/>
          <a:ext cx="7289567" cy="4743450"/>
        </a:xfrm>
        <a:prstGeom prst="rect">
          <a:avLst/>
        </a:prstGeom>
      </xdr:spPr>
    </xdr:pic>
    <xdr:clientData/>
  </xdr:twoCellAnchor>
  <xdr:twoCellAnchor editAs="oneCell">
    <xdr:from>
      <xdr:col>0</xdr:col>
      <xdr:colOff>581025</xdr:colOff>
      <xdr:row>215</xdr:row>
      <xdr:rowOff>1</xdr:rowOff>
    </xdr:from>
    <xdr:to>
      <xdr:col>9</xdr:col>
      <xdr:colOff>600075</xdr:colOff>
      <xdr:row>234</xdr:row>
      <xdr:rowOff>142545</xdr:rowOff>
    </xdr:to>
    <xdr:pic>
      <xdr:nvPicPr>
        <xdr:cNvPr id="12" name="图片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0"/>
        <a:stretch>
          <a:fillRect/>
        </a:stretch>
      </xdr:blipFill>
      <xdr:spPr>
        <a:xfrm>
          <a:off x="581025" y="36861751"/>
          <a:ext cx="8010525" cy="3400094"/>
        </a:xfrm>
        <a:prstGeom prst="rect">
          <a:avLst/>
        </a:prstGeom>
      </xdr:spPr>
    </xdr:pic>
    <xdr:clientData/>
  </xdr:twoCellAnchor>
  <xdr:twoCellAnchor editAs="oneCell">
    <xdr:from>
      <xdr:col>0</xdr:col>
      <xdr:colOff>523875</xdr:colOff>
      <xdr:row>235</xdr:row>
      <xdr:rowOff>9525</xdr:rowOff>
    </xdr:from>
    <xdr:to>
      <xdr:col>9</xdr:col>
      <xdr:colOff>171450</xdr:colOff>
      <xdr:row>261</xdr:row>
      <xdr:rowOff>142046</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1"/>
        <a:stretch>
          <a:fillRect/>
        </a:stretch>
      </xdr:blipFill>
      <xdr:spPr>
        <a:xfrm>
          <a:off x="523875" y="40300275"/>
          <a:ext cx="7639050" cy="4590221"/>
        </a:xfrm>
        <a:prstGeom prst="rect">
          <a:avLst/>
        </a:prstGeom>
      </xdr:spPr>
    </xdr:pic>
    <xdr:clientData/>
  </xdr:twoCellAnchor>
  <xdr:twoCellAnchor editAs="oneCell">
    <xdr:from>
      <xdr:col>0</xdr:col>
      <xdr:colOff>819150</xdr:colOff>
      <xdr:row>262</xdr:row>
      <xdr:rowOff>28575</xdr:rowOff>
    </xdr:from>
    <xdr:to>
      <xdr:col>10</xdr:col>
      <xdr:colOff>590550</xdr:colOff>
      <xdr:row>281</xdr:row>
      <xdr:rowOff>106028</xdr:rowOff>
    </xdr:to>
    <xdr:pic>
      <xdr:nvPicPr>
        <xdr:cNvPr id="14" name="图片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2"/>
        <a:stretch>
          <a:fillRect/>
        </a:stretch>
      </xdr:blipFill>
      <xdr:spPr>
        <a:xfrm>
          <a:off x="819150" y="44948475"/>
          <a:ext cx="8448675" cy="3335003"/>
        </a:xfrm>
        <a:prstGeom prst="rect">
          <a:avLst/>
        </a:prstGeom>
      </xdr:spPr>
    </xdr:pic>
    <xdr:clientData/>
  </xdr:twoCellAnchor>
  <xdr:twoCellAnchor editAs="oneCell">
    <xdr:from>
      <xdr:col>0</xdr:col>
      <xdr:colOff>885825</xdr:colOff>
      <xdr:row>281</xdr:row>
      <xdr:rowOff>123825</xdr:rowOff>
    </xdr:from>
    <xdr:to>
      <xdr:col>10</xdr:col>
      <xdr:colOff>714375</xdr:colOff>
      <xdr:row>313</xdr:row>
      <xdr:rowOff>62851</xdr:rowOff>
    </xdr:to>
    <xdr:pic>
      <xdr:nvPicPr>
        <xdr:cNvPr id="15" name="图片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3"/>
        <a:stretch>
          <a:fillRect/>
        </a:stretch>
      </xdr:blipFill>
      <xdr:spPr>
        <a:xfrm>
          <a:off x="885825" y="48301275"/>
          <a:ext cx="8505825" cy="5425426"/>
        </a:xfrm>
        <a:prstGeom prst="rect">
          <a:avLst/>
        </a:prstGeom>
      </xdr:spPr>
    </xdr:pic>
    <xdr:clientData/>
  </xdr:twoCellAnchor>
  <xdr:twoCellAnchor editAs="oneCell">
    <xdr:from>
      <xdr:col>0</xdr:col>
      <xdr:colOff>923925</xdr:colOff>
      <xdr:row>313</xdr:row>
      <xdr:rowOff>95250</xdr:rowOff>
    </xdr:from>
    <xdr:to>
      <xdr:col>9</xdr:col>
      <xdr:colOff>533400</xdr:colOff>
      <xdr:row>332</xdr:row>
      <xdr:rowOff>112781</xdr:rowOff>
    </xdr:to>
    <xdr:pic>
      <xdr:nvPicPr>
        <xdr:cNvPr id="16" name="图片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14"/>
        <a:stretch>
          <a:fillRect/>
        </a:stretch>
      </xdr:blipFill>
      <xdr:spPr>
        <a:xfrm>
          <a:off x="923925" y="53759100"/>
          <a:ext cx="7600950" cy="32750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587375</xdr:colOff>
      <xdr:row>7</xdr:row>
      <xdr:rowOff>133350</xdr:rowOff>
    </xdr:from>
    <xdr:to>
      <xdr:col>5</xdr:col>
      <xdr:colOff>473075</xdr:colOff>
      <xdr:row>23</xdr:row>
      <xdr:rowOff>31750</xdr:rowOff>
    </xdr:to>
    <xdr:graphicFrame macro="">
      <xdr:nvGraphicFramePr>
        <xdr:cNvPr id="2" name="图表 1">
          <a:extLst>
            <a:ext uri="{FF2B5EF4-FFF2-40B4-BE49-F238E27FC236}">
              <a16:creationId xmlns:a16="http://schemas.microsoft.com/office/drawing/2014/main" id="{58AE8E25-122F-4E7F-9841-3B893C86C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1215</v>
      </c>
      <c r="B1" s="1585" t="s">
        <v>1294</v>
      </c>
    </row>
    <row r="2" spans="1:2" s="1590" customFormat="1" ht="15.5" thickTop="1">
      <c r="A2" s="1588" t="s">
        <v>1216</v>
      </c>
      <c r="B2" s="1589" t="str">
        <f>'预评函-封皮'!B37:I37</f>
        <v>海南省三亚市海棠湾镇海棠湾旅游区出让国有建设用地使用权及在建建筑物房地产抵押价值预评估</v>
      </c>
    </row>
    <row r="3" spans="1:2" s="1593" customFormat="1">
      <c r="A3" s="1591" t="s">
        <v>1217</v>
      </c>
      <c r="B3" s="1592" t="str">
        <f>'预评函-封皮'!B40</f>
        <v>三亚市巨源旅业开发有限公司</v>
      </c>
    </row>
    <row r="4" spans="1:2" s="1593" customFormat="1">
      <c r="A4" s="1591" t="s">
        <v>1218</v>
      </c>
      <c r="B4" s="1592" t="str">
        <f ca="1">'预评函-封皮'!B46</f>
        <v>吴薇（注册号：0)、崔锴（注册号：1120100036)</v>
      </c>
    </row>
    <row r="5" spans="1:2" s="1587" customFormat="1" ht="15.5" thickBot="1">
      <c r="A5" s="1594" t="s">
        <v>1219</v>
      </c>
      <c r="B5" s="1595" t="str">
        <f>'预评函-封皮'!B49</f>
        <v>康正预评字号</v>
      </c>
    </row>
    <row r="6" spans="1:2" s="1590" customFormat="1" ht="15.5" thickTop="1">
      <c r="A6" s="1588" t="s">
        <v>1220</v>
      </c>
      <c r="B6" s="1589" t="str">
        <f>'预评函-1'!A4</f>
        <v>受贵公司委托，我公司对海南省三亚市海棠湾镇海棠湾旅游区出让国有建设用地使用权及在建建筑物房地产抵押价值进行了预评估。</v>
      </c>
    </row>
    <row r="7" spans="1:2" s="1593" customFormat="1">
      <c r="A7" s="1591" t="s">
        <v>1260</v>
      </c>
      <c r="B7" s="1592" t="str">
        <f>'预评函-1'!A7</f>
        <v>估价对象为海南省三亚市海棠湾镇海棠湾旅游区出让国有建设用地使用权及在建建筑物房地产，为三亚市巨源旅业开发有限公司所有。根据《国有土地使用证》[]，估价对象（分摊）出让国有建设用地使用权面积为88343.87平方米，建筑面积为106874.1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海南省三亚市海棠湾镇海棠湾旅游区出让国有建设用地使用权及在建建筑物房地产,属三亚市巨源旅业开发有限公司开发建设的商业项目，该项目尚在开发建设中。根据《国有土地使用证》[]，估价对象（分摊）出让国有建设用地使用权面积为88343.87平方米，规划建筑面积为106874.1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为估价委托人在向光大兴陇信托有限责任公司办理贷款手续过程中，确定房地产抵押贷款额度提供参考依据而评估房地产抵押价值。</v>
      </c>
    </row>
    <row r="12" spans="1:2" s="1593" customFormat="1">
      <c r="A12" s="1591" t="s">
        <v>1222</v>
      </c>
      <c r="B12" s="1592" t="str">
        <f>'预评函-1'!A15</f>
        <v>2020年3月23日</v>
      </c>
    </row>
    <row r="13" spans="1:2" s="1593" customFormat="1">
      <c r="A13" s="1591" t="s">
        <v>1223</v>
      </c>
      <c r="B13" s="1592" t="str">
        <f>'预评函-1'!A18</f>
        <v>本次估价的“房地产价值”是指在正常市场情况下，在价值时点2020年3月23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5" thickBot="1">
      <c r="A18" s="1594" t="s">
        <v>1228</v>
      </c>
      <c r="B18" s="1595" t="str">
        <f>'预评函-1'!A24</f>
        <v>本次评估采用的主估价方法为成本法和假设开发法。</v>
      </c>
    </row>
    <row r="19" spans="1:2" s="1590" customFormat="1" ht="15.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181650</v>
      </c>
    </row>
    <row r="21" spans="1:2" s="1593" customFormat="1">
      <c r="A21" s="1591" t="s">
        <v>1231</v>
      </c>
      <c r="B21" s="1592">
        <f ca="1">'预评函-2'!D7</f>
        <v>22440</v>
      </c>
    </row>
    <row r="22" spans="1:2" s="1593" customFormat="1">
      <c r="A22" s="1591" t="s">
        <v>1232</v>
      </c>
      <c r="B22" s="1592" t="str">
        <f ca="1">'预评函-2'!D6</f>
        <v>壹拾捌亿壹仟陆佰伍拾万元整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181650</v>
      </c>
    </row>
    <row r="31" spans="1:2" s="1593" customFormat="1">
      <c r="A31" s="1591" t="s">
        <v>1270</v>
      </c>
      <c r="B31" s="1592">
        <f ca="1">'预评函-2'!D15</f>
        <v>16997</v>
      </c>
    </row>
    <row r="32" spans="1:2" s="1593" customFormat="1">
      <c r="A32" s="1591" t="s">
        <v>1237</v>
      </c>
      <c r="B32" s="1592" t="str">
        <f ca="1">'预评函-2'!D14</f>
        <v>壹拾捌亿壹仟陆佰伍拾万元整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海南省三亚市海棠湾镇海棠湾旅游区出让国有建设用地使用权及在建建筑物房地产</v>
      </c>
    </row>
    <row r="42" spans="1:2" s="1593" customFormat="1" ht="30">
      <c r="A42" s="1591" t="s">
        <v>1284</v>
      </c>
      <c r="B42" s="1592" t="str">
        <f>'预评函-3'!B2</f>
        <v>建筑面积</v>
      </c>
    </row>
    <row r="43" spans="1:2" s="1593" customFormat="1">
      <c r="A43" s="1591" t="s">
        <v>1285</v>
      </c>
      <c r="B43" s="1592">
        <f>'预评函-3'!B4</f>
        <v>106874.1</v>
      </c>
    </row>
    <row r="44" spans="1:2" s="1593" customFormat="1" ht="30">
      <c r="A44" s="1591" t="s">
        <v>1269</v>
      </c>
      <c r="B44" s="1592" t="str">
        <f>'预评函-3'!C2</f>
        <v>(分摊)土地面积</v>
      </c>
    </row>
    <row r="45" spans="1:2" s="1593" customFormat="1">
      <c r="A45" s="1591" t="s">
        <v>1241</v>
      </c>
      <c r="B45" s="1592">
        <f>'预评函-3'!C4</f>
        <v>88343.87</v>
      </c>
    </row>
    <row r="46" spans="1:2" s="1593" customFormat="1">
      <c r="A46" s="1591" t="s">
        <v>1267</v>
      </c>
      <c r="B46" s="1592" t="str">
        <f>'预评函-3'!D2</f>
        <v>出让国有建设用地使用权价值</v>
      </c>
    </row>
    <row r="47" spans="1:2" s="1593" customFormat="1">
      <c r="A47" s="1591" t="s">
        <v>1242</v>
      </c>
      <c r="B47" s="1592">
        <f ca="1">'预评函-3'!D4</f>
        <v>147681</v>
      </c>
    </row>
    <row r="48" spans="1:2" s="1593" customFormat="1">
      <c r="A48" s="1591" t="s">
        <v>1243</v>
      </c>
      <c r="B48" s="1592">
        <f ca="1">'预评函-3'!E4</f>
        <v>18244</v>
      </c>
    </row>
    <row r="49" spans="1:2" s="1593" customFormat="1">
      <c r="A49" s="1591" t="s">
        <v>1244</v>
      </c>
      <c r="B49" s="1592" t="str">
        <f ca="1">'预评函-3'!D5</f>
        <v>壹拾肆亿柒仟陆佰捌拾壹万元整</v>
      </c>
    </row>
    <row r="50" spans="1:2" s="1593" customFormat="1">
      <c r="A50" s="1591" t="s">
        <v>1268</v>
      </c>
      <c r="B50" s="1592" t="str">
        <f>'预评函-3'!F2</f>
        <v>在建建筑物价值</v>
      </c>
    </row>
    <row r="51" spans="1:2" s="1593" customFormat="1">
      <c r="A51" s="1591" t="s">
        <v>1245</v>
      </c>
      <c r="B51" s="1592">
        <f ca="1">'预评函-3'!F4</f>
        <v>33969</v>
      </c>
    </row>
    <row r="52" spans="1:2" s="1593" customFormat="1">
      <c r="A52" s="1591" t="s">
        <v>1246</v>
      </c>
      <c r="B52" s="1592">
        <f ca="1">'预评函-3'!G4</f>
        <v>4196</v>
      </c>
    </row>
    <row r="53" spans="1:2" s="1593" customFormat="1">
      <c r="A53" s="1591" t="s">
        <v>1274</v>
      </c>
      <c r="B53" s="1592" t="str">
        <f ca="1">'预评函-3'!F5</f>
        <v>叁亿叁仟玖佰陆拾玖万元整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5" thickBot="1">
      <c r="A57" s="1594" t="s">
        <v>1293</v>
      </c>
      <c r="B57" s="1595" t="str">
        <f>'预评函-3'!A6</f>
        <v>估价师知悉的法定优先受偿款</v>
      </c>
    </row>
    <row r="58" spans="1:2" s="1590" customFormat="1" ht="15.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（1）根据估价对象《国有土地使用证》原件，截至价值时点，估价对象抵押权未见登记。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5" thickBot="1">
      <c r="A69" s="1594" t="s">
        <v>1255</v>
      </c>
      <c r="B69" s="1596">
        <f>'预评函-4'!C31</f>
        <v>42551</v>
      </c>
    </row>
    <row r="70" spans="1:2" ht="15.5" thickTop="1">
      <c r="A70" s="1597" t="s">
        <v>1256</v>
      </c>
      <c r="B70" s="1598" t="str">
        <f>'预评函-4'!A4</f>
        <v>吴薇</v>
      </c>
    </row>
    <row r="71" spans="1:2">
      <c r="A71" s="1591" t="s">
        <v>1257</v>
      </c>
      <c r="B71" s="1592">
        <f ca="1">'预评函-4'!B4</f>
        <v>0</v>
      </c>
    </row>
    <row r="72" spans="1:2">
      <c r="A72" s="1591" t="s">
        <v>1258</v>
      </c>
      <c r="B72" s="1600" t="str">
        <f>'预评函-4'!A5</f>
        <v>崔锴</v>
      </c>
    </row>
    <row r="73" spans="1:2" s="1587" customFormat="1" ht="15.5" thickBot="1">
      <c r="A73" s="1594" t="s">
        <v>1259</v>
      </c>
      <c r="B73" s="1595">
        <f ca="1">'预评函-4'!B5</f>
        <v>1120100036</v>
      </c>
    </row>
    <row r="74" spans="1:2" ht="15.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31" sqref="C31"/>
    </sheetView>
  </sheetViews>
  <sheetFormatPr defaultColWidth="9" defaultRowHeight="14"/>
  <cols>
    <col min="1" max="1" width="13.453125" style="2022" customWidth="1"/>
    <col min="2" max="2" width="23.26953125" style="1973" customWidth="1"/>
    <col min="3" max="3" width="13" style="2017" customWidth="1"/>
    <col min="4" max="4" width="5.7265625" style="2014" customWidth="1"/>
    <col min="5" max="5" width="7.08984375" style="2014" customWidth="1"/>
    <col min="6" max="6" width="10.6328125" style="2014" customWidth="1"/>
    <col min="7" max="7" width="7.453125" style="2014" customWidth="1"/>
    <col min="8" max="8" width="9" style="2017" customWidth="1"/>
    <col min="9" max="9" width="11.6328125" style="2017" customWidth="1"/>
    <col min="10" max="10" width="9" style="2017" customWidth="1"/>
    <col min="11" max="19" width="9" style="2014" customWidth="1"/>
    <col min="20" max="23" width="9" style="2017" customWidth="1"/>
    <col min="24" max="24" width="21.08984375" style="1973" customWidth="1"/>
    <col min="25" max="16384" width="9" style="1973"/>
  </cols>
  <sheetData>
    <row r="1" spans="1:23" s="2011" customFormat="1" ht="2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为估价委托人在向光大兴陇信托有限责任公司办理贷款手续过程中，确定房地产抵押贷款额度提供参考依据而评估房地产抵押价值。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亚市巨源旅业开发有限公司拟使用海南省三亚市海棠湾镇海棠湾旅游区出让国有建设用地使用权及在建建筑物房地产作为抵押担保物，向光大兴陇信托有限责任公司办理贷款手续。光大兴陇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1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1"/>
      <c r="B54" s="2020" t="s">
        <v>861</v>
      </c>
      <c r="C54" s="2017" t="s">
        <v>1277</v>
      </c>
    </row>
    <row r="55" spans="1:4">
      <c r="A55" s="3111"/>
      <c r="B55" s="2020" t="s">
        <v>862</v>
      </c>
      <c r="C55" s="2017" t="s">
        <v>1278</v>
      </c>
    </row>
    <row r="56" spans="1:4">
      <c r="A56" s="3111"/>
      <c r="B56" s="2020" t="s">
        <v>863</v>
      </c>
      <c r="C56" s="2017" t="s">
        <v>1282</v>
      </c>
    </row>
    <row r="57" spans="1:4">
      <c r="A57" s="311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90625" style="2030" customWidth="1"/>
    <col min="2" max="2" width="11.26953125" style="2030" customWidth="1"/>
    <col min="3" max="3" width="11.453125" style="2030" customWidth="1"/>
    <col min="4" max="4" width="11.6328125" style="2030" customWidth="1"/>
    <col min="5" max="6" width="10" style="2030" customWidth="1"/>
    <col min="7" max="7" width="10.7265625" style="2030" customWidth="1"/>
    <col min="8" max="8" width="10" style="2030" customWidth="1"/>
    <col min="9" max="9" width="11.08984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120" t="str">
        <f>IF(B10="北京市","北京市",C10)&amp;F10&amp;IF(结果表!G1="在建","出让国有建设用地使用权及在建建筑物",IF(结果表!G1="土地","出让国有建设用地使用权",))&amp;B9&amp;"预评估"</f>
        <v>海南省三亚市海棠湾镇海棠湾旅游区出让国有建设用地使用权及在建建筑物房地产抵押价值预评估</v>
      </c>
      <c r="C1" s="3121"/>
      <c r="D1" s="3121"/>
      <c r="E1" s="3121"/>
      <c r="F1" s="3121"/>
      <c r="G1" s="3121"/>
      <c r="H1" s="3121"/>
      <c r="I1" s="312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海南省三亚市海棠湾镇海棠湾旅游区出让国有建设用地使用权及在建建筑物房地产抵押价值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海南省三亚市海棠湾镇海棠湾旅游区出让国有建设用地使用权及在建建筑物房地产</v>
      </c>
    </row>
    <row r="3" spans="1:19" ht="18" customHeight="1">
      <c r="A3" s="2033" t="s">
        <v>1773</v>
      </c>
      <c r="B3" s="2034">
        <v>43669</v>
      </c>
      <c r="C3" s="2035" t="s">
        <v>1774</v>
      </c>
      <c r="D3" s="2034">
        <v>43913</v>
      </c>
      <c r="E3" s="2024"/>
      <c r="F3" s="2024"/>
      <c r="G3" s="2024"/>
      <c r="H3" s="2024"/>
      <c r="I3" s="2024"/>
      <c r="J3" s="2024"/>
      <c r="K3" s="2025"/>
      <c r="L3" s="2026"/>
      <c r="M3" s="2026"/>
      <c r="N3" s="2027"/>
      <c r="O3" s="2028"/>
      <c r="P3" s="2027"/>
      <c r="Q3" s="2027"/>
      <c r="R3" s="2027"/>
      <c r="S3" s="2029"/>
    </row>
    <row r="4" spans="1:19" ht="18" customHeight="1" thickBot="1">
      <c r="A4" s="2036" t="s">
        <v>1775</v>
      </c>
      <c r="B4" s="2037" t="s">
        <v>3288</v>
      </c>
      <c r="C4" s="1037">
        <f ca="1">SUMIF(注册房地产估价师,B4,估价师及机构信息!B3:B24)</f>
        <v>0</v>
      </c>
      <c r="D4" s="2037" t="s">
        <v>3289</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吴薇（注册号：0)、崔锴（注册号：1120100036)</v>
      </c>
      <c r="L4" s="2026"/>
      <c r="M4" s="2026"/>
      <c r="N4" s="2027"/>
      <c r="O4" s="2028"/>
      <c r="P4" s="2027"/>
      <c r="Q4" s="2027"/>
      <c r="R4" s="2027"/>
      <c r="S4" s="2029"/>
    </row>
    <row r="5" spans="1:19" ht="18" customHeight="1" thickTop="1">
      <c r="A5" s="2042" t="s">
        <v>1776</v>
      </c>
      <c r="B5" s="3018" t="s">
        <v>3353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3019" t="s">
        <v>3354</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046" t="str">
        <f>B5</f>
        <v>三亚市巨源旅业开发有限公司</v>
      </c>
      <c r="C7" s="2047"/>
      <c r="D7" s="2048"/>
      <c r="E7" s="2032"/>
      <c r="F7" s="2040"/>
      <c r="G7" s="2040"/>
      <c r="H7" s="2040"/>
      <c r="I7" s="2040"/>
      <c r="J7" s="2040"/>
      <c r="K7" s="2050"/>
      <c r="L7" s="2026"/>
      <c r="M7" s="2026"/>
      <c r="N7" s="2027"/>
      <c r="O7" s="2028"/>
      <c r="P7" s="2027"/>
      <c r="Q7" s="2027"/>
      <c r="R7" s="2027"/>
    </row>
    <row r="8" spans="1:19" ht="18" customHeight="1">
      <c r="A8" s="2045" t="s">
        <v>1779</v>
      </c>
      <c r="B8" s="2051" t="s">
        <v>3051</v>
      </c>
      <c r="C8" s="2052"/>
      <c r="D8" s="3123" t="s">
        <v>1780</v>
      </c>
      <c r="E8" s="2053" t="s">
        <v>3052</v>
      </c>
      <c r="F8" s="2054"/>
      <c r="G8" s="2024"/>
      <c r="H8" s="2024"/>
      <c r="I8" s="2024"/>
      <c r="J8" s="2040"/>
      <c r="K8" s="2041"/>
      <c r="L8" s="2026"/>
      <c r="M8" s="2026"/>
      <c r="N8" s="2027"/>
      <c r="O8" s="2028"/>
      <c r="P8" s="2027"/>
      <c r="Q8" s="2027"/>
      <c r="R8" s="2027"/>
    </row>
    <row r="9" spans="1:19" ht="18" customHeight="1" thickBot="1">
      <c r="A9" s="2038" t="s">
        <v>1781</v>
      </c>
      <c r="B9" s="2055" t="s">
        <v>3052</v>
      </c>
      <c r="C9" s="2056"/>
      <c r="D9" s="3124"/>
      <c r="E9" s="2055" t="s">
        <v>70</v>
      </c>
      <c r="F9" s="2057"/>
      <c r="G9" s="2058"/>
      <c r="H9" s="2058"/>
      <c r="I9" s="2058"/>
      <c r="J9" s="2040"/>
      <c r="K9" s="2050"/>
      <c r="L9" s="2026"/>
      <c r="M9" s="2026"/>
      <c r="N9" s="2027"/>
      <c r="O9" s="2028"/>
      <c r="P9" s="2027"/>
      <c r="Q9" s="2027"/>
      <c r="R9" s="2027"/>
    </row>
    <row r="10" spans="1:19" ht="18" customHeight="1" thickTop="1">
      <c r="A10" s="2059" t="s">
        <v>1782</v>
      </c>
      <c r="B10" s="2060" t="s">
        <v>3053</v>
      </c>
      <c r="C10" s="3020" t="s">
        <v>3355</v>
      </c>
      <c r="D10" s="2044"/>
      <c r="E10" s="2061" t="s">
        <v>1783</v>
      </c>
      <c r="F10" s="3021" t="s">
        <v>3356</v>
      </c>
      <c r="G10" s="2062"/>
      <c r="H10" s="2063"/>
      <c r="I10" s="2044"/>
      <c r="J10" s="2040"/>
      <c r="K10" s="2050"/>
      <c r="L10" s="2026"/>
      <c r="M10" s="2026"/>
      <c r="N10" s="2027"/>
      <c r="O10" s="2028"/>
      <c r="P10" s="2027"/>
      <c r="Q10" s="2027"/>
      <c r="R10" s="2027"/>
    </row>
    <row r="11" spans="1:19" ht="18" customHeight="1">
      <c r="A11" s="2064" t="s">
        <v>1784</v>
      </c>
      <c r="B11" s="2065" t="s">
        <v>3054</v>
      </c>
      <c r="C11" s="3022" t="str">
        <f>B5</f>
        <v>三亚市巨源旅业开发有限公司</v>
      </c>
      <c r="D11" s="2066"/>
      <c r="E11" s="2040"/>
      <c r="F11" s="2040"/>
      <c r="G11" s="2040"/>
      <c r="H11" s="2040"/>
      <c r="I11" s="2040"/>
      <c r="J11" s="2040"/>
      <c r="K11" s="2050"/>
      <c r="L11" s="2026"/>
      <c r="M11" s="2026"/>
      <c r="N11" s="2027"/>
      <c r="O11" s="2028"/>
      <c r="P11" s="2027"/>
      <c r="Q11" s="2027"/>
      <c r="R11" s="2027"/>
    </row>
    <row r="12" spans="1:19" ht="18" customHeight="1">
      <c r="A12" s="2067" t="s">
        <v>1785</v>
      </c>
      <c r="B12" s="2065" t="s">
        <v>3055</v>
      </c>
      <c r="C12" s="2068" t="s">
        <v>1786</v>
      </c>
      <c r="D12" s="2069" t="s">
        <v>1787</v>
      </c>
      <c r="E12" s="2069" t="s">
        <v>1788</v>
      </c>
      <c r="F12" s="2069" t="s">
        <v>1789</v>
      </c>
      <c r="G12" s="2069" t="s">
        <v>1790</v>
      </c>
      <c r="H12" s="2069" t="s">
        <v>1791</v>
      </c>
      <c r="I12" s="2069" t="s">
        <v>1792</v>
      </c>
      <c r="J12" s="2040"/>
      <c r="K12" s="2050"/>
      <c r="L12" s="2026"/>
      <c r="M12" s="2026"/>
      <c r="N12" s="2027"/>
      <c r="O12" s="2028"/>
      <c r="P12" s="2027"/>
      <c r="Q12" s="2027"/>
      <c r="R12" s="2027"/>
    </row>
    <row r="13" spans="1:19" ht="18" customHeight="1">
      <c r="A13" s="2070"/>
      <c r="B13" s="2071"/>
      <c r="C13" s="2072" t="s">
        <v>1793</v>
      </c>
      <c r="D13" s="2073"/>
      <c r="E13" s="2073">
        <v>53871</v>
      </c>
      <c r="F13" s="2073"/>
      <c r="G13" s="2073"/>
      <c r="H13" s="2073"/>
      <c r="I13" s="1047"/>
      <c r="J13" s="2040"/>
      <c r="K13" s="2050"/>
      <c r="L13" s="2026"/>
      <c r="M13" s="2026"/>
      <c r="N13" s="2027"/>
      <c r="O13" s="2028"/>
      <c r="P13" s="2027"/>
      <c r="Q13" s="2027"/>
      <c r="R13" s="2027"/>
    </row>
    <row r="14" spans="1:19" ht="18" customHeight="1">
      <c r="A14" s="2070"/>
      <c r="B14" s="2071"/>
      <c r="C14" s="2072" t="s">
        <v>1794</v>
      </c>
      <c r="D14" s="1050"/>
      <c r="E14" s="1050">
        <v>40</v>
      </c>
      <c r="F14" s="1050"/>
      <c r="G14" s="1050"/>
      <c r="H14" s="1050"/>
      <c r="I14" s="1050"/>
      <c r="J14" s="2040"/>
      <c r="K14" s="2074"/>
      <c r="L14" s="2026"/>
      <c r="M14" s="2026"/>
      <c r="N14" s="2027"/>
      <c r="O14" s="2028"/>
      <c r="P14" s="2027"/>
      <c r="Q14" s="2027"/>
      <c r="R14" s="2027"/>
    </row>
    <row r="15" spans="1:19" ht="18" customHeight="1">
      <c r="A15" s="2059"/>
      <c r="B15" s="2075"/>
      <c r="C15" s="2072" t="s">
        <v>1795</v>
      </c>
      <c r="D15" s="1049" t="str">
        <f>IF(B12="出让",IF(D13="","",ROUNDDOWN(MIN((D13-$D$3)/365,D14),2)),D14)</f>
        <v/>
      </c>
      <c r="E15" s="1049">
        <f>IF(B12="出让",IF(E13="","",ROUNDDOWN(MIN((E13-$D$3)/365,E14),2)),E14)</f>
        <v>27.28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6"/>
      <c r="L15" s="2077"/>
      <c r="M15" s="2077"/>
      <c r="N15" s="2078"/>
      <c r="O15" s="2077"/>
      <c r="P15" s="2078"/>
      <c r="Q15" s="2027"/>
      <c r="R15" s="2027"/>
    </row>
    <row r="16" spans="1:19" ht="30.75" customHeight="1">
      <c r="A16" s="2061" t="s">
        <v>1796</v>
      </c>
      <c r="B16" s="3130"/>
      <c r="C16" s="3131"/>
      <c r="D16" s="3132"/>
      <c r="E16" s="2079" t="s">
        <v>1797</v>
      </c>
      <c r="F16" s="3133"/>
      <c r="G16" s="3134"/>
      <c r="H16" s="3134"/>
      <c r="I16" s="3135"/>
      <c r="J16" s="2027"/>
      <c r="K16" s="2076"/>
      <c r="L16" s="2077"/>
      <c r="M16" s="2077"/>
      <c r="N16" s="2078"/>
      <c r="O16" s="2077"/>
      <c r="P16" s="2078"/>
      <c r="Q16" s="2027"/>
      <c r="R16" s="2027"/>
    </row>
    <row r="17" spans="1:22" ht="18" customHeight="1">
      <c r="A17" s="2080" t="s">
        <v>1798</v>
      </c>
      <c r="B17" s="2033" t="s">
        <v>1799</v>
      </c>
      <c r="C17" s="1054">
        <f>'数据-汇总表'!E3</f>
        <v>106874.1</v>
      </c>
      <c r="D17" s="2081" t="s">
        <v>1800</v>
      </c>
      <c r="E17" s="3136" t="s">
        <v>1801</v>
      </c>
      <c r="F17" s="3137"/>
      <c r="G17" s="3137"/>
      <c r="H17" s="3137"/>
      <c r="I17" s="3138"/>
      <c r="J17" s="2027"/>
      <c r="K17" s="2082"/>
      <c r="L17" s="2077"/>
      <c r="M17" s="2077"/>
      <c r="N17" s="2078"/>
      <c r="O17" s="2077"/>
      <c r="P17" s="2078"/>
      <c r="Q17" s="2027"/>
      <c r="R17" s="2027"/>
      <c r="S17" s="2027"/>
      <c r="T17" s="2027"/>
      <c r="U17" s="2027"/>
      <c r="V17" s="2027"/>
    </row>
    <row r="18" spans="1:22" ht="36" customHeight="1" thickBot="1">
      <c r="A18" s="2083" t="s">
        <v>1802</v>
      </c>
      <c r="B18" s="2036" t="s">
        <v>1803</v>
      </c>
      <c r="C18" s="1444">
        <f>'数据-汇总表'!D3</f>
        <v>88343.87</v>
      </c>
      <c r="D18" s="2084" t="s">
        <v>1800</v>
      </c>
      <c r="E18" s="3139" t="s">
        <v>1804</v>
      </c>
      <c r="F18" s="3140"/>
      <c r="G18" s="3140"/>
      <c r="H18" s="3140"/>
      <c r="I18" s="3141"/>
      <c r="J18" s="2027"/>
      <c r="K18" s="2082"/>
      <c r="L18" s="2077"/>
      <c r="M18" s="2077"/>
      <c r="N18" s="2078"/>
      <c r="O18" s="2077"/>
      <c r="P18" s="2078"/>
      <c r="Q18" s="2027"/>
      <c r="R18" s="2027"/>
      <c r="S18" s="2027"/>
      <c r="T18" s="2027"/>
      <c r="U18" s="2027"/>
      <c r="V18" s="2027"/>
    </row>
    <row r="19" spans="1:22" ht="37.5" customHeight="1" thickTop="1" thickBot="1">
      <c r="A19" s="373" t="s">
        <v>1805</v>
      </c>
      <c r="B19" s="352" t="s">
        <v>1806</v>
      </c>
      <c r="C19" s="2085" t="s">
        <v>3205</v>
      </c>
      <c r="D19" s="2086" t="s">
        <v>1807</v>
      </c>
      <c r="E19" s="2087"/>
      <c r="F19" s="2088" t="str">
        <f>IF(AND(C19="是",E19="否"),"是否提供他项权证或相关说明","")</f>
        <v/>
      </c>
      <c r="G19" s="2089"/>
      <c r="H19" s="2040"/>
      <c r="I19" s="2040"/>
      <c r="J19" s="2040"/>
      <c r="K19" s="2050"/>
      <c r="L19" s="2026"/>
      <c r="M19" s="2026"/>
      <c r="N19" s="2078"/>
      <c r="O19" s="2077"/>
      <c r="P19" s="2078"/>
      <c r="Q19" s="2027"/>
      <c r="R19" s="2027"/>
      <c r="S19" s="2027"/>
      <c r="T19" s="2027"/>
      <c r="U19" s="2027"/>
      <c r="V19" s="2027"/>
    </row>
    <row r="20" spans="1:22" ht="18" customHeight="1">
      <c r="A20" s="2090" t="s">
        <v>1808</v>
      </c>
      <c r="B20" s="3126" t="s">
        <v>1809</v>
      </c>
      <c r="C20" s="3127"/>
      <c r="D20" s="3128" t="s">
        <v>1810</v>
      </c>
      <c r="E20" s="3129"/>
      <c r="F20" s="2091" t="s">
        <v>1811</v>
      </c>
      <c r="G20" s="2040"/>
      <c r="H20" s="2040"/>
      <c r="I20" s="2040"/>
      <c r="J20" s="2040"/>
      <c r="K20" s="3125" t="s">
        <v>1812</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6"/>
      <c r="N20" s="2078"/>
      <c r="O20" s="2077"/>
      <c r="P20" s="2078"/>
      <c r="Q20" s="2027"/>
      <c r="R20" s="2027"/>
      <c r="S20" s="2027"/>
      <c r="T20" s="2027"/>
      <c r="U20" s="2027"/>
      <c r="V20" s="2027"/>
    </row>
    <row r="21" spans="1:22" ht="24.75" customHeight="1">
      <c r="A21" s="2090"/>
      <c r="B21" s="2092" t="s">
        <v>3290</v>
      </c>
      <c r="C21" s="2093" t="s">
        <v>3291</v>
      </c>
      <c r="D21" s="2094" t="s">
        <v>1813</v>
      </c>
      <c r="E21" s="2095" t="s">
        <v>70</v>
      </c>
      <c r="F21" s="2096"/>
      <c r="G21" s="2040"/>
      <c r="H21" s="2040"/>
      <c r="I21" s="2040"/>
      <c r="J21" s="2040"/>
      <c r="K21" s="31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t="s">
        <v>70</v>
      </c>
      <c r="C22" s="2093" t="s">
        <v>70</v>
      </c>
      <c r="D22" s="2024"/>
      <c r="E22" s="2024"/>
      <c r="F22" s="2098"/>
      <c r="G22" s="2040"/>
      <c r="H22" s="2040"/>
      <c r="I22" s="2040"/>
      <c r="J22" s="2040"/>
      <c r="K22" s="31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1814</v>
      </c>
      <c r="B23" s="183" t="s">
        <v>1815</v>
      </c>
      <c r="C23" s="2100"/>
      <c r="D23" s="2101" t="s">
        <v>1815</v>
      </c>
      <c r="E23" s="2102"/>
      <c r="F23" s="2098"/>
      <c r="G23" s="2040"/>
      <c r="H23" s="2040"/>
      <c r="I23" s="2040"/>
      <c r="J23" s="2040"/>
      <c r="K23" s="2103"/>
      <c r="L23" s="748"/>
      <c r="M23" s="2026"/>
      <c r="N23" s="2078"/>
      <c r="O23" s="2077"/>
      <c r="P23" s="2078"/>
      <c r="Q23" s="2027"/>
      <c r="R23" s="2027"/>
      <c r="S23" s="2027"/>
      <c r="T23" s="2027"/>
      <c r="U23" s="2027"/>
      <c r="V23" s="2027"/>
    </row>
    <row r="24" spans="1:22" ht="18" customHeight="1">
      <c r="A24" s="2104"/>
      <c r="B24" s="183" t="s">
        <v>1816</v>
      </c>
      <c r="C24" s="2105"/>
      <c r="D24" s="2099" t="s">
        <v>1816</v>
      </c>
      <c r="E24" s="2106"/>
      <c r="F24" s="2098"/>
      <c r="G24" s="2040"/>
      <c r="H24" s="2040"/>
      <c r="I24" s="2040"/>
      <c r="J24" s="2040"/>
      <c r="K24" s="2103"/>
      <c r="L24" s="748"/>
      <c r="M24" s="2026"/>
      <c r="N24" s="2078"/>
      <c r="O24" s="2077"/>
      <c r="P24" s="2078"/>
      <c r="Q24" s="2027"/>
      <c r="R24" s="2027"/>
      <c r="S24" s="2027"/>
      <c r="T24" s="2027"/>
      <c r="U24" s="2027"/>
      <c r="V24" s="2027"/>
    </row>
    <row r="25" spans="1:22" ht="18" customHeight="1">
      <c r="A25" s="2104"/>
      <c r="B25" s="183" t="s">
        <v>1817</v>
      </c>
      <c r="C25" s="2105"/>
      <c r="D25" s="2099" t="s">
        <v>1817</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1818</v>
      </c>
      <c r="C26" s="2109"/>
      <c r="D26" s="2110" t="s">
        <v>1819</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113" t="s">
        <v>1820</v>
      </c>
      <c r="B27" s="2059" t="s">
        <v>1821</v>
      </c>
      <c r="C27" s="2113" t="s">
        <v>3056</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113"/>
      <c r="B28" s="2033" t="s">
        <v>1822</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113"/>
      <c r="B29" s="2033" t="s">
        <v>1823</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114"/>
      <c r="B30" s="2033" t="s">
        <v>1824</v>
      </c>
      <c r="C30" s="3115"/>
      <c r="D30" s="3116"/>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117" t="s">
        <v>1825</v>
      </c>
      <c r="B31" s="2120" t="s">
        <v>3057</v>
      </c>
      <c r="C31" s="2121" t="str">
        <f>IF(B31="现房","成新及维护状况正常否",IF(B31="在建","工程状态是否正常",IF(B31="土地","是否闲置","-")))</f>
        <v>工程状态是否正常</v>
      </c>
      <c r="D31" s="2122"/>
      <c r="E31" s="2123"/>
      <c r="F31" s="2040"/>
      <c r="G31" s="2040"/>
      <c r="H31" s="2040"/>
      <c r="I31" s="2040"/>
      <c r="J31" s="2040"/>
      <c r="K31" s="2049"/>
      <c r="L31" s="2026"/>
      <c r="M31" s="2026"/>
      <c r="N31" s="2027"/>
      <c r="O31" s="2028"/>
      <c r="P31" s="2027"/>
      <c r="Q31" s="2027"/>
      <c r="R31" s="2027"/>
      <c r="S31" s="2027"/>
      <c r="T31" s="2027"/>
      <c r="U31" s="2027"/>
      <c r="V31" s="2027"/>
    </row>
    <row r="32" spans="1:22" ht="18" customHeight="1">
      <c r="A32" s="3118"/>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118"/>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1826</v>
      </c>
      <c r="B34" s="2127" t="s">
        <v>3058</v>
      </c>
      <c r="C34" s="2127" t="s">
        <v>3059</v>
      </c>
      <c r="D34" s="2127" t="s">
        <v>3060</v>
      </c>
      <c r="E34" s="2127" t="s">
        <v>3061</v>
      </c>
      <c r="F34" s="2127" t="s">
        <v>3062</v>
      </c>
      <c r="G34" s="2127" t="s">
        <v>3063</v>
      </c>
      <c r="H34" s="2127" t="s">
        <v>70</v>
      </c>
      <c r="I34" s="2040"/>
      <c r="J34" s="2040"/>
      <c r="K34" s="1794">
        <f>COUNTIF(B34:H34,"——")</f>
        <v>1</v>
      </c>
      <c r="L34" s="2068" t="s">
        <v>1827</v>
      </c>
      <c r="M34" s="2068" t="s">
        <v>1828</v>
      </c>
      <c r="N34" s="2068" t="s">
        <v>1829</v>
      </c>
      <c r="O34" s="2068" t="s">
        <v>1830</v>
      </c>
      <c r="P34" s="2068" t="s">
        <v>1831</v>
      </c>
      <c r="Q34" s="2068" t="s">
        <v>1832</v>
      </c>
      <c r="R34" s="2068" t="s">
        <v>1833</v>
      </c>
      <c r="S34" s="3112" t="s">
        <v>1834</v>
      </c>
      <c r="T34" s="2128" t="str">
        <f>NUMBERSTRING(7-K34,1)&amp;"通"</f>
        <v>六通</v>
      </c>
      <c r="U34" s="2027"/>
      <c r="V34" s="2027"/>
    </row>
    <row r="35" spans="1:22" ht="18" customHeight="1">
      <c r="A35" s="2129"/>
      <c r="B35" s="3119" t="s">
        <v>1835</v>
      </c>
      <c r="C35" s="3119"/>
      <c r="D35" s="3119"/>
      <c r="E35" s="3119"/>
      <c r="F35" s="2130" t="str">
        <f>C10</f>
        <v>海南省</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2"/>
      <c r="T35" s="48" t="str">
        <f>IF(T34="一通",L35,IF(T34="二通",M35,IF(T34="三通",N35,IF(T34="四通",O35,IF(T34="五通",P35,IF(T34="六通",Q35,R35))))))</f>
        <v>通路、通电、通讯、通上水、通下水、燃气</v>
      </c>
      <c r="U35" s="2027"/>
      <c r="V35" s="2027"/>
    </row>
    <row r="36" spans="1:22" ht="18" customHeight="1">
      <c r="A36" s="2131"/>
      <c r="B36" s="2130" t="s">
        <v>1836</v>
      </c>
      <c r="C36" s="2130" t="s">
        <v>1837</v>
      </c>
      <c r="D36" s="2130" t="s">
        <v>1838</v>
      </c>
      <c r="E36" s="2130" t="s">
        <v>1839</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1840</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1841</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1843</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1844</v>
      </c>
      <c r="B42" s="1794" t="s">
        <v>1845</v>
      </c>
      <c r="C42" s="1794" t="s">
        <v>1846</v>
      </c>
      <c r="D42" s="1794" t="s">
        <v>1847</v>
      </c>
      <c r="E42" s="1794" t="s">
        <v>1848</v>
      </c>
      <c r="F42" s="1794" t="s">
        <v>1849</v>
      </c>
      <c r="G42" s="1794" t="s">
        <v>1850</v>
      </c>
      <c r="H42" s="1794" t="s">
        <v>1851</v>
      </c>
      <c r="I42" s="1794" t="s">
        <v>1852</v>
      </c>
      <c r="J42" s="2146" t="s">
        <v>1853</v>
      </c>
      <c r="K42" s="2069" t="s">
        <v>1854</v>
      </c>
      <c r="L42" s="2069" t="s">
        <v>1855</v>
      </c>
      <c r="M42" s="2069" t="s">
        <v>1856</v>
      </c>
      <c r="N42" s="1794" t="s">
        <v>1857</v>
      </c>
      <c r="O42" s="1794" t="s">
        <v>1858</v>
      </c>
      <c r="P42" s="1794" t="s">
        <v>1859</v>
      </c>
      <c r="Q42" s="2068" t="s">
        <v>1860</v>
      </c>
      <c r="R42" s="2068" t="s">
        <v>1861</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M16" sqref="M16"/>
    </sheetView>
  </sheetViews>
  <sheetFormatPr defaultColWidth="8.90625" defaultRowHeight="14"/>
  <cols>
    <col min="1" max="1" width="10.6328125" style="2153" customWidth="1"/>
    <col min="2" max="2" width="11" style="2153" customWidth="1"/>
    <col min="3" max="3" width="10.36328125" style="2153" customWidth="1"/>
    <col min="4" max="4" width="9.08984375" style="2153" customWidth="1"/>
    <col min="5" max="6" width="10" style="2216" customWidth="1"/>
    <col min="7" max="8" width="10" style="2153" customWidth="1"/>
    <col min="9" max="9" width="10.6328125" style="2153" customWidth="1"/>
    <col min="10" max="10" width="9.453125" style="2153" customWidth="1"/>
    <col min="11" max="11" width="11" style="2153" customWidth="1"/>
    <col min="12" max="14" width="9.453125" style="2153" customWidth="1"/>
    <col min="15" max="15" width="9.90625" style="2153" hidden="1" customWidth="1"/>
    <col min="16" max="16" width="9.7265625" style="2153" hidden="1" customWidth="1"/>
    <col min="17" max="17" width="9.36328125" style="2153" hidden="1" customWidth="1"/>
    <col min="18" max="18" width="9.26953125" style="2153" hidden="1" customWidth="1"/>
    <col min="19" max="19" width="10.90625" style="2153" hidden="1" customWidth="1"/>
    <col min="20" max="21" width="10.7265625" style="2153" hidden="1" customWidth="1"/>
    <col min="22" max="22" width="10.90625" style="2153" hidden="1" customWidth="1"/>
    <col min="23" max="27" width="10.7265625" style="2153" hidden="1" customWidth="1"/>
    <col min="28" max="28" width="10.90625" style="2153" hidden="1" customWidth="1"/>
    <col min="29" max="29" width="11" style="2153" bestFit="1" customWidth="1"/>
    <col min="30" max="30" width="10" style="2153" hidden="1" customWidth="1"/>
    <col min="31" max="31" width="9.7265625" style="2153" hidden="1" customWidth="1"/>
    <col min="32" max="37" width="9.453125" style="2153" hidden="1" customWidth="1"/>
    <col min="38" max="46" width="9.453125" style="2153" customWidth="1"/>
    <col min="47" max="47" width="18.08984375" style="2153" customWidth="1"/>
    <col min="48" max="50" width="9.7265625" style="2153" customWidth="1"/>
    <col min="51" max="51" width="10.90625" style="2153" bestFit="1" customWidth="1"/>
    <col min="52" max="55" width="10.453125" style="2153" bestFit="1" customWidth="1"/>
    <col min="56" max="56" width="9.453125" style="2153" bestFit="1" customWidth="1"/>
    <col min="57" max="63" width="9.08984375" style="2153" bestFit="1" customWidth="1"/>
    <col min="64" max="64" width="9.453125" style="2153" bestFit="1" customWidth="1"/>
    <col min="65" max="65" width="9.08984375" style="2153" bestFit="1" customWidth="1"/>
    <col min="66" max="66" width="9.453125" style="2153" bestFit="1" customWidth="1"/>
    <col min="67" max="69" width="9.08984375" style="2153" bestFit="1" customWidth="1"/>
    <col min="70" max="70" width="9.453125" style="2153" bestFit="1" customWidth="1"/>
    <col min="71" max="71" width="9" style="2153" customWidth="1"/>
    <col min="72" max="72" width="9.08984375" style="2153" bestFit="1" customWidth="1"/>
    <col min="73" max="16384" width="8.90625" style="2153"/>
  </cols>
  <sheetData>
    <row r="1" spans="1:72" ht="21">
      <c r="A1" s="2156" t="s">
        <v>1862</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1863</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6">
      <c r="A2" s="11" t="s">
        <v>1864</v>
      </c>
      <c r="B2" s="11" t="s">
        <v>1865</v>
      </c>
      <c r="C2" s="11" t="s">
        <v>1866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1867</v>
      </c>
      <c r="AZ2" s="1270" t="s">
        <v>1868</v>
      </c>
      <c r="BA2" s="11" t="s">
        <v>1869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
      <c r="A3" s="13">
        <f>面积表!C10</f>
        <v>131452.39000000001</v>
      </c>
      <c r="B3" s="14">
        <f>IF(C3="否",G5-AT5,G5)</f>
        <v>164759.76</v>
      </c>
      <c r="C3" s="2162" t="s">
        <v>1870</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f>三期未售!J20</f>
        <v>88343.87</v>
      </c>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
      <c r="A5" s="15" t="s">
        <v>1871</v>
      </c>
      <c r="B5" s="1802"/>
      <c r="C5" s="1802"/>
      <c r="D5" s="1805"/>
      <c r="E5" s="16" t="s">
        <v>1</v>
      </c>
      <c r="F5" s="16">
        <f>SUM(F13:F587)</f>
        <v>0</v>
      </c>
      <c r="G5" s="16">
        <f>SUM(G13:G587)</f>
        <v>164759.76</v>
      </c>
      <c r="H5" s="16">
        <f t="shared" ref="H5:AT5" si="0">SUM(H13:H656)</f>
        <v>47115.719999999994</v>
      </c>
      <c r="I5" s="16">
        <f t="shared" si="0"/>
        <v>19567.22</v>
      </c>
      <c r="J5" s="16">
        <f t="shared" si="0"/>
        <v>0</v>
      </c>
      <c r="K5" s="16">
        <f t="shared" si="0"/>
        <v>1403.58</v>
      </c>
      <c r="L5" s="16">
        <f t="shared" si="0"/>
        <v>0</v>
      </c>
      <c r="M5" s="16">
        <f t="shared" si="0"/>
        <v>26144.92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117644.03999999998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7836.9699999999993</v>
      </c>
      <c r="AM5" s="16">
        <f t="shared" si="0"/>
        <v>0</v>
      </c>
      <c r="AN5" s="16">
        <f t="shared" si="0"/>
        <v>109807.07</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106874.1</v>
      </c>
      <c r="BA5" s="18">
        <f t="shared" si="1"/>
        <v>40862.179999999993</v>
      </c>
      <c r="BB5" s="18">
        <f t="shared" si="1"/>
        <v>13888.3</v>
      </c>
      <c r="BC5" s="18">
        <f t="shared" si="1"/>
        <v>828.96</v>
      </c>
      <c r="BD5" s="18">
        <f t="shared" si="1"/>
        <v>26144.92</v>
      </c>
      <c r="BE5" s="18">
        <f t="shared" si="1"/>
        <v>0</v>
      </c>
      <c r="BF5" s="18">
        <f t="shared" si="1"/>
        <v>0</v>
      </c>
      <c r="BG5" s="18">
        <f t="shared" si="1"/>
        <v>0</v>
      </c>
      <c r="BH5" s="18">
        <f t="shared" si="1"/>
        <v>0</v>
      </c>
      <c r="BI5" s="18">
        <f t="shared" si="1"/>
        <v>0</v>
      </c>
      <c r="BJ5" s="18">
        <f t="shared" si="1"/>
        <v>0</v>
      </c>
      <c r="BK5" s="18">
        <f t="shared" si="1"/>
        <v>0</v>
      </c>
      <c r="BL5" s="18">
        <f t="shared" si="1"/>
        <v>66011.92</v>
      </c>
      <c r="BM5" s="18">
        <f t="shared" si="1"/>
        <v>0</v>
      </c>
      <c r="BN5" s="18">
        <f t="shared" si="1"/>
        <v>0</v>
      </c>
      <c r="BO5" s="18">
        <f t="shared" si="1"/>
        <v>0</v>
      </c>
      <c r="BP5" s="18">
        <f t="shared" si="1"/>
        <v>0</v>
      </c>
      <c r="BQ5" s="18">
        <f t="shared" si="1"/>
        <v>7217.4</v>
      </c>
      <c r="BR5" s="18">
        <f t="shared" si="1"/>
        <v>58794.52</v>
      </c>
      <c r="BS5" s="18">
        <f t="shared" si="1"/>
        <v>0</v>
      </c>
      <c r="BT5" s="19">
        <f t="shared" si="1"/>
        <v>0</v>
      </c>
    </row>
    <row r="6" spans="1:72" s="2171" customFormat="1" ht="13">
      <c r="A6" s="15" t="s">
        <v>1872</v>
      </c>
      <c r="B6" s="2168"/>
      <c r="C6" s="2168"/>
      <c r="D6" s="2169"/>
      <c r="E6" s="16">
        <f>H6+AC6+AT6</f>
        <v>131452.4</v>
      </c>
      <c r="F6" s="16" t="s">
        <v>1</v>
      </c>
      <c r="G6" s="16" t="s">
        <v>2</v>
      </c>
      <c r="H6" s="20">
        <f>SUMIF(I$12:AB$12,"总值",I6:AB6)</f>
        <v>37590.949999999997</v>
      </c>
      <c r="I6" s="16">
        <f t="shared" ref="I6:AB6" si="2">ROUND($A$3*I5/$B$3,2)</f>
        <v>15611.57</v>
      </c>
      <c r="J6" s="16">
        <f t="shared" si="2"/>
        <v>0</v>
      </c>
      <c r="K6" s="16">
        <f t="shared" si="2"/>
        <v>1119.8399999999999</v>
      </c>
      <c r="L6" s="16">
        <f t="shared" si="2"/>
        <v>0</v>
      </c>
      <c r="M6" s="16">
        <f t="shared" si="2"/>
        <v>20859.54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93861.45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6252.67</v>
      </c>
      <c r="AM6" s="16">
        <f t="shared" si="3"/>
        <v>0</v>
      </c>
      <c r="AN6" s="16">
        <f t="shared" si="3"/>
        <v>87608.78</v>
      </c>
      <c r="AO6" s="16">
        <f t="shared" si="3"/>
        <v>0</v>
      </c>
      <c r="AP6" s="16">
        <f t="shared" si="3"/>
        <v>0</v>
      </c>
      <c r="AQ6" s="16">
        <f t="shared" si="3"/>
        <v>0</v>
      </c>
      <c r="AR6" s="16">
        <f t="shared" si="3"/>
        <v>0</v>
      </c>
      <c r="AS6" s="16">
        <f t="shared" si="3"/>
        <v>0</v>
      </c>
      <c r="AT6" s="20">
        <f>IF(C3="是",ROUND($A$3*AT5/$B$3,2),0)</f>
        <v>0</v>
      </c>
      <c r="AU6" s="2170"/>
      <c r="AV6" s="15" t="s">
        <v>1872</v>
      </c>
      <c r="AW6" s="2168"/>
      <c r="AX6" s="2168"/>
      <c r="AY6" s="21">
        <f>IF(AY3&gt;0,AY3,ROUND($A$3*AZ5/$B$3,2))</f>
        <v>88343.87</v>
      </c>
      <c r="AZ6" s="16" t="s">
        <v>3</v>
      </c>
      <c r="BA6" s="16">
        <f>ROUND($AY$6*BA5/$AZ$5,2)</f>
        <v>33777.339999999997</v>
      </c>
      <c r="BB6" s="16">
        <f>ROUND($AY$6*BB5/$AZ$5,2)</f>
        <v>11480.29</v>
      </c>
      <c r="BC6" s="16">
        <f t="shared" ref="BC6:BH6" si="4">ROUND($AY$6*BC5/$AZ$5,2)</f>
        <v>685.23</v>
      </c>
      <c r="BD6" s="16">
        <f t="shared" si="4"/>
        <v>21611.82</v>
      </c>
      <c r="BE6" s="16">
        <f t="shared" si="4"/>
        <v>0</v>
      </c>
      <c r="BF6" s="16">
        <f t="shared" si="4"/>
        <v>0</v>
      </c>
      <c r="BG6" s="16">
        <f t="shared" si="4"/>
        <v>0</v>
      </c>
      <c r="BH6" s="16">
        <f t="shared" si="4"/>
        <v>0</v>
      </c>
      <c r="BI6" s="16">
        <f t="shared" ref="BI6:BT6" si="5">ROUND($AY$6*BI5/$AZ$5,2)</f>
        <v>0</v>
      </c>
      <c r="BJ6" s="16">
        <f t="shared" si="5"/>
        <v>0</v>
      </c>
      <c r="BK6" s="16">
        <f t="shared" si="5"/>
        <v>0</v>
      </c>
      <c r="BL6" s="16">
        <f t="shared" si="5"/>
        <v>54566.53</v>
      </c>
      <c r="BM6" s="16">
        <f t="shared" si="5"/>
        <v>0</v>
      </c>
      <c r="BN6" s="16">
        <f t="shared" si="5"/>
        <v>0</v>
      </c>
      <c r="BO6" s="16">
        <f t="shared" si="5"/>
        <v>0</v>
      </c>
      <c r="BP6" s="16">
        <f t="shared" si="5"/>
        <v>0</v>
      </c>
      <c r="BQ6" s="16">
        <f t="shared" si="5"/>
        <v>5966.02</v>
      </c>
      <c r="BR6" s="16">
        <f t="shared" si="5"/>
        <v>48600.51</v>
      </c>
      <c r="BS6" s="16">
        <f t="shared" si="5"/>
        <v>0</v>
      </c>
      <c r="BT6" s="22">
        <f t="shared" si="5"/>
        <v>0</v>
      </c>
    </row>
    <row r="7" spans="1:72" s="2161" customFormat="1" ht="26">
      <c r="A7" s="2103" t="s">
        <v>1873</v>
      </c>
      <c r="B7" s="2103" t="s">
        <v>1874</v>
      </c>
      <c r="C7" s="2103" t="s">
        <v>1875</v>
      </c>
      <c r="D7" s="2103" t="s">
        <v>1876</v>
      </c>
      <c r="E7" s="2103" t="s">
        <v>1877</v>
      </c>
      <c r="F7" s="2103" t="s">
        <v>1878</v>
      </c>
      <c r="G7" s="2172" t="s">
        <v>1879</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1880</v>
      </c>
      <c r="AV7" s="23" t="s">
        <v>1881</v>
      </c>
      <c r="AW7" s="2160" t="s">
        <v>1882</v>
      </c>
      <c r="AX7" s="23" t="s">
        <v>1875</v>
      </c>
      <c r="AY7" s="1802" t="s">
        <v>1883</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6">
      <c r="A8" s="2176"/>
      <c r="B8" s="2176"/>
      <c r="C8" s="2176"/>
      <c r="D8" s="2176"/>
      <c r="E8" s="2176"/>
      <c r="F8" s="2176"/>
      <c r="G8" s="2177" t="s">
        <v>1884</v>
      </c>
      <c r="H8" s="2178" t="s">
        <v>1885</v>
      </c>
      <c r="I8" s="2179"/>
      <c r="J8" s="1817"/>
      <c r="K8" s="1817"/>
      <c r="L8" s="1817"/>
      <c r="M8" s="1817"/>
      <c r="N8" s="1817"/>
      <c r="O8" s="1817"/>
      <c r="P8" s="1817"/>
      <c r="Q8" s="1817"/>
      <c r="R8" s="1817"/>
      <c r="S8" s="1817"/>
      <c r="T8" s="1817"/>
      <c r="U8" s="1817"/>
      <c r="V8" s="2180"/>
      <c r="W8" s="1817"/>
      <c r="X8" s="1817"/>
      <c r="Y8" s="1817"/>
      <c r="Z8" s="1817"/>
      <c r="AA8" s="2180"/>
      <c r="AB8" s="2181"/>
      <c r="AC8" s="981" t="s">
        <v>1886</v>
      </c>
      <c r="AD8" s="2182"/>
      <c r="AE8" s="2174"/>
      <c r="AF8" s="1817"/>
      <c r="AG8" s="1817"/>
      <c r="AH8" s="1817"/>
      <c r="AI8" s="1817"/>
      <c r="AJ8" s="1817"/>
      <c r="AK8" s="1817"/>
      <c r="AL8" s="1817"/>
      <c r="AM8" s="1817"/>
      <c r="AN8" s="1817"/>
      <c r="AO8" s="1817"/>
      <c r="AP8" s="1817"/>
      <c r="AQ8" s="1817"/>
      <c r="AR8" s="1817"/>
      <c r="AS8" s="1817"/>
      <c r="AT8" s="1292" t="s">
        <v>1887</v>
      </c>
      <c r="AU8" s="2176" t="s">
        <v>1888</v>
      </c>
      <c r="AV8" s="1292"/>
      <c r="AW8" s="2159"/>
      <c r="AX8" s="1292"/>
      <c r="AY8" s="2160"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3" customFormat="1" ht="13">
      <c r="A9" s="2176"/>
      <c r="B9" s="2176"/>
      <c r="C9" s="2176"/>
      <c r="D9" s="2176"/>
      <c r="E9" s="2176"/>
      <c r="F9" s="2176"/>
      <c r="G9" s="1292"/>
      <c r="H9" s="2184" t="s">
        <v>1891</v>
      </c>
      <c r="I9" s="2185" t="s">
        <v>3202</v>
      </c>
      <c r="J9" s="981"/>
      <c r="K9" s="2185" t="s">
        <v>3296</v>
      </c>
      <c r="L9" s="981"/>
      <c r="M9" s="2185" t="s">
        <v>3202</v>
      </c>
      <c r="N9" s="981"/>
      <c r="O9" s="2185"/>
      <c r="P9" s="981"/>
      <c r="Q9" s="2185"/>
      <c r="R9" s="981"/>
      <c r="S9" s="2185"/>
      <c r="T9" s="981"/>
      <c r="U9" s="2185"/>
      <c r="V9" s="981"/>
      <c r="W9" s="2185"/>
      <c r="X9" s="2186"/>
      <c r="Y9" s="2185"/>
      <c r="Z9" s="981"/>
      <c r="AA9" s="2185"/>
      <c r="AB9" s="981"/>
      <c r="AC9" s="2177"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7"/>
      <c r="AT9" s="2176"/>
      <c r="AU9" s="2176" t="s">
        <v>1894</v>
      </c>
      <c r="AV9" s="1292"/>
      <c r="AW9" s="2159"/>
      <c r="AX9" s="1292"/>
      <c r="AY9" s="28"/>
      <c r="AZ9" s="28" t="s">
        <v>1884</v>
      </c>
      <c r="BA9" s="2188" t="s">
        <v>1895</v>
      </c>
      <c r="BB9" s="2189"/>
      <c r="BC9" s="1338"/>
      <c r="BD9" s="1338"/>
      <c r="BE9" s="1338"/>
      <c r="BF9" s="1338"/>
      <c r="BG9" s="1338"/>
      <c r="BH9" s="1338"/>
      <c r="BI9" s="1338"/>
      <c r="BJ9" s="1338"/>
      <c r="BK9" s="2190"/>
      <c r="BL9" s="15" t="s">
        <v>1896</v>
      </c>
      <c r="BM9" s="1817"/>
      <c r="BN9" s="2179"/>
      <c r="BO9" s="1817"/>
      <c r="BP9" s="1817"/>
      <c r="BQ9" s="1817"/>
      <c r="BR9" s="1817"/>
      <c r="BS9" s="1817"/>
      <c r="BT9" s="26"/>
    </row>
    <row r="10" spans="1:72" s="2183" customFormat="1" ht="13">
      <c r="A10" s="2176"/>
      <c r="B10" s="2176"/>
      <c r="C10" s="2176"/>
      <c r="D10" s="2176"/>
      <c r="E10" s="2176"/>
      <c r="F10" s="2176"/>
      <c r="G10" s="1292"/>
      <c r="H10" s="28"/>
      <c r="I10" s="2185" t="s">
        <v>1373</v>
      </c>
      <c r="J10" s="981"/>
      <c r="K10" s="2191" t="s">
        <v>1373</v>
      </c>
      <c r="L10" s="981"/>
      <c r="M10" s="2191" t="s">
        <v>1373</v>
      </c>
      <c r="N10" s="981"/>
      <c r="O10" s="2191"/>
      <c r="P10" s="981"/>
      <c r="Q10" s="2191"/>
      <c r="R10" s="981"/>
      <c r="S10" s="2191"/>
      <c r="T10" s="981"/>
      <c r="U10" s="2191"/>
      <c r="V10" s="981"/>
      <c r="W10" s="2191"/>
      <c r="X10" s="981"/>
      <c r="Y10" s="2191"/>
      <c r="Z10" s="981"/>
      <c r="AA10" s="2191"/>
      <c r="AB10" s="981"/>
      <c r="AC10" s="1292"/>
      <c r="AD10" s="15" t="s">
        <v>1897</v>
      </c>
      <c r="AE10" s="2192"/>
      <c r="AF10" s="15" t="s">
        <v>1897</v>
      </c>
      <c r="AG10" s="2192"/>
      <c r="AH10" s="15" t="s">
        <v>1898</v>
      </c>
      <c r="AI10" s="2192"/>
      <c r="AJ10" s="15" t="s">
        <v>1898</v>
      </c>
      <c r="AK10" s="2192"/>
      <c r="AL10" s="15" t="s">
        <v>1899</v>
      </c>
      <c r="AM10" s="1298"/>
      <c r="AN10" s="15" t="s">
        <v>1899</v>
      </c>
      <c r="AO10" s="1298"/>
      <c r="AP10" s="15" t="s">
        <v>1900</v>
      </c>
      <c r="AQ10" s="1298"/>
      <c r="AR10" s="15" t="s">
        <v>1900</v>
      </c>
      <c r="AS10" s="1298"/>
      <c r="AT10" s="2176"/>
      <c r="AU10" s="2176"/>
      <c r="AV10" s="1292"/>
      <c r="AW10" s="2159"/>
      <c r="AX10" s="1292"/>
      <c r="AY10" s="28"/>
      <c r="AZ10" s="28"/>
      <c r="BA10" s="2193" t="s">
        <v>1891</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5" t="str">
        <f>AR9</f>
        <v>地下</v>
      </c>
    </row>
    <row r="11" spans="1:72" s="2183" customFormat="1" ht="13">
      <c r="A11" s="2176"/>
      <c r="B11" s="2176"/>
      <c r="C11" s="2176"/>
      <c r="D11" s="2176"/>
      <c r="E11" s="2176"/>
      <c r="F11" s="2176"/>
      <c r="G11" s="1292"/>
      <c r="H11" s="2193"/>
      <c r="I11" s="2196" t="s">
        <v>3203</v>
      </c>
      <c r="J11" s="2197"/>
      <c r="K11" s="2196" t="s">
        <v>3203</v>
      </c>
      <c r="L11" s="2197"/>
      <c r="M11" s="2196" t="s">
        <v>3299</v>
      </c>
      <c r="N11" s="2197"/>
      <c r="O11" s="2196"/>
      <c r="P11" s="2197"/>
      <c r="Q11" s="2196"/>
      <c r="R11" s="2197"/>
      <c r="S11" s="2196"/>
      <c r="T11" s="2197"/>
      <c r="U11" s="2196"/>
      <c r="V11" s="2197"/>
      <c r="W11" s="2196"/>
      <c r="X11" s="2197"/>
      <c r="Y11" s="2196"/>
      <c r="Z11" s="2197"/>
      <c r="AA11" s="2196"/>
      <c r="AB11" s="2197"/>
      <c r="AC11" s="1292"/>
      <c r="AD11" s="2198" t="s">
        <v>1901</v>
      </c>
      <c r="AE11" s="1818"/>
      <c r="AF11" s="2198" t="s">
        <v>1901</v>
      </c>
      <c r="AG11" s="1818"/>
      <c r="AH11" s="2198" t="s">
        <v>1902</v>
      </c>
      <c r="AI11" s="2199"/>
      <c r="AJ11" s="2198" t="s">
        <v>1902</v>
      </c>
      <c r="AK11" s="1818"/>
      <c r="AL11" s="1816"/>
      <c r="AM11" s="1818"/>
      <c r="AN11" s="1816"/>
      <c r="AO11" s="1818"/>
      <c r="AP11" s="1816"/>
      <c r="AQ11" s="1818"/>
      <c r="AR11" s="1816"/>
      <c r="AS11" s="1818"/>
      <c r="AT11" s="2159"/>
      <c r="AU11" s="2176"/>
      <c r="AV11" s="1292"/>
      <c r="AW11" s="2159"/>
      <c r="AX11" s="1292"/>
      <c r="AY11" s="28"/>
      <c r="AZ11" s="28"/>
      <c r="BA11" s="28"/>
      <c r="BB11" s="2181" t="str">
        <f>I10</f>
        <v>商业</v>
      </c>
      <c r="BC11" s="2181" t="str">
        <f>K10</f>
        <v>商业</v>
      </c>
      <c r="BD11" s="2181" t="str">
        <f>M10</f>
        <v>商业</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
      <c r="A12" s="2201"/>
      <c r="B12" s="2201"/>
      <c r="C12" s="2201"/>
      <c r="D12" s="2201"/>
      <c r="E12" s="2201"/>
      <c r="F12" s="2201"/>
      <c r="G12" s="30"/>
      <c r="H12" s="2202"/>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3"/>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1" t="s">
        <v>1904</v>
      </c>
      <c r="AT12" s="2204"/>
      <c r="AU12" s="2201"/>
      <c r="AV12" s="31"/>
      <c r="AW12" s="2160"/>
      <c r="AX12" s="31"/>
      <c r="AY12" s="2205"/>
      <c r="AZ12" s="28"/>
      <c r="BA12" s="2193"/>
      <c r="BB12" s="24" t="str">
        <f>I11</f>
        <v>独栋</v>
      </c>
      <c r="BC12" s="2206" t="str">
        <f>K11</f>
        <v>独栋</v>
      </c>
      <c r="BD12" s="2206" t="str">
        <f>M11</f>
        <v>公寓</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0">
        <f>AR11</f>
        <v>0</v>
      </c>
    </row>
    <row r="13" spans="1:72" s="2161" customFormat="1" ht="26">
      <c r="A13" s="1272"/>
      <c r="B13" s="1272"/>
      <c r="C13" s="2994" t="s">
        <v>3302</v>
      </c>
      <c r="D13" s="2207" t="s">
        <v>3204</v>
      </c>
      <c r="E13" s="16">
        <f>IF($C$3="是",ROUND($A$3*G13/$B$3,2),ROUND($A$3*(G13-AT13)/$B$3,2))</f>
        <v>27687.59</v>
      </c>
      <c r="F13" s="32"/>
      <c r="G13" s="33">
        <f>H13+AC13+AT13</f>
        <v>34703.06</v>
      </c>
      <c r="H13" s="20">
        <f>SUMIF(I$12:AB$12,"总值",I13:AB13)</f>
        <v>8777.06</v>
      </c>
      <c r="I13" s="2208">
        <f>'未售3.23'!L6</f>
        <v>7948.0999999999995</v>
      </c>
      <c r="J13" s="2208"/>
      <c r="K13" s="2208">
        <f>'未售3.23'!M6</f>
        <v>828.96</v>
      </c>
      <c r="L13" s="2208"/>
      <c r="M13" s="2208"/>
      <c r="N13" s="2208"/>
      <c r="O13" s="2208"/>
      <c r="P13" s="2208"/>
      <c r="Q13" s="2208"/>
      <c r="R13" s="2208"/>
      <c r="S13" s="2208"/>
      <c r="T13" s="2208"/>
      <c r="U13" s="2208"/>
      <c r="V13" s="2208"/>
      <c r="W13" s="2208"/>
      <c r="X13" s="2208"/>
      <c r="Y13" s="2208"/>
      <c r="Z13" s="2208"/>
      <c r="AA13" s="2208"/>
      <c r="AB13" s="2208"/>
      <c r="AC13" s="16">
        <f>SUMIF(AD$12:AS$12,"总值",AD13:AS13)</f>
        <v>25926</v>
      </c>
      <c r="AD13" s="2209"/>
      <c r="AE13" s="2209"/>
      <c r="AF13" s="2209"/>
      <c r="AG13" s="2209"/>
      <c r="AH13" s="2209"/>
      <c r="AI13" s="2209"/>
      <c r="AJ13" s="2209"/>
      <c r="AK13" s="2209"/>
      <c r="AL13" s="2209"/>
      <c r="AM13" s="2209"/>
      <c r="AN13" s="3023">
        <f>'未售3.23'!O12</f>
        <v>25926</v>
      </c>
      <c r="AO13" s="2209"/>
      <c r="AP13" s="2209"/>
      <c r="AQ13" s="2209"/>
      <c r="AR13" s="2209"/>
      <c r="AS13" s="2209"/>
      <c r="AT13" s="2210"/>
      <c r="AU13" s="2211"/>
      <c r="AV13" s="11">
        <f t="shared" ref="AV13:AX17" si="6">A13</f>
        <v>0</v>
      </c>
      <c r="AW13" s="11">
        <f t="shared" si="6"/>
        <v>0</v>
      </c>
      <c r="AX13" s="11" t="str">
        <f t="shared" si="6"/>
        <v>三期别墅未售</v>
      </c>
      <c r="AY13" s="1805">
        <f>ROUND($AY$6*AZ13/$AZ$5,2)</f>
        <v>28686.11</v>
      </c>
      <c r="AZ13" s="16">
        <f>BA13+BL13</f>
        <v>34703.06</v>
      </c>
      <c r="BA13" s="16">
        <f>SUM(BB13:BK13)</f>
        <v>8777.06</v>
      </c>
      <c r="BB13" s="16">
        <f>IF($D13="是",I13-J13,0)</f>
        <v>7948.0999999999995</v>
      </c>
      <c r="BC13" s="16">
        <f>IF($D13="是",K13-L13,0)</f>
        <v>828.96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25926</v>
      </c>
      <c r="BM13" s="16">
        <f>IF($D13="是",AD13-AE13,0)</f>
        <v>0</v>
      </c>
      <c r="BN13" s="16">
        <f>IF($D13="是",AF13-AG13,0)</f>
        <v>0</v>
      </c>
      <c r="BO13" s="16">
        <f>IF($D13="是",AH13-AI13,0)</f>
        <v>0</v>
      </c>
      <c r="BP13" s="16">
        <f>IF($D13="是",AJ13-AK13,0)</f>
        <v>0</v>
      </c>
      <c r="BQ13" s="16">
        <f>IF($D13="是",AL13-AM13,0)</f>
        <v>0</v>
      </c>
      <c r="BR13" s="16">
        <f>IF($D13="是",AN13-AO13,0)</f>
        <v>25926</v>
      </c>
      <c r="BS13" s="16">
        <f>IF($D13="是",AP13-AQ13,0)</f>
        <v>0</v>
      </c>
      <c r="BT13" s="22">
        <f>IF($D13="是",AR13-AS13,0)</f>
        <v>0</v>
      </c>
    </row>
    <row r="14" spans="1:72" s="2161" customFormat="1" ht="26">
      <c r="A14" s="1272"/>
      <c r="B14" s="1272"/>
      <c r="C14" s="2995" t="s">
        <v>3303</v>
      </c>
      <c r="D14" s="2207" t="s">
        <v>3205</v>
      </c>
      <c r="E14" s="16">
        <f>IF($C$3="是",ROUND($A$3*G14/$B$3,2),ROUND($A$3*(G14-AT14)/$B$3,2))</f>
        <v>19658.48</v>
      </c>
      <c r="F14" s="32"/>
      <c r="G14" s="33">
        <f>H14+AC14+AT14</f>
        <v>24639.54</v>
      </c>
      <c r="H14" s="20">
        <f>SUMIF(I$12:AB$12,"总值",I14:AB14)</f>
        <v>6253.54</v>
      </c>
      <c r="I14" s="2208">
        <f>'未售3.23'!Q6</f>
        <v>5678.92</v>
      </c>
      <c r="J14" s="2208"/>
      <c r="K14" s="2208">
        <f>'未售3.23'!R6</f>
        <v>574.62</v>
      </c>
      <c r="L14" s="2208"/>
      <c r="M14" s="2208"/>
      <c r="N14" s="2208"/>
      <c r="O14" s="2208"/>
      <c r="P14" s="2208"/>
      <c r="Q14" s="2208"/>
      <c r="R14" s="2208"/>
      <c r="S14" s="2208"/>
      <c r="T14" s="2208"/>
      <c r="U14" s="2208"/>
      <c r="V14" s="2208"/>
      <c r="W14" s="2208"/>
      <c r="X14" s="2208"/>
      <c r="Y14" s="2208"/>
      <c r="Z14" s="2208"/>
      <c r="AA14" s="2208"/>
      <c r="AB14" s="2208"/>
      <c r="AC14" s="16">
        <f>SUMIF(AD$12:AS$12,"总值",AD14:AS14)</f>
        <v>18386</v>
      </c>
      <c r="AD14" s="2209"/>
      <c r="AE14" s="2209"/>
      <c r="AF14" s="2209"/>
      <c r="AG14" s="2209"/>
      <c r="AH14" s="2209"/>
      <c r="AI14" s="2209"/>
      <c r="AJ14" s="2209"/>
      <c r="AK14" s="2209"/>
      <c r="AL14" s="2209"/>
      <c r="AM14" s="2209"/>
      <c r="AN14" s="3023">
        <f>'未售3.23'!R12</f>
        <v>18386</v>
      </c>
      <c r="AO14" s="2209"/>
      <c r="AP14" s="2209"/>
      <c r="AQ14" s="2209"/>
      <c r="AR14" s="2209"/>
      <c r="AS14" s="2209"/>
      <c r="AT14" s="2210"/>
      <c r="AU14" s="2211"/>
      <c r="AV14" s="11">
        <f t="shared" si="6"/>
        <v>0</v>
      </c>
      <c r="AW14" s="11">
        <f t="shared" si="6"/>
        <v>0</v>
      </c>
      <c r="AX14" s="11" t="str">
        <f t="shared" si="6"/>
        <v>三期别墅已售</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7.25" customHeight="1">
      <c r="A15" s="1272"/>
      <c r="B15" s="1272"/>
      <c r="C15" s="2995" t="s">
        <v>3206</v>
      </c>
      <c r="D15" s="2207" t="s">
        <v>3205</v>
      </c>
      <c r="E15" s="16">
        <f>IF($C$3="是",ROUND($A$3*G15/$B$3,2),ROUND($A$3*(G15-AT15)/$B$3,2))</f>
        <v>26525.18</v>
      </c>
      <c r="F15" s="32"/>
      <c r="G15" s="33">
        <f>H15+AC15+AT15</f>
        <v>33246.120000000003</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33246.120000000003</v>
      </c>
      <c r="AD15" s="2209"/>
      <c r="AE15" s="2209"/>
      <c r="AF15" s="2209"/>
      <c r="AG15" s="2209"/>
      <c r="AH15" s="2209"/>
      <c r="AI15" s="2209"/>
      <c r="AJ15" s="2209"/>
      <c r="AK15" s="2209"/>
      <c r="AL15" s="2209">
        <f>面积表!N14</f>
        <v>619.57000000000005</v>
      </c>
      <c r="AM15" s="2209"/>
      <c r="AN15" s="1273">
        <f>面积表!Q14+面积表!Q15+面积表!Q16+面积表!Q17</f>
        <v>32626.55</v>
      </c>
      <c r="AO15" s="1273"/>
      <c r="AP15" s="2209"/>
      <c r="AQ15" s="2209"/>
      <c r="AR15" s="2209"/>
      <c r="AS15" s="2209"/>
      <c r="AT15" s="2210"/>
      <c r="AU15" s="2211"/>
      <c r="AV15" s="11">
        <f t="shared" si="6"/>
        <v>0</v>
      </c>
      <c r="AW15" s="11">
        <f t="shared" si="6"/>
        <v>0</v>
      </c>
      <c r="AX15" s="11" t="str">
        <f t="shared" si="6"/>
        <v>配套</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26">
      <c r="A16" s="1272"/>
      <c r="B16" s="1272"/>
      <c r="C16" s="2995" t="s">
        <v>3300</v>
      </c>
      <c r="D16" s="2207" t="s">
        <v>3204</v>
      </c>
      <c r="E16" s="16">
        <f>IF($C$3="是",ROUND($A$3*G16/$B$3,2),ROUND($A$3*(G16-AT16)/$B$3,2))</f>
        <v>48261.24</v>
      </c>
      <c r="F16" s="32"/>
      <c r="G16" s="33">
        <f>H16+AC16+AT16</f>
        <v>60489.659999999996</v>
      </c>
      <c r="H16" s="20">
        <f>SUMIF(I$12:AB$12,"总值",I16:AB16)</f>
        <v>26144.92</v>
      </c>
      <c r="I16" s="2208"/>
      <c r="J16" s="2208"/>
      <c r="K16" s="2208"/>
      <c r="L16" s="2208"/>
      <c r="M16" s="2208">
        <f>面积表!N20-AL16</f>
        <v>26144.92</v>
      </c>
      <c r="N16" s="2208"/>
      <c r="O16" s="2208"/>
      <c r="P16" s="2208"/>
      <c r="Q16" s="2208"/>
      <c r="R16" s="2208"/>
      <c r="S16" s="2208"/>
      <c r="T16" s="2208"/>
      <c r="U16" s="2208"/>
      <c r="V16" s="2208"/>
      <c r="W16" s="2208"/>
      <c r="X16" s="2208"/>
      <c r="Y16" s="2208"/>
      <c r="Z16" s="2208"/>
      <c r="AA16" s="2208"/>
      <c r="AB16" s="2208"/>
      <c r="AC16" s="16">
        <f>SUMIF(AD$12:AS$12,"总值",AD16:AS16)</f>
        <v>34344.74</v>
      </c>
      <c r="AD16" s="2209"/>
      <c r="AE16" s="2209"/>
      <c r="AF16" s="2209"/>
      <c r="AG16" s="2209"/>
      <c r="AH16" s="2209"/>
      <c r="AI16" s="2209"/>
      <c r="AJ16" s="2209"/>
      <c r="AK16" s="2209"/>
      <c r="AL16" s="2209">
        <v>7217.4</v>
      </c>
      <c r="AM16" s="2209"/>
      <c r="AN16" s="2209">
        <f>面积表!Q20</f>
        <v>27127.34</v>
      </c>
      <c r="AO16" s="2209"/>
      <c r="AP16" s="2209"/>
      <c r="AQ16" s="2209"/>
      <c r="AR16" s="2209"/>
      <c r="AS16" s="2209"/>
      <c r="AT16" s="2210"/>
      <c r="AU16" s="2211"/>
      <c r="AV16" s="11">
        <f t="shared" si="6"/>
        <v>0</v>
      </c>
      <c r="AW16" s="11">
        <f t="shared" si="6"/>
        <v>0</v>
      </c>
      <c r="AX16" s="11" t="str">
        <f t="shared" si="6"/>
        <v>四期高层酒店</v>
      </c>
      <c r="AY16" s="1805">
        <f>ROUND($AY$6*AZ16/$AZ$5,2)</f>
        <v>50001.74</v>
      </c>
      <c r="AZ16" s="16">
        <f>BA16+BL16</f>
        <v>60489.659999999996</v>
      </c>
      <c r="BA16" s="16">
        <f>SUM(BB16:BK16)</f>
        <v>26144.92</v>
      </c>
      <c r="BB16" s="16">
        <f>IF($D16="是",I16-J16,0)</f>
        <v>0</v>
      </c>
      <c r="BC16" s="16">
        <f>IF($D16="是",K16-L16,0)</f>
        <v>0</v>
      </c>
      <c r="BD16" s="16">
        <f>IF($D16="是",M16-N16,0)</f>
        <v>26144.92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34344.74</v>
      </c>
      <c r="BM16" s="16">
        <f>IF($D16="是",AD16-AE16,0)</f>
        <v>0</v>
      </c>
      <c r="BN16" s="16">
        <f>IF($D16="是",AF16-AG16,0)</f>
        <v>0</v>
      </c>
      <c r="BO16" s="16">
        <f>IF($D16="是",AH16-AI16,0)</f>
        <v>0</v>
      </c>
      <c r="BP16" s="16">
        <f>IF($D16="是",AJ16-AK16,0)</f>
        <v>0</v>
      </c>
      <c r="BQ16" s="16">
        <f>IF($D16="是",AL16-AM16,0)</f>
        <v>7217.4</v>
      </c>
      <c r="BR16" s="16">
        <f>IF($D16="是",AN16-AO16,0)</f>
        <v>27127.34</v>
      </c>
      <c r="BS16" s="16">
        <f>IF($D16="是",AP16-AQ16,0)</f>
        <v>0</v>
      </c>
      <c r="BT16" s="22">
        <f>IF($D16="是",AR16-AS16,0)</f>
        <v>0</v>
      </c>
    </row>
    <row r="17" spans="1:72" s="2161" customFormat="1" ht="20.25" customHeight="1">
      <c r="A17" s="1272"/>
      <c r="B17" s="1272"/>
      <c r="C17" s="2995" t="s">
        <v>3301</v>
      </c>
      <c r="D17" s="2207" t="s">
        <v>3204</v>
      </c>
      <c r="E17" s="16">
        <f>IF($C$3="是",ROUND($A$3*G17/$B$3,2),ROUND($A$3*(G17-AT17)/$B$3,2))</f>
        <v>9319.91</v>
      </c>
      <c r="F17" s="32"/>
      <c r="G17" s="33">
        <f>H17+AC17+AT17</f>
        <v>11681.380000000001</v>
      </c>
      <c r="H17" s="20">
        <f>SUMIF(I$12:AB$12,"总值",I17:AB17)</f>
        <v>5940.2</v>
      </c>
      <c r="I17" s="2208">
        <f>面积表!M23+面积表!M24+面积表!M25</f>
        <v>5940.2</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5741.18</v>
      </c>
      <c r="AD17" s="2209"/>
      <c r="AE17" s="2209"/>
      <c r="AF17" s="2209"/>
      <c r="AG17" s="2209"/>
      <c r="AH17" s="2209"/>
      <c r="AI17" s="2209"/>
      <c r="AJ17" s="2209"/>
      <c r="AK17" s="2209"/>
      <c r="AL17" s="2209"/>
      <c r="AM17" s="2209"/>
      <c r="AN17" s="2209">
        <f>面积表!Q26</f>
        <v>5741.18</v>
      </c>
      <c r="AO17" s="2209"/>
      <c r="AP17" s="2209"/>
      <c r="AQ17" s="2209"/>
      <c r="AR17" s="2209"/>
      <c r="AS17" s="2209"/>
      <c r="AT17" s="2210"/>
      <c r="AU17" s="2211"/>
      <c r="AV17" s="11">
        <f t="shared" si="6"/>
        <v>0</v>
      </c>
      <c r="AW17" s="11">
        <f t="shared" si="6"/>
        <v>0</v>
      </c>
      <c r="AX17" s="11" t="str">
        <f t="shared" si="6"/>
        <v>四期别墅</v>
      </c>
      <c r="AY17" s="1805">
        <f>ROUND($AY$6*AZ17/$AZ$5,2)</f>
        <v>9656.02</v>
      </c>
      <c r="AZ17" s="16">
        <f>BA17+BL17</f>
        <v>11681.380000000001</v>
      </c>
      <c r="BA17" s="16">
        <f>SUM(BB17:BK17)</f>
        <v>5940.2</v>
      </c>
      <c r="BB17" s="16">
        <f>IF($D17="是",I17-J17,0)</f>
        <v>5940.2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5741.18</v>
      </c>
      <c r="BM17" s="16">
        <f>IF($D17="是",AD17-AE17,0)</f>
        <v>0</v>
      </c>
      <c r="BN17" s="16">
        <f>IF($D17="是",AF17-AG17,0)</f>
        <v>0</v>
      </c>
      <c r="BO17" s="16">
        <f>IF($D17="是",AH17-AI17,0)</f>
        <v>0</v>
      </c>
      <c r="BP17" s="16">
        <f>IF($D17="是",AJ17-AK17,0)</f>
        <v>0</v>
      </c>
      <c r="BQ17" s="16">
        <f>IF($D17="是",AL17-AM17,0)</f>
        <v>0</v>
      </c>
      <c r="BR17" s="16">
        <f>IF($D17="是",AN17-AO17,0)</f>
        <v>5741.18</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42" t="s">
        <v>0</v>
      </c>
      <c r="B1" s="3142" t="s">
        <v>4</v>
      </c>
      <c r="C1" s="3142" t="s">
        <v>5</v>
      </c>
      <c r="D1" s="3143" t="s">
        <v>53</v>
      </c>
      <c r="E1" s="3143" t="s">
        <v>54</v>
      </c>
      <c r="F1" s="3143"/>
      <c r="G1" s="3143"/>
      <c r="H1" s="3143"/>
      <c r="I1" s="3143"/>
      <c r="J1" s="3143"/>
      <c r="K1" s="3143"/>
      <c r="L1" s="3143"/>
      <c r="M1" s="3143"/>
    </row>
    <row r="2" spans="1:13" ht="27" customHeight="1">
      <c r="A2" s="3142"/>
      <c r="B2" s="3142"/>
      <c r="C2" s="3142"/>
      <c r="D2" s="3143"/>
      <c r="E2" s="3143" t="s">
        <v>37</v>
      </c>
      <c r="F2" s="3143" t="s">
        <v>38</v>
      </c>
      <c r="G2" s="3143"/>
      <c r="H2" s="3143"/>
      <c r="I2" s="3143"/>
      <c r="J2" s="3143" t="s">
        <v>39</v>
      </c>
      <c r="K2" s="3143"/>
      <c r="L2" s="3143"/>
      <c r="M2" s="3143"/>
    </row>
    <row r="3" spans="1:13" ht="45">
      <c r="A3" s="3142"/>
      <c r="B3" s="3142"/>
      <c r="C3" s="3142"/>
      <c r="D3" s="3143"/>
      <c r="E3" s="314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3" t="s">
        <v>55</v>
      </c>
      <c r="B9" s="3143"/>
      <c r="C9" s="31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3BFC4-47DE-4C75-8529-6C767C8125AB}">
  <sheetPr>
    <tabColor rgb="FFFF0000"/>
  </sheetPr>
  <dimension ref="A1:S101"/>
  <sheetViews>
    <sheetView topLeftCell="D4" workbookViewId="0">
      <selection activeCell="M17" sqref="M17"/>
    </sheetView>
  </sheetViews>
  <sheetFormatPr defaultRowHeight="14"/>
  <cols>
    <col min="5" max="5" width="13.54296875" customWidth="1"/>
    <col min="11" max="11" width="10.08984375" customWidth="1"/>
  </cols>
  <sheetData>
    <row r="1" spans="1:19" ht="14.5">
      <c r="A1" s="3046" t="s">
        <v>3128</v>
      </c>
      <c r="B1" s="3047" t="s">
        <v>3394</v>
      </c>
      <c r="C1" s="3047" t="s">
        <v>3395</v>
      </c>
      <c r="D1" s="3048" t="s">
        <v>3396</v>
      </c>
      <c r="E1" s="3049" t="s">
        <v>3397</v>
      </c>
      <c r="F1" s="3050" t="s">
        <v>3398</v>
      </c>
      <c r="G1" s="3050" t="s">
        <v>3371</v>
      </c>
      <c r="H1" s="3050" t="s">
        <v>3399</v>
      </c>
      <c r="I1" s="3050" t="s">
        <v>3400</v>
      </c>
    </row>
    <row r="2" spans="1:19" ht="14.5">
      <c r="A2" s="3051">
        <v>1</v>
      </c>
      <c r="B2" s="3052" t="s">
        <v>3401</v>
      </c>
      <c r="C2" s="3053" t="s">
        <v>3402</v>
      </c>
      <c r="D2" s="3054" t="s">
        <v>3129</v>
      </c>
      <c r="E2" s="3055">
        <v>84.56</v>
      </c>
      <c r="F2" s="3054" t="s">
        <v>3403</v>
      </c>
      <c r="G2" s="3056" t="s">
        <v>3404</v>
      </c>
      <c r="H2" s="3052" t="s">
        <v>3405</v>
      </c>
      <c r="I2" s="3057" t="s">
        <v>3130</v>
      </c>
      <c r="L2" s="3003" t="s">
        <v>3295</v>
      </c>
      <c r="M2" s="3003" t="s">
        <v>3297</v>
      </c>
      <c r="P2" s="3003" t="s">
        <v>3298</v>
      </c>
      <c r="Q2" s="3003" t="s">
        <v>3295</v>
      </c>
      <c r="R2" s="3003" t="s">
        <v>3297</v>
      </c>
    </row>
    <row r="3" spans="1:19" ht="14.5">
      <c r="A3" s="3051">
        <v>2</v>
      </c>
      <c r="B3" s="3052" t="s">
        <v>3401</v>
      </c>
      <c r="C3" s="3053" t="s">
        <v>3402</v>
      </c>
      <c r="D3" s="3054" t="s">
        <v>3131</v>
      </c>
      <c r="E3" s="3055">
        <v>84.56</v>
      </c>
      <c r="F3" s="3054" t="s">
        <v>3406</v>
      </c>
      <c r="G3" s="3056" t="s">
        <v>3404</v>
      </c>
      <c r="H3" s="3052" t="s">
        <v>3405</v>
      </c>
      <c r="I3" s="3057" t="s">
        <v>3130</v>
      </c>
      <c r="J3" s="3003" t="s">
        <v>3292</v>
      </c>
      <c r="K3">
        <v>88</v>
      </c>
      <c r="L3">
        <v>75.14</v>
      </c>
      <c r="M3">
        <v>9.42</v>
      </c>
      <c r="N3">
        <f>SUM(L3:M3)</f>
        <v>84.56</v>
      </c>
      <c r="P3">
        <f>149-K3</f>
        <v>61</v>
      </c>
    </row>
    <row r="4" spans="1:19" ht="14.5">
      <c r="A4" s="3051">
        <v>3</v>
      </c>
      <c r="B4" s="3052" t="s">
        <v>3401</v>
      </c>
      <c r="C4" s="3053" t="s">
        <v>3402</v>
      </c>
      <c r="D4" s="3054" t="s">
        <v>3132</v>
      </c>
      <c r="E4" s="3055">
        <v>84.56</v>
      </c>
      <c r="F4" s="3054" t="s">
        <v>3406</v>
      </c>
      <c r="G4" s="3056" t="s">
        <v>3407</v>
      </c>
      <c r="H4" s="3052" t="s">
        <v>3405</v>
      </c>
      <c r="I4" s="3057" t="s">
        <v>3130</v>
      </c>
      <c r="J4" s="3003" t="s">
        <v>3293</v>
      </c>
      <c r="K4">
        <v>3</v>
      </c>
      <c r="L4">
        <v>122.14</v>
      </c>
      <c r="M4">
        <v>0</v>
      </c>
      <c r="N4">
        <f>SUM(L4:M4)</f>
        <v>122.14</v>
      </c>
      <c r="P4">
        <f>8-K4</f>
        <v>5</v>
      </c>
    </row>
    <row r="5" spans="1:19" ht="14.5">
      <c r="A5" s="3051">
        <v>4</v>
      </c>
      <c r="B5" s="3052" t="s">
        <v>3401</v>
      </c>
      <c r="C5" s="3053" t="s">
        <v>3408</v>
      </c>
      <c r="D5" s="3054" t="s">
        <v>3135</v>
      </c>
      <c r="E5" s="3055">
        <v>84.56</v>
      </c>
      <c r="F5" s="3054" t="s">
        <v>3409</v>
      </c>
      <c r="G5" s="3056" t="s">
        <v>3404</v>
      </c>
      <c r="H5" s="3052" t="s">
        <v>3410</v>
      </c>
      <c r="I5" s="3057" t="s">
        <v>3130</v>
      </c>
      <c r="J5" s="3003" t="s">
        <v>3294</v>
      </c>
      <c r="K5">
        <v>8</v>
      </c>
      <c r="L5">
        <v>121.17</v>
      </c>
      <c r="M5">
        <v>0</v>
      </c>
      <c r="N5">
        <f>SUM(L5:M5)</f>
        <v>121.17</v>
      </c>
      <c r="P5">
        <f>12-K5</f>
        <v>4</v>
      </c>
    </row>
    <row r="6" spans="1:19" ht="14.5">
      <c r="A6" s="3051">
        <v>5</v>
      </c>
      <c r="B6" s="3052" t="s">
        <v>3401</v>
      </c>
      <c r="C6" s="3053" t="s">
        <v>3402</v>
      </c>
      <c r="D6" s="3054" t="s">
        <v>3142</v>
      </c>
      <c r="E6" s="3055">
        <v>84.56</v>
      </c>
      <c r="F6" s="3054" t="s">
        <v>3406</v>
      </c>
      <c r="G6" s="3056" t="s">
        <v>3404</v>
      </c>
      <c r="H6" s="3052" t="s">
        <v>3405</v>
      </c>
      <c r="I6" s="3057" t="s">
        <v>3130</v>
      </c>
      <c r="K6">
        <f>SUM(K3:K5)</f>
        <v>99</v>
      </c>
      <c r="L6">
        <f>L3*K3+L4*K4+L5*K5</f>
        <v>7948.0999999999995</v>
      </c>
      <c r="M6">
        <f>M3*K3</f>
        <v>828.96</v>
      </c>
      <c r="N6">
        <f>N3*K3+N4*K4+N5*K5</f>
        <v>8777.0600000000013</v>
      </c>
      <c r="P6">
        <f>SUM(P3:P5)</f>
        <v>70</v>
      </c>
      <c r="Q6">
        <f>L3*P3+L4*P4+L5*P5</f>
        <v>5678.92</v>
      </c>
      <c r="R6">
        <f>M3*P3</f>
        <v>574.62</v>
      </c>
      <c r="S6">
        <f>SUM(Q6:R6)</f>
        <v>6253.54</v>
      </c>
    </row>
    <row r="7" spans="1:19" ht="14.5">
      <c r="A7" s="3051">
        <v>6</v>
      </c>
      <c r="B7" s="3052" t="s">
        <v>3401</v>
      </c>
      <c r="C7" s="3053" t="s">
        <v>3402</v>
      </c>
      <c r="D7" s="3054" t="s">
        <v>3143</v>
      </c>
      <c r="E7" s="3055">
        <v>84.56</v>
      </c>
      <c r="F7" s="3054" t="s">
        <v>3406</v>
      </c>
      <c r="G7" s="3056" t="s">
        <v>3404</v>
      </c>
      <c r="H7" s="3052" t="s">
        <v>3405</v>
      </c>
      <c r="I7" s="3057" t="s">
        <v>3130</v>
      </c>
      <c r="J7" s="3003"/>
    </row>
    <row r="8" spans="1:19" ht="14.5">
      <c r="A8" s="3051">
        <v>7</v>
      </c>
      <c r="B8" s="3052" t="s">
        <v>3401</v>
      </c>
      <c r="C8" s="3053" t="s">
        <v>3402</v>
      </c>
      <c r="D8" s="3054" t="s">
        <v>3144</v>
      </c>
      <c r="E8" s="3055">
        <v>84.56</v>
      </c>
      <c r="F8" s="3054" t="s">
        <v>3406</v>
      </c>
      <c r="G8" s="3056" t="s">
        <v>3404</v>
      </c>
      <c r="H8" s="3052" t="s">
        <v>3405</v>
      </c>
      <c r="I8" s="3057" t="s">
        <v>3130</v>
      </c>
      <c r="N8" s="3003" t="s">
        <v>3357</v>
      </c>
      <c r="Q8" s="3003" t="s">
        <v>3298</v>
      </c>
    </row>
    <row r="9" spans="1:19" ht="14.5">
      <c r="A9" s="3051">
        <v>8</v>
      </c>
      <c r="B9" s="3052" t="s">
        <v>3401</v>
      </c>
      <c r="C9" s="3053" t="s">
        <v>3402</v>
      </c>
      <c r="D9" s="3054" t="s">
        <v>3145</v>
      </c>
      <c r="E9" s="3055">
        <v>84.56</v>
      </c>
      <c r="F9" s="3054" t="s">
        <v>3411</v>
      </c>
      <c r="G9" s="3056" t="s">
        <v>3404</v>
      </c>
      <c r="H9" s="3052" t="s">
        <v>3405</v>
      </c>
      <c r="I9" s="3057" t="s">
        <v>3130</v>
      </c>
      <c r="J9" s="3003" t="s">
        <v>3292</v>
      </c>
      <c r="L9">
        <v>84</v>
      </c>
      <c r="M9">
        <v>340</v>
      </c>
      <c r="N9">
        <f>M9-L9</f>
        <v>256</v>
      </c>
      <c r="O9">
        <f>N9*K3</f>
        <v>22528</v>
      </c>
      <c r="Q9">
        <f>P3</f>
        <v>61</v>
      </c>
      <c r="R9">
        <f>N9*Q9</f>
        <v>15616</v>
      </c>
    </row>
    <row r="10" spans="1:19" ht="14.5">
      <c r="A10" s="3051">
        <v>9</v>
      </c>
      <c r="B10" s="3052" t="s">
        <v>3401</v>
      </c>
      <c r="C10" s="3053" t="s">
        <v>3402</v>
      </c>
      <c r="D10" s="3054" t="s">
        <v>3146</v>
      </c>
      <c r="E10" s="3055">
        <v>84.56</v>
      </c>
      <c r="F10" s="3054" t="s">
        <v>3411</v>
      </c>
      <c r="G10" s="3056" t="s">
        <v>3404</v>
      </c>
      <c r="H10" s="3052" t="s">
        <v>3405</v>
      </c>
      <c r="I10" s="3057" t="s">
        <v>3130</v>
      </c>
      <c r="J10" s="3003" t="s">
        <v>3293</v>
      </c>
      <c r="L10">
        <v>122</v>
      </c>
      <c r="M10">
        <v>428</v>
      </c>
      <c r="N10">
        <f t="shared" ref="N10:N11" si="0">M10-L10</f>
        <v>306</v>
      </c>
      <c r="O10">
        <f>N10*K4</f>
        <v>918</v>
      </c>
      <c r="Q10">
        <f>P4</f>
        <v>5</v>
      </c>
      <c r="R10">
        <f t="shared" ref="R10:R11" si="1">N10*Q10</f>
        <v>1530</v>
      </c>
    </row>
    <row r="11" spans="1:19" ht="14.5">
      <c r="A11" s="3051">
        <v>10</v>
      </c>
      <c r="B11" s="3052" t="s">
        <v>3401</v>
      </c>
      <c r="C11" s="3053" t="s">
        <v>3402</v>
      </c>
      <c r="D11" s="3054" t="s">
        <v>3147</v>
      </c>
      <c r="E11" s="3055">
        <v>84.56</v>
      </c>
      <c r="F11" s="3054" t="s">
        <v>3406</v>
      </c>
      <c r="G11" s="3056" t="s">
        <v>3407</v>
      </c>
      <c r="H11" s="3052" t="s">
        <v>3405</v>
      </c>
      <c r="I11" s="3057" t="s">
        <v>3130</v>
      </c>
      <c r="J11" s="3003" t="s">
        <v>3294</v>
      </c>
      <c r="L11">
        <v>121</v>
      </c>
      <c r="M11">
        <v>431</v>
      </c>
      <c r="N11">
        <f t="shared" si="0"/>
        <v>310</v>
      </c>
      <c r="O11">
        <f>N11*K5</f>
        <v>2480</v>
      </c>
      <c r="Q11">
        <f>P5</f>
        <v>4</v>
      </c>
      <c r="R11">
        <f t="shared" si="1"/>
        <v>1240</v>
      </c>
    </row>
    <row r="12" spans="1:19" ht="14.5">
      <c r="A12" s="3051">
        <v>11</v>
      </c>
      <c r="B12" s="3052" t="s">
        <v>3401</v>
      </c>
      <c r="C12" s="3053" t="s">
        <v>3402</v>
      </c>
      <c r="D12" s="3054" t="s">
        <v>3148</v>
      </c>
      <c r="E12" s="3055">
        <v>84.56</v>
      </c>
      <c r="F12" s="3054" t="s">
        <v>3406</v>
      </c>
      <c r="G12" s="3056" t="s">
        <v>3407</v>
      </c>
      <c r="H12" s="3052" t="s">
        <v>3405</v>
      </c>
      <c r="I12" s="3057" t="s">
        <v>3130</v>
      </c>
      <c r="O12">
        <f>SUM(O9:O11)</f>
        <v>25926</v>
      </c>
      <c r="Q12">
        <f>SUM(Q9:Q11)</f>
        <v>70</v>
      </c>
      <c r="R12">
        <f>SUM(R9:R11)</f>
        <v>18386</v>
      </c>
    </row>
    <row r="13" spans="1:19" ht="14.5">
      <c r="A13" s="3051">
        <v>12</v>
      </c>
      <c r="B13" s="3052" t="s">
        <v>3401</v>
      </c>
      <c r="C13" s="3053" t="s">
        <v>3402</v>
      </c>
      <c r="D13" s="3054" t="s">
        <v>3149</v>
      </c>
      <c r="E13" s="3055">
        <v>84.56</v>
      </c>
      <c r="F13" s="3054" t="s">
        <v>3406</v>
      </c>
      <c r="G13" s="3056" t="s">
        <v>3404</v>
      </c>
      <c r="H13" s="3052" t="s">
        <v>3405</v>
      </c>
      <c r="I13" s="3057" t="s">
        <v>3130</v>
      </c>
    </row>
    <row r="14" spans="1:19" ht="14.5">
      <c r="A14" s="3051">
        <v>13</v>
      </c>
      <c r="B14" s="3052" t="s">
        <v>3401</v>
      </c>
      <c r="C14" s="3053" t="s">
        <v>3402</v>
      </c>
      <c r="D14" s="3054" t="s">
        <v>3150</v>
      </c>
      <c r="E14" s="3055">
        <v>84.56</v>
      </c>
      <c r="F14" s="3054" t="s">
        <v>3406</v>
      </c>
      <c r="G14" s="3056" t="s">
        <v>3404</v>
      </c>
      <c r="H14" s="3052" t="s">
        <v>3405</v>
      </c>
      <c r="I14" s="3057" t="s">
        <v>3130</v>
      </c>
    </row>
    <row r="15" spans="1:19" ht="14.5">
      <c r="A15" s="3051">
        <v>14</v>
      </c>
      <c r="B15" s="3052" t="s">
        <v>3401</v>
      </c>
      <c r="C15" s="3053" t="s">
        <v>3412</v>
      </c>
      <c r="D15" s="3054" t="s">
        <v>3154</v>
      </c>
      <c r="E15" s="3055">
        <v>84.56</v>
      </c>
      <c r="F15" s="3054" t="s">
        <v>3406</v>
      </c>
      <c r="G15" s="3056" t="s">
        <v>3407</v>
      </c>
      <c r="H15" s="3052" t="s">
        <v>3410</v>
      </c>
      <c r="I15" s="3057" t="s">
        <v>3130</v>
      </c>
    </row>
    <row r="16" spans="1:19" ht="14.5">
      <c r="A16" s="3051">
        <v>15</v>
      </c>
      <c r="B16" s="3052" t="s">
        <v>3401</v>
      </c>
      <c r="C16" s="3053" t="s">
        <v>3412</v>
      </c>
      <c r="D16" s="3054" t="s">
        <v>3159</v>
      </c>
      <c r="E16" s="3055">
        <v>84.56</v>
      </c>
      <c r="F16" s="3054" t="s">
        <v>3406</v>
      </c>
      <c r="G16" s="3056" t="s">
        <v>3404</v>
      </c>
      <c r="H16" s="3052" t="s">
        <v>3410</v>
      </c>
      <c r="I16" s="3057" t="s">
        <v>3130</v>
      </c>
      <c r="J16" s="3003" t="s">
        <v>3359</v>
      </c>
      <c r="K16">
        <f>'数据-基础表'!A3</f>
        <v>131452.39000000001</v>
      </c>
      <c r="M16" s="3003" t="s">
        <v>3358</v>
      </c>
      <c r="P16" s="3003"/>
      <c r="Q16" s="3003" t="s">
        <v>3295</v>
      </c>
      <c r="R16" s="3003" t="s">
        <v>3297</v>
      </c>
    </row>
    <row r="17" spans="1:19" ht="14.5">
      <c r="A17" s="3051">
        <v>16</v>
      </c>
      <c r="B17" s="3052" t="s">
        <v>3401</v>
      </c>
      <c r="C17" s="3053" t="s">
        <v>3412</v>
      </c>
      <c r="D17" s="3054" t="s">
        <v>3162</v>
      </c>
      <c r="E17" s="3055">
        <v>84.56</v>
      </c>
      <c r="F17" s="3054" t="s">
        <v>1037</v>
      </c>
      <c r="G17" s="3056" t="s">
        <v>3404</v>
      </c>
      <c r="H17" s="3052" t="s">
        <v>3410</v>
      </c>
      <c r="I17" s="3057" t="s">
        <v>3130</v>
      </c>
      <c r="J17" s="3003" t="s">
        <v>3360</v>
      </c>
      <c r="K17">
        <f>'数据-基础表'!H13+'数据-基础表'!H14</f>
        <v>15030.599999999999</v>
      </c>
      <c r="L17">
        <f>'数据-基础表'!H13</f>
        <v>8777.06</v>
      </c>
      <c r="M17">
        <f>ROUND(L17/K21*K16,2)</f>
        <v>9578.9699999999993</v>
      </c>
      <c r="P17" s="3003" t="s">
        <v>3360</v>
      </c>
      <c r="Q17">
        <f>L17</f>
        <v>8777.06</v>
      </c>
      <c r="R17">
        <f>M9/2*K3+M10/2*K4+M11/2*K5</f>
        <v>17326</v>
      </c>
    </row>
    <row r="18" spans="1:19" ht="14.5">
      <c r="A18" s="3051">
        <v>17</v>
      </c>
      <c r="B18" s="3052" t="s">
        <v>3401</v>
      </c>
      <c r="C18" s="3053" t="s">
        <v>3402</v>
      </c>
      <c r="D18" s="3054" t="s">
        <v>3164</v>
      </c>
      <c r="E18" s="3055">
        <v>84.56</v>
      </c>
      <c r="F18" s="3054" t="s">
        <v>3413</v>
      </c>
      <c r="G18" s="3056" t="s">
        <v>3404</v>
      </c>
      <c r="H18" s="3052" t="s">
        <v>3405</v>
      </c>
      <c r="I18" s="3057" t="s">
        <v>3130</v>
      </c>
      <c r="J18" s="3003" t="s">
        <v>3361</v>
      </c>
      <c r="K18">
        <f>'数据-基础表'!G15</f>
        <v>33246.120000000003</v>
      </c>
      <c r="L18">
        <v>0</v>
      </c>
    </row>
    <row r="19" spans="1:19" ht="14.5">
      <c r="A19" s="3051">
        <v>18</v>
      </c>
      <c r="B19" s="3052" t="s">
        <v>3401</v>
      </c>
      <c r="C19" s="3053" t="s">
        <v>3402</v>
      </c>
      <c r="D19" s="3054" t="s">
        <v>3165</v>
      </c>
      <c r="E19" s="3055">
        <v>84.56</v>
      </c>
      <c r="F19" s="3054" t="s">
        <v>1037</v>
      </c>
      <c r="G19" s="3056" t="s">
        <v>3404</v>
      </c>
      <c r="H19" s="3052" t="s">
        <v>3405</v>
      </c>
      <c r="I19" s="3057" t="s">
        <v>3130</v>
      </c>
      <c r="J19" s="3003" t="s">
        <v>3362</v>
      </c>
      <c r="K19">
        <f>'数据-基础表'!G16</f>
        <v>60489.659999999996</v>
      </c>
      <c r="L19">
        <f>K19</f>
        <v>60489.659999999996</v>
      </c>
      <c r="M19">
        <f>ROUND(L19/K21*K16,2)</f>
        <v>66016.259999999995</v>
      </c>
      <c r="P19" s="3003" t="s">
        <v>3362</v>
      </c>
      <c r="Q19">
        <f>L19</f>
        <v>60489.659999999996</v>
      </c>
    </row>
    <row r="20" spans="1:19" ht="14.5">
      <c r="A20" s="3051">
        <v>19</v>
      </c>
      <c r="B20" s="3052" t="s">
        <v>3401</v>
      </c>
      <c r="C20" s="3053" t="s">
        <v>3402</v>
      </c>
      <c r="D20" s="3054" t="s">
        <v>3166</v>
      </c>
      <c r="E20" s="3055">
        <v>84.56</v>
      </c>
      <c r="F20" s="3054" t="s">
        <v>1037</v>
      </c>
      <c r="G20" s="3056" t="s">
        <v>3404</v>
      </c>
      <c r="H20" s="3052" t="s">
        <v>3405</v>
      </c>
      <c r="I20" s="3057" t="s">
        <v>3130</v>
      </c>
      <c r="J20" s="3003" t="s">
        <v>3363</v>
      </c>
      <c r="K20">
        <f>'数据-基础表'!G17</f>
        <v>11681.380000000001</v>
      </c>
      <c r="L20">
        <f>K20</f>
        <v>11681.380000000001</v>
      </c>
      <c r="M20">
        <f>ROUND(L20/K21*K16,2)</f>
        <v>12748.64</v>
      </c>
      <c r="P20" s="3003" t="s">
        <v>3363</v>
      </c>
      <c r="Q20">
        <f>L20</f>
        <v>11681.380000000001</v>
      </c>
    </row>
    <row r="21" spans="1:19" ht="14.5">
      <c r="A21" s="3051">
        <v>20</v>
      </c>
      <c r="B21" s="3052" t="s">
        <v>3401</v>
      </c>
      <c r="C21" s="3053" t="s">
        <v>3402</v>
      </c>
      <c r="D21" s="3054" t="s">
        <v>3167</v>
      </c>
      <c r="E21" s="3055">
        <v>84.56</v>
      </c>
      <c r="F21" s="3054" t="s">
        <v>1037</v>
      </c>
      <c r="G21" s="3056" t="s">
        <v>3404</v>
      </c>
      <c r="H21" s="3052" t="s">
        <v>3405</v>
      </c>
      <c r="I21" s="3057" t="s">
        <v>3130</v>
      </c>
      <c r="K21">
        <f>SUM(K17:K20)</f>
        <v>120447.76000000001</v>
      </c>
      <c r="L21">
        <f>SUM(L17:L20)</f>
        <v>80948.100000000006</v>
      </c>
      <c r="M21">
        <f>SUM(M17:M20)</f>
        <v>88343.87</v>
      </c>
      <c r="Q21">
        <f>SUM(Q17:Q20)</f>
        <v>80948.100000000006</v>
      </c>
      <c r="R21">
        <f>SUM(R17:R20)</f>
        <v>17326</v>
      </c>
      <c r="S21" s="2999">
        <f>SUM(Q21:R21)</f>
        <v>98274.1</v>
      </c>
    </row>
    <row r="22" spans="1:19" ht="14.5">
      <c r="A22" s="3051">
        <v>21</v>
      </c>
      <c r="B22" s="3052" t="s">
        <v>3401</v>
      </c>
      <c r="C22" s="3053" t="s">
        <v>3402</v>
      </c>
      <c r="D22" s="3054" t="s">
        <v>3168</v>
      </c>
      <c r="E22" s="3055">
        <v>84.56</v>
      </c>
      <c r="F22" s="3054" t="s">
        <v>1037</v>
      </c>
      <c r="G22" s="3056" t="s">
        <v>3404</v>
      </c>
      <c r="H22" s="3052" t="s">
        <v>3405</v>
      </c>
      <c r="I22" s="3057" t="s">
        <v>3130</v>
      </c>
    </row>
    <row r="23" spans="1:19" ht="14.5">
      <c r="A23" s="3051">
        <v>22</v>
      </c>
      <c r="B23" s="3052" t="s">
        <v>3401</v>
      </c>
      <c r="C23" s="3053" t="s">
        <v>3402</v>
      </c>
      <c r="D23" s="3054" t="s">
        <v>3169</v>
      </c>
      <c r="E23" s="3055">
        <v>84.56</v>
      </c>
      <c r="F23" s="3054" t="s">
        <v>1037</v>
      </c>
      <c r="G23" s="3056" t="s">
        <v>3404</v>
      </c>
      <c r="H23" s="3052" t="s">
        <v>3405</v>
      </c>
      <c r="I23" s="3057" t="s">
        <v>3130</v>
      </c>
    </row>
    <row r="24" spans="1:19" ht="14.5">
      <c r="A24" s="3051">
        <v>23</v>
      </c>
      <c r="B24" s="3052" t="s">
        <v>3401</v>
      </c>
      <c r="C24" s="3053" t="s">
        <v>3402</v>
      </c>
      <c r="D24" s="3054" t="s">
        <v>3170</v>
      </c>
      <c r="E24" s="3055">
        <v>84.56</v>
      </c>
      <c r="F24" s="3054" t="s">
        <v>3414</v>
      </c>
      <c r="G24" s="3056" t="s">
        <v>3404</v>
      </c>
      <c r="H24" s="3052" t="s">
        <v>3405</v>
      </c>
      <c r="I24" s="3057" t="s">
        <v>3130</v>
      </c>
    </row>
    <row r="25" spans="1:19" ht="14.5">
      <c r="A25" s="3051">
        <v>24</v>
      </c>
      <c r="B25" s="3052" t="s">
        <v>3401</v>
      </c>
      <c r="C25" s="3053" t="s">
        <v>3402</v>
      </c>
      <c r="D25" s="3054" t="s">
        <v>3171</v>
      </c>
      <c r="E25" s="3055">
        <v>84.56</v>
      </c>
      <c r="F25" s="3054" t="s">
        <v>3414</v>
      </c>
      <c r="G25" s="3056" t="s">
        <v>3404</v>
      </c>
      <c r="H25" s="3052" t="s">
        <v>3405</v>
      </c>
      <c r="I25" s="3057" t="s">
        <v>3130</v>
      </c>
    </row>
    <row r="26" spans="1:19" ht="14.5">
      <c r="A26" s="3051">
        <v>25</v>
      </c>
      <c r="B26" s="3052" t="s">
        <v>3401</v>
      </c>
      <c r="C26" s="3053" t="s">
        <v>3402</v>
      </c>
      <c r="D26" s="3054" t="s">
        <v>3172</v>
      </c>
      <c r="E26" s="3055">
        <v>84.56</v>
      </c>
      <c r="F26" s="3054" t="s">
        <v>3414</v>
      </c>
      <c r="G26" s="3056" t="s">
        <v>3407</v>
      </c>
      <c r="H26" s="3052" t="s">
        <v>3405</v>
      </c>
      <c r="I26" s="3057" t="s">
        <v>3130</v>
      </c>
    </row>
    <row r="27" spans="1:19" ht="14.5">
      <c r="A27" s="3051">
        <v>26</v>
      </c>
      <c r="B27" s="3052" t="s">
        <v>3401</v>
      </c>
      <c r="C27" s="3053" t="s">
        <v>3402</v>
      </c>
      <c r="D27" s="3054" t="s">
        <v>3173</v>
      </c>
      <c r="E27" s="3055">
        <v>84.56</v>
      </c>
      <c r="F27" s="3054" t="s">
        <v>3414</v>
      </c>
      <c r="G27" s="3056" t="s">
        <v>3407</v>
      </c>
      <c r="H27" s="3052" t="s">
        <v>3405</v>
      </c>
      <c r="I27" s="3057" t="s">
        <v>3130</v>
      </c>
    </row>
    <row r="28" spans="1:19" ht="14.5">
      <c r="A28" s="3051">
        <v>27</v>
      </c>
      <c r="B28" s="3052" t="s">
        <v>3401</v>
      </c>
      <c r="C28" s="3053" t="s">
        <v>3402</v>
      </c>
      <c r="D28" s="3054" t="s">
        <v>3174</v>
      </c>
      <c r="E28" s="3055">
        <v>84.56</v>
      </c>
      <c r="F28" s="3054" t="s">
        <v>3415</v>
      </c>
      <c r="G28" s="3056" t="s">
        <v>3404</v>
      </c>
      <c r="H28" s="3052" t="s">
        <v>3405</v>
      </c>
      <c r="I28" s="3057" t="s">
        <v>3130</v>
      </c>
    </row>
    <row r="29" spans="1:19" ht="14.5">
      <c r="A29" s="3051">
        <v>28</v>
      </c>
      <c r="B29" s="3052" t="s">
        <v>3401</v>
      </c>
      <c r="C29" s="3053" t="s">
        <v>3402</v>
      </c>
      <c r="D29" s="3054" t="s">
        <v>3175</v>
      </c>
      <c r="E29" s="3055">
        <v>84.56</v>
      </c>
      <c r="F29" s="3054" t="s">
        <v>1037</v>
      </c>
      <c r="G29" s="3056" t="s">
        <v>3404</v>
      </c>
      <c r="H29" s="3052" t="s">
        <v>3405</v>
      </c>
      <c r="I29" s="3057" t="s">
        <v>3130</v>
      </c>
    </row>
    <row r="30" spans="1:19" ht="14.5">
      <c r="A30" s="3051">
        <v>29</v>
      </c>
      <c r="B30" s="3052" t="s">
        <v>3401</v>
      </c>
      <c r="C30" s="3053" t="s">
        <v>3402</v>
      </c>
      <c r="D30" s="3054" t="s">
        <v>3176</v>
      </c>
      <c r="E30" s="3055">
        <v>84.56</v>
      </c>
      <c r="F30" s="3054" t="s">
        <v>1037</v>
      </c>
      <c r="G30" s="3056" t="s">
        <v>3404</v>
      </c>
      <c r="H30" s="3052" t="s">
        <v>3405</v>
      </c>
      <c r="I30" s="3057" t="s">
        <v>3130</v>
      </c>
    </row>
    <row r="31" spans="1:19" ht="14.5">
      <c r="A31" s="3051">
        <v>30</v>
      </c>
      <c r="B31" s="3052" t="s">
        <v>3401</v>
      </c>
      <c r="C31" s="3053" t="s">
        <v>3402</v>
      </c>
      <c r="D31" s="3054" t="s">
        <v>3177</v>
      </c>
      <c r="E31" s="3055">
        <v>84.56</v>
      </c>
      <c r="F31" s="3054" t="s">
        <v>1037</v>
      </c>
      <c r="G31" s="3056" t="s">
        <v>3404</v>
      </c>
      <c r="H31" s="3052" t="s">
        <v>3405</v>
      </c>
      <c r="I31" s="3057" t="s">
        <v>3130</v>
      </c>
    </row>
    <row r="32" spans="1:19" ht="14.5">
      <c r="A32" s="3051">
        <v>31</v>
      </c>
      <c r="B32" s="3052" t="s">
        <v>3401</v>
      </c>
      <c r="C32" s="3053" t="s">
        <v>3402</v>
      </c>
      <c r="D32" s="3054" t="s">
        <v>3416</v>
      </c>
      <c r="E32" s="3055">
        <v>84.56</v>
      </c>
      <c r="F32" s="3054" t="s">
        <v>1037</v>
      </c>
      <c r="G32" s="3056" t="s">
        <v>3404</v>
      </c>
      <c r="H32" s="3052" t="s">
        <v>3405</v>
      </c>
      <c r="I32" s="3057" t="s">
        <v>3130</v>
      </c>
    </row>
    <row r="33" spans="1:9" ht="14.5">
      <c r="A33" s="3051">
        <v>32</v>
      </c>
      <c r="B33" s="3052" t="s">
        <v>3401</v>
      </c>
      <c r="C33" s="3053" t="s">
        <v>3402</v>
      </c>
      <c r="D33" s="3054" t="s">
        <v>3417</v>
      </c>
      <c r="E33" s="3055">
        <v>84.56</v>
      </c>
      <c r="F33" s="3054" t="s">
        <v>1037</v>
      </c>
      <c r="G33" s="3056" t="s">
        <v>3404</v>
      </c>
      <c r="H33" s="3052" t="s">
        <v>3405</v>
      </c>
      <c r="I33" s="3057" t="s">
        <v>3130</v>
      </c>
    </row>
    <row r="34" spans="1:9" ht="14.5">
      <c r="A34" s="3051">
        <v>33</v>
      </c>
      <c r="B34" s="3052" t="s">
        <v>3401</v>
      </c>
      <c r="C34" s="3053" t="s">
        <v>3402</v>
      </c>
      <c r="D34" s="3054" t="s">
        <v>3418</v>
      </c>
      <c r="E34" s="3055">
        <v>84.56</v>
      </c>
      <c r="F34" s="3054" t="s">
        <v>1037</v>
      </c>
      <c r="G34" s="3056" t="s">
        <v>3404</v>
      </c>
      <c r="H34" s="3052" t="s">
        <v>3405</v>
      </c>
      <c r="I34" s="3057" t="s">
        <v>3130</v>
      </c>
    </row>
    <row r="35" spans="1:9" ht="14.5">
      <c r="A35" s="3051">
        <v>34</v>
      </c>
      <c r="B35" s="3052" t="s">
        <v>3401</v>
      </c>
      <c r="C35" s="3053" t="s">
        <v>3402</v>
      </c>
      <c r="D35" s="3054" t="s">
        <v>3419</v>
      </c>
      <c r="E35" s="3055">
        <v>84.56</v>
      </c>
      <c r="F35" s="3054" t="s">
        <v>3420</v>
      </c>
      <c r="G35" s="3056" t="s">
        <v>3404</v>
      </c>
      <c r="H35" s="3052" t="s">
        <v>3405</v>
      </c>
      <c r="I35" s="3057" t="s">
        <v>3130</v>
      </c>
    </row>
    <row r="36" spans="1:9" ht="14.5">
      <c r="A36" s="3051">
        <v>35</v>
      </c>
      <c r="B36" s="3052" t="s">
        <v>3401</v>
      </c>
      <c r="C36" s="3053" t="s">
        <v>3402</v>
      </c>
      <c r="D36" s="3054" t="s">
        <v>3421</v>
      </c>
      <c r="E36" s="3055">
        <v>84.56</v>
      </c>
      <c r="F36" s="3054" t="s">
        <v>1037</v>
      </c>
      <c r="G36" s="3056" t="s">
        <v>3407</v>
      </c>
      <c r="H36" s="3052" t="s">
        <v>3405</v>
      </c>
      <c r="I36" s="3057" t="s">
        <v>3130</v>
      </c>
    </row>
    <row r="37" spans="1:9" ht="14.5">
      <c r="A37" s="3051">
        <v>36</v>
      </c>
      <c r="B37" s="3052" t="s">
        <v>3401</v>
      </c>
      <c r="C37" s="3053" t="s">
        <v>3402</v>
      </c>
      <c r="D37" s="3054" t="s">
        <v>3422</v>
      </c>
      <c r="E37" s="3055">
        <v>84.56</v>
      </c>
      <c r="F37" s="3054" t="s">
        <v>1037</v>
      </c>
      <c r="G37" s="3056" t="s">
        <v>3407</v>
      </c>
      <c r="H37" s="3052" t="s">
        <v>3405</v>
      </c>
      <c r="I37" s="3057" t="s">
        <v>3130</v>
      </c>
    </row>
    <row r="38" spans="1:9" ht="14.5">
      <c r="A38" s="3051">
        <v>37</v>
      </c>
      <c r="B38" s="3052" t="s">
        <v>3401</v>
      </c>
      <c r="C38" s="3053" t="s">
        <v>3402</v>
      </c>
      <c r="D38" s="3054" t="s">
        <v>3423</v>
      </c>
      <c r="E38" s="3055">
        <v>84.56</v>
      </c>
      <c r="F38" s="3054" t="s">
        <v>1037</v>
      </c>
      <c r="G38" s="3056" t="s">
        <v>3404</v>
      </c>
      <c r="H38" s="3052" t="s">
        <v>3405</v>
      </c>
      <c r="I38" s="3057" t="s">
        <v>3130</v>
      </c>
    </row>
    <row r="39" spans="1:9" ht="14.5">
      <c r="A39" s="3051">
        <v>38</v>
      </c>
      <c r="B39" s="3052" t="s">
        <v>3401</v>
      </c>
      <c r="C39" s="3053" t="s">
        <v>3402</v>
      </c>
      <c r="D39" s="3054" t="s">
        <v>3178</v>
      </c>
      <c r="E39" s="3055">
        <v>84.56</v>
      </c>
      <c r="F39" s="3054" t="s">
        <v>3415</v>
      </c>
      <c r="G39" s="3056" t="s">
        <v>3404</v>
      </c>
      <c r="H39" s="3052" t="s">
        <v>3405</v>
      </c>
      <c r="I39" s="3057" t="s">
        <v>3130</v>
      </c>
    </row>
    <row r="40" spans="1:9" ht="14.5">
      <c r="A40" s="3051">
        <v>39</v>
      </c>
      <c r="B40" s="3052" t="s">
        <v>3401</v>
      </c>
      <c r="C40" s="3053" t="s">
        <v>3402</v>
      </c>
      <c r="D40" s="3054" t="s">
        <v>3179</v>
      </c>
      <c r="E40" s="3055">
        <v>84.56</v>
      </c>
      <c r="F40" s="3054" t="s">
        <v>3420</v>
      </c>
      <c r="G40" s="3056" t="s">
        <v>3404</v>
      </c>
      <c r="H40" s="3052" t="s">
        <v>3405</v>
      </c>
      <c r="I40" s="3057" t="s">
        <v>3130</v>
      </c>
    </row>
    <row r="41" spans="1:9" ht="14.5">
      <c r="A41" s="3051">
        <v>40</v>
      </c>
      <c r="B41" s="3052" t="s">
        <v>3401</v>
      </c>
      <c r="C41" s="3053" t="s">
        <v>3402</v>
      </c>
      <c r="D41" s="3054" t="s">
        <v>3180</v>
      </c>
      <c r="E41" s="3055">
        <v>84.56</v>
      </c>
      <c r="F41" s="3054" t="s">
        <v>1037</v>
      </c>
      <c r="G41" s="3056" t="s">
        <v>3404</v>
      </c>
      <c r="H41" s="3052" t="s">
        <v>3405</v>
      </c>
      <c r="I41" s="3057" t="s">
        <v>3130</v>
      </c>
    </row>
    <row r="42" spans="1:9" ht="14.5">
      <c r="A42" s="3051">
        <v>41</v>
      </c>
      <c r="B42" s="3052" t="s">
        <v>3401</v>
      </c>
      <c r="C42" s="3053" t="s">
        <v>3402</v>
      </c>
      <c r="D42" s="3054" t="s">
        <v>3181</v>
      </c>
      <c r="E42" s="3055">
        <v>84.56</v>
      </c>
      <c r="F42" s="3054" t="s">
        <v>1037</v>
      </c>
      <c r="G42" s="3056" t="s">
        <v>3404</v>
      </c>
      <c r="H42" s="3052" t="s">
        <v>3405</v>
      </c>
      <c r="I42" s="3057" t="s">
        <v>3130</v>
      </c>
    </row>
    <row r="43" spans="1:9" ht="14.5">
      <c r="A43" s="3051">
        <v>42</v>
      </c>
      <c r="B43" s="3052" t="s">
        <v>3401</v>
      </c>
      <c r="C43" s="3053" t="s">
        <v>3402</v>
      </c>
      <c r="D43" s="3054" t="s">
        <v>3182</v>
      </c>
      <c r="E43" s="3055">
        <v>84.56</v>
      </c>
      <c r="F43" s="3054" t="s">
        <v>1037</v>
      </c>
      <c r="G43" s="3056" t="s">
        <v>3404</v>
      </c>
      <c r="H43" s="3052" t="s">
        <v>3405</v>
      </c>
      <c r="I43" s="3057" t="s">
        <v>3130</v>
      </c>
    </row>
    <row r="44" spans="1:9" ht="14.5">
      <c r="A44" s="3051">
        <v>43</v>
      </c>
      <c r="B44" s="3052" t="s">
        <v>3401</v>
      </c>
      <c r="C44" s="3053" t="s">
        <v>3412</v>
      </c>
      <c r="D44" s="3054" t="s">
        <v>3183</v>
      </c>
      <c r="E44" s="3055">
        <v>84.56</v>
      </c>
      <c r="F44" s="3054" t="s">
        <v>1037</v>
      </c>
      <c r="G44" s="3056" t="s">
        <v>3404</v>
      </c>
      <c r="H44" s="3052" t="s">
        <v>3410</v>
      </c>
      <c r="I44" s="3057" t="s">
        <v>3130</v>
      </c>
    </row>
    <row r="45" spans="1:9" ht="14.5">
      <c r="A45" s="3051">
        <v>44</v>
      </c>
      <c r="B45" s="3052" t="s">
        <v>3401</v>
      </c>
      <c r="C45" s="3053" t="s">
        <v>3412</v>
      </c>
      <c r="D45" s="3054" t="s">
        <v>3184</v>
      </c>
      <c r="E45" s="3055">
        <v>84.56</v>
      </c>
      <c r="F45" s="3054" t="s">
        <v>1037</v>
      </c>
      <c r="G45" s="3056" t="s">
        <v>3407</v>
      </c>
      <c r="H45" s="3052" t="s">
        <v>3410</v>
      </c>
      <c r="I45" s="3057" t="s">
        <v>3130</v>
      </c>
    </row>
    <row r="46" spans="1:9" ht="14.5">
      <c r="A46" s="3051">
        <v>45</v>
      </c>
      <c r="B46" s="3052" t="s">
        <v>3401</v>
      </c>
      <c r="C46" s="3053" t="s">
        <v>3412</v>
      </c>
      <c r="D46" s="3054" t="s">
        <v>3185</v>
      </c>
      <c r="E46" s="3055">
        <v>84.56</v>
      </c>
      <c r="F46" s="3054" t="s">
        <v>1037</v>
      </c>
      <c r="G46" s="3056" t="s">
        <v>3404</v>
      </c>
      <c r="H46" s="3052" t="s">
        <v>3410</v>
      </c>
      <c r="I46" s="3057" t="s">
        <v>3130</v>
      </c>
    </row>
    <row r="47" spans="1:9" ht="14.5">
      <c r="A47" s="3051">
        <v>46</v>
      </c>
      <c r="B47" s="3052" t="s">
        <v>3401</v>
      </c>
      <c r="C47" s="3053" t="s">
        <v>3412</v>
      </c>
      <c r="D47" s="3054" t="s">
        <v>3186</v>
      </c>
      <c r="E47" s="3055">
        <v>84.56</v>
      </c>
      <c r="F47" s="3054" t="s">
        <v>1037</v>
      </c>
      <c r="G47" s="3056" t="s">
        <v>3407</v>
      </c>
      <c r="H47" s="3052" t="s">
        <v>3410</v>
      </c>
      <c r="I47" s="3057" t="s">
        <v>3130</v>
      </c>
    </row>
    <row r="48" spans="1:9" ht="14.5">
      <c r="A48" s="3051">
        <v>47</v>
      </c>
      <c r="B48" s="3052" t="s">
        <v>3401</v>
      </c>
      <c r="C48" s="3053" t="s">
        <v>3412</v>
      </c>
      <c r="D48" s="3054" t="s">
        <v>3187</v>
      </c>
      <c r="E48" s="3055">
        <v>84.56</v>
      </c>
      <c r="F48" s="3054" t="s">
        <v>1037</v>
      </c>
      <c r="G48" s="3056" t="s">
        <v>3404</v>
      </c>
      <c r="H48" s="3052" t="s">
        <v>3410</v>
      </c>
      <c r="I48" s="3057" t="s">
        <v>3130</v>
      </c>
    </row>
    <row r="49" spans="1:9" ht="14.5">
      <c r="A49" s="3051">
        <v>48</v>
      </c>
      <c r="B49" s="3052" t="s">
        <v>3401</v>
      </c>
      <c r="C49" s="3053" t="s">
        <v>3412</v>
      </c>
      <c r="D49" s="3054" t="s">
        <v>3188</v>
      </c>
      <c r="E49" s="3055">
        <v>84.56</v>
      </c>
      <c r="F49" s="3054" t="s">
        <v>1037</v>
      </c>
      <c r="G49" s="3056" t="s">
        <v>3404</v>
      </c>
      <c r="H49" s="3052" t="s">
        <v>3410</v>
      </c>
      <c r="I49" s="3057" t="s">
        <v>3130</v>
      </c>
    </row>
    <row r="50" spans="1:9" ht="14.5">
      <c r="A50" s="3051">
        <v>49</v>
      </c>
      <c r="B50" s="3052" t="s">
        <v>3401</v>
      </c>
      <c r="C50" s="3053" t="s">
        <v>3412</v>
      </c>
      <c r="D50" s="3054" t="s">
        <v>3189</v>
      </c>
      <c r="E50" s="3055">
        <v>84.56</v>
      </c>
      <c r="F50" s="3054" t="s">
        <v>1037</v>
      </c>
      <c r="G50" s="3056" t="s">
        <v>3404</v>
      </c>
      <c r="H50" s="3052" t="s">
        <v>3410</v>
      </c>
      <c r="I50" s="3057" t="s">
        <v>3130</v>
      </c>
    </row>
    <row r="51" spans="1:9" ht="14.5">
      <c r="A51" s="3051">
        <v>50</v>
      </c>
      <c r="B51" s="3052" t="s">
        <v>3401</v>
      </c>
      <c r="C51" s="3053" t="s">
        <v>3412</v>
      </c>
      <c r="D51" s="3054" t="s">
        <v>3190</v>
      </c>
      <c r="E51" s="3055">
        <v>84.56</v>
      </c>
      <c r="F51" s="3054" t="s">
        <v>1037</v>
      </c>
      <c r="G51" s="3056" t="s">
        <v>3404</v>
      </c>
      <c r="H51" s="3052" t="s">
        <v>3410</v>
      </c>
      <c r="I51" s="3057" t="s">
        <v>3130</v>
      </c>
    </row>
    <row r="52" spans="1:9" ht="14.5">
      <c r="A52" s="3051">
        <v>51</v>
      </c>
      <c r="B52" s="3052" t="s">
        <v>3401</v>
      </c>
      <c r="C52" s="3053" t="s">
        <v>3412</v>
      </c>
      <c r="D52" s="3054" t="s">
        <v>3191</v>
      </c>
      <c r="E52" s="3055">
        <v>122.14</v>
      </c>
      <c r="F52" s="3054" t="s">
        <v>3424</v>
      </c>
      <c r="G52" s="3056" t="s">
        <v>3407</v>
      </c>
      <c r="H52" s="3052" t="s">
        <v>3410</v>
      </c>
      <c r="I52" s="3057" t="s">
        <v>3130</v>
      </c>
    </row>
    <row r="53" spans="1:9" ht="14.5">
      <c r="A53" s="3051">
        <v>52</v>
      </c>
      <c r="B53" s="3052" t="s">
        <v>3401</v>
      </c>
      <c r="C53" s="3053" t="s">
        <v>3412</v>
      </c>
      <c r="D53" s="3054" t="s">
        <v>3193</v>
      </c>
      <c r="E53" s="3055">
        <v>84.56</v>
      </c>
      <c r="F53" s="3054" t="s">
        <v>1037</v>
      </c>
      <c r="G53" s="3056" t="s">
        <v>3404</v>
      </c>
      <c r="H53" s="3052" t="s">
        <v>3410</v>
      </c>
      <c r="I53" s="3057" t="s">
        <v>3130</v>
      </c>
    </row>
    <row r="54" spans="1:9" ht="14.5">
      <c r="A54" s="3051">
        <v>53</v>
      </c>
      <c r="B54" s="3052" t="s">
        <v>3401</v>
      </c>
      <c r="C54" s="3053" t="s">
        <v>3412</v>
      </c>
      <c r="D54" s="3054" t="s">
        <v>3194</v>
      </c>
      <c r="E54" s="3055">
        <v>84.56</v>
      </c>
      <c r="F54" s="3054" t="s">
        <v>1037</v>
      </c>
      <c r="G54" s="3056" t="s">
        <v>3404</v>
      </c>
      <c r="H54" s="3052" t="s">
        <v>3410</v>
      </c>
      <c r="I54" s="3057" t="s">
        <v>3130</v>
      </c>
    </row>
    <row r="55" spans="1:9" ht="14.5">
      <c r="A55" s="3051">
        <v>54</v>
      </c>
      <c r="B55" s="3052" t="s">
        <v>3401</v>
      </c>
      <c r="C55" s="3053" t="s">
        <v>3412</v>
      </c>
      <c r="D55" s="3054" t="s">
        <v>3195</v>
      </c>
      <c r="E55" s="3055">
        <v>84.56</v>
      </c>
      <c r="F55" s="3054" t="s">
        <v>1037</v>
      </c>
      <c r="G55" s="3056" t="s">
        <v>3404</v>
      </c>
      <c r="H55" s="3052" t="s">
        <v>3410</v>
      </c>
      <c r="I55" s="3057" t="s">
        <v>3130</v>
      </c>
    </row>
    <row r="56" spans="1:9" ht="14.5">
      <c r="A56" s="3051">
        <v>55</v>
      </c>
      <c r="B56" s="3052" t="s">
        <v>3401</v>
      </c>
      <c r="C56" s="3053" t="s">
        <v>3412</v>
      </c>
      <c r="D56" s="3058" t="s">
        <v>3196</v>
      </c>
      <c r="E56" s="3055">
        <v>84.56</v>
      </c>
      <c r="F56" s="3054" t="s">
        <v>1037</v>
      </c>
      <c r="G56" s="3056" t="s">
        <v>3404</v>
      </c>
      <c r="H56" s="3052" t="s">
        <v>3410</v>
      </c>
      <c r="I56" s="3057" t="s">
        <v>3130</v>
      </c>
    </row>
    <row r="57" spans="1:9" ht="14.5">
      <c r="A57" s="3051">
        <v>56</v>
      </c>
      <c r="B57" s="3052" t="s">
        <v>3401</v>
      </c>
      <c r="C57" s="3053" t="s">
        <v>3402</v>
      </c>
      <c r="D57" s="3054" t="s">
        <v>3197</v>
      </c>
      <c r="E57" s="3055">
        <v>84.56</v>
      </c>
      <c r="F57" s="3054" t="s">
        <v>1037</v>
      </c>
      <c r="G57" s="3056" t="s">
        <v>3404</v>
      </c>
      <c r="H57" s="3052" t="s">
        <v>3405</v>
      </c>
      <c r="I57" s="3057" t="s">
        <v>3130</v>
      </c>
    </row>
    <row r="58" spans="1:9" ht="14.5">
      <c r="A58" s="3051">
        <v>57</v>
      </c>
      <c r="B58" s="3052" t="s">
        <v>3401</v>
      </c>
      <c r="C58" s="3053" t="s">
        <v>3412</v>
      </c>
      <c r="D58" s="3054" t="s">
        <v>3198</v>
      </c>
      <c r="E58" s="3055">
        <v>84.56</v>
      </c>
      <c r="F58" s="3054" t="s">
        <v>3409</v>
      </c>
      <c r="G58" s="3056" t="s">
        <v>3404</v>
      </c>
      <c r="H58" s="3052" t="s">
        <v>3410</v>
      </c>
      <c r="I58" s="3057" t="s">
        <v>3130</v>
      </c>
    </row>
    <row r="59" spans="1:9" ht="14.5">
      <c r="A59" s="3051">
        <v>58</v>
      </c>
      <c r="B59" s="3052" t="s">
        <v>3401</v>
      </c>
      <c r="C59" s="3053" t="s">
        <v>3412</v>
      </c>
      <c r="D59" s="3054" t="s">
        <v>3199</v>
      </c>
      <c r="E59" s="3055">
        <v>84.56</v>
      </c>
      <c r="F59" s="3054" t="s">
        <v>3409</v>
      </c>
      <c r="G59" s="3056" t="s">
        <v>3407</v>
      </c>
      <c r="H59" s="3052" t="s">
        <v>3410</v>
      </c>
      <c r="I59" s="3057" t="s">
        <v>3130</v>
      </c>
    </row>
    <row r="60" spans="1:9" ht="14.5">
      <c r="A60" s="3051">
        <v>59</v>
      </c>
      <c r="B60" s="3052" t="s">
        <v>3401</v>
      </c>
      <c r="C60" s="3053" t="s">
        <v>3402</v>
      </c>
      <c r="D60" s="3054" t="s">
        <v>3200</v>
      </c>
      <c r="E60" s="3055">
        <v>122.14</v>
      </c>
      <c r="F60" s="3054" t="s">
        <v>3425</v>
      </c>
      <c r="G60" s="3056" t="s">
        <v>3407</v>
      </c>
      <c r="H60" s="3052" t="s">
        <v>3405</v>
      </c>
      <c r="I60" s="3057" t="s">
        <v>3130</v>
      </c>
    </row>
    <row r="61" spans="1:9" ht="14.5">
      <c r="A61" s="3051">
        <v>60</v>
      </c>
      <c r="B61" s="3052" t="s">
        <v>3401</v>
      </c>
      <c r="C61" s="3053" t="s">
        <v>3402</v>
      </c>
      <c r="D61" s="3054" t="s">
        <v>3201</v>
      </c>
      <c r="E61" s="3055">
        <v>122.14</v>
      </c>
      <c r="F61" s="3054" t="s">
        <v>1038</v>
      </c>
      <c r="G61" s="3056" t="s">
        <v>3404</v>
      </c>
      <c r="H61" s="3052" t="s">
        <v>3405</v>
      </c>
      <c r="I61" s="3057" t="s">
        <v>3130</v>
      </c>
    </row>
    <row r="62" spans="1:9" ht="14.5">
      <c r="A62" s="3051">
        <v>61</v>
      </c>
      <c r="B62" s="3052" t="s">
        <v>3401</v>
      </c>
      <c r="C62" s="3053" t="s">
        <v>3412</v>
      </c>
      <c r="D62" s="3054" t="s">
        <v>3380</v>
      </c>
      <c r="E62" s="3055">
        <v>84.56</v>
      </c>
      <c r="F62" s="3054" t="s">
        <v>3406</v>
      </c>
      <c r="G62" s="3056" t="s">
        <v>3404</v>
      </c>
      <c r="H62" s="3052" t="s">
        <v>3410</v>
      </c>
      <c r="I62" s="3057" t="s">
        <v>3130</v>
      </c>
    </row>
    <row r="63" spans="1:9" ht="14.5">
      <c r="A63" s="3051">
        <v>62</v>
      </c>
      <c r="B63" s="3052" t="s">
        <v>3401</v>
      </c>
      <c r="C63" s="3053" t="s">
        <v>3412</v>
      </c>
      <c r="D63" s="3054" t="s">
        <v>3426</v>
      </c>
      <c r="E63" s="3055">
        <v>84.56</v>
      </c>
      <c r="F63" s="3054" t="s">
        <v>1037</v>
      </c>
      <c r="G63" s="3056" t="s">
        <v>3404</v>
      </c>
      <c r="H63" s="3052" t="s">
        <v>3410</v>
      </c>
      <c r="I63" s="3057" t="s">
        <v>3130</v>
      </c>
    </row>
    <row r="64" spans="1:9" ht="14.5">
      <c r="A64" s="3051">
        <v>63</v>
      </c>
      <c r="B64" s="3052" t="s">
        <v>3401</v>
      </c>
      <c r="C64" s="3053" t="s">
        <v>3412</v>
      </c>
      <c r="D64" s="3054" t="s">
        <v>3427</v>
      </c>
      <c r="E64" s="3055">
        <v>84.56</v>
      </c>
      <c r="F64" s="3054" t="s">
        <v>1037</v>
      </c>
      <c r="G64" s="3056" t="s">
        <v>3407</v>
      </c>
      <c r="H64" s="3052" t="s">
        <v>3410</v>
      </c>
      <c r="I64" s="3057" t="s">
        <v>3130</v>
      </c>
    </row>
    <row r="65" spans="1:9" ht="14.5">
      <c r="A65" s="3051">
        <v>64</v>
      </c>
      <c r="B65" s="3052" t="s">
        <v>3401</v>
      </c>
      <c r="C65" s="3053" t="s">
        <v>3412</v>
      </c>
      <c r="D65" s="3054" t="s">
        <v>3428</v>
      </c>
      <c r="E65" s="3055">
        <v>84.56</v>
      </c>
      <c r="F65" s="3054" t="s">
        <v>1037</v>
      </c>
      <c r="G65" s="3056" t="s">
        <v>3404</v>
      </c>
      <c r="H65" s="3052" t="s">
        <v>3410</v>
      </c>
      <c r="I65" s="3057" t="s">
        <v>3130</v>
      </c>
    </row>
    <row r="66" spans="1:9" ht="14.5">
      <c r="A66" s="3051">
        <v>65</v>
      </c>
      <c r="B66" s="3052" t="s">
        <v>3401</v>
      </c>
      <c r="C66" s="3053" t="s">
        <v>3412</v>
      </c>
      <c r="D66" s="3054" t="s">
        <v>3429</v>
      </c>
      <c r="E66" s="3055">
        <v>121.17</v>
      </c>
      <c r="F66" s="3054" t="s">
        <v>1043</v>
      </c>
      <c r="G66" s="3056" t="s">
        <v>3430</v>
      </c>
      <c r="H66" s="3052" t="s">
        <v>3410</v>
      </c>
      <c r="I66" s="3057" t="s">
        <v>3130</v>
      </c>
    </row>
    <row r="67" spans="1:9" ht="14.5">
      <c r="A67" s="3051">
        <v>66</v>
      </c>
      <c r="B67" s="3052" t="s">
        <v>3401</v>
      </c>
      <c r="C67" s="3053" t="s">
        <v>3412</v>
      </c>
      <c r="D67" s="3054" t="s">
        <v>3431</v>
      </c>
      <c r="E67" s="3055">
        <v>84.56</v>
      </c>
      <c r="F67" s="3054" t="s">
        <v>1037</v>
      </c>
      <c r="G67" s="3056" t="s">
        <v>3404</v>
      </c>
      <c r="H67" s="3052" t="s">
        <v>3410</v>
      </c>
      <c r="I67" s="3057" t="s">
        <v>3130</v>
      </c>
    </row>
    <row r="68" spans="1:9" ht="14.5">
      <c r="A68" s="3051">
        <v>67</v>
      </c>
      <c r="B68" s="3052" t="s">
        <v>3401</v>
      </c>
      <c r="C68" s="3053" t="s">
        <v>3412</v>
      </c>
      <c r="D68" s="3054" t="s">
        <v>3432</v>
      </c>
      <c r="E68" s="3055">
        <v>84.56</v>
      </c>
      <c r="F68" s="3054" t="s">
        <v>1037</v>
      </c>
      <c r="G68" s="3056" t="s">
        <v>3404</v>
      </c>
      <c r="H68" s="3052" t="s">
        <v>3410</v>
      </c>
      <c r="I68" s="3057" t="s">
        <v>3130</v>
      </c>
    </row>
    <row r="69" spans="1:9" ht="14.5">
      <c r="A69" s="3051">
        <v>68</v>
      </c>
      <c r="B69" s="3052" t="s">
        <v>3401</v>
      </c>
      <c r="C69" s="3053" t="s">
        <v>3412</v>
      </c>
      <c r="D69" s="3054" t="s">
        <v>3433</v>
      </c>
      <c r="E69" s="3055">
        <v>84.56</v>
      </c>
      <c r="F69" s="3054" t="s">
        <v>1037</v>
      </c>
      <c r="G69" s="3056" t="s">
        <v>3404</v>
      </c>
      <c r="H69" s="3052" t="s">
        <v>3410</v>
      </c>
      <c r="I69" s="3057" t="s">
        <v>3130</v>
      </c>
    </row>
    <row r="70" spans="1:9" ht="14.5">
      <c r="A70" s="3051">
        <v>69</v>
      </c>
      <c r="B70" s="3052" t="s">
        <v>3401</v>
      </c>
      <c r="C70" s="3053" t="s">
        <v>3412</v>
      </c>
      <c r="D70" s="3054" t="s">
        <v>3434</v>
      </c>
      <c r="E70" s="3055">
        <v>84.56</v>
      </c>
      <c r="F70" s="3054" t="s">
        <v>1037</v>
      </c>
      <c r="G70" s="3056" t="s">
        <v>3404</v>
      </c>
      <c r="H70" s="3052" t="s">
        <v>3410</v>
      </c>
      <c r="I70" s="3057" t="s">
        <v>3130</v>
      </c>
    </row>
    <row r="71" spans="1:9" ht="14.5">
      <c r="A71" s="3051">
        <v>70</v>
      </c>
      <c r="B71" s="3052" t="s">
        <v>3401</v>
      </c>
      <c r="C71" s="3053" t="s">
        <v>3412</v>
      </c>
      <c r="D71" s="3054" t="s">
        <v>3435</v>
      </c>
      <c r="E71" s="3055">
        <v>84.56</v>
      </c>
      <c r="F71" s="3054" t="s">
        <v>3406</v>
      </c>
      <c r="G71" s="3056" t="s">
        <v>3404</v>
      </c>
      <c r="H71" s="3052" t="s">
        <v>3410</v>
      </c>
      <c r="I71" s="3057" t="s">
        <v>3130</v>
      </c>
    </row>
    <row r="72" spans="1:9" ht="14.5">
      <c r="A72" s="3051">
        <v>71</v>
      </c>
      <c r="B72" s="3052" t="s">
        <v>3401</v>
      </c>
      <c r="C72" s="3053" t="s">
        <v>3412</v>
      </c>
      <c r="D72" s="3054" t="s">
        <v>3436</v>
      </c>
      <c r="E72" s="3055">
        <v>84.56</v>
      </c>
      <c r="F72" s="3054" t="s">
        <v>3406</v>
      </c>
      <c r="G72" s="3056" t="s">
        <v>3404</v>
      </c>
      <c r="H72" s="3052" t="s">
        <v>3410</v>
      </c>
      <c r="I72" s="3057" t="s">
        <v>3130</v>
      </c>
    </row>
    <row r="73" spans="1:9" ht="14.5">
      <c r="A73" s="3051">
        <v>72</v>
      </c>
      <c r="B73" s="3052" t="s">
        <v>3401</v>
      </c>
      <c r="C73" s="3053" t="s">
        <v>3412</v>
      </c>
      <c r="D73" s="3054" t="s">
        <v>3437</v>
      </c>
      <c r="E73" s="3055">
        <v>84.56</v>
      </c>
      <c r="F73" s="3054" t="s">
        <v>3406</v>
      </c>
      <c r="G73" s="3056" t="s">
        <v>3404</v>
      </c>
      <c r="H73" s="3052" t="s">
        <v>3410</v>
      </c>
      <c r="I73" s="3057" t="s">
        <v>3130</v>
      </c>
    </row>
    <row r="74" spans="1:9" ht="14.5">
      <c r="A74" s="3051">
        <v>73</v>
      </c>
      <c r="B74" s="3052" t="s">
        <v>3401</v>
      </c>
      <c r="C74" s="3053" t="s">
        <v>3412</v>
      </c>
      <c r="D74" s="3054" t="s">
        <v>3438</v>
      </c>
      <c r="E74" s="3055">
        <v>121.17</v>
      </c>
      <c r="F74" s="3054" t="s">
        <v>1043</v>
      </c>
      <c r="G74" s="3056" t="s">
        <v>3430</v>
      </c>
      <c r="H74" s="3052" t="s">
        <v>3410</v>
      </c>
      <c r="I74" s="3057" t="s">
        <v>3130</v>
      </c>
    </row>
    <row r="75" spans="1:9" ht="14.5">
      <c r="A75" s="3051">
        <v>74</v>
      </c>
      <c r="B75" s="3052" t="s">
        <v>3401</v>
      </c>
      <c r="C75" s="3053" t="s">
        <v>3408</v>
      </c>
      <c r="D75" s="3054" t="s">
        <v>3439</v>
      </c>
      <c r="E75" s="3055">
        <v>84.56</v>
      </c>
      <c r="F75" s="3054" t="s">
        <v>3406</v>
      </c>
      <c r="G75" s="3056" t="s">
        <v>3407</v>
      </c>
      <c r="H75" s="3052" t="s">
        <v>3410</v>
      </c>
      <c r="I75" s="3057" t="s">
        <v>3130</v>
      </c>
    </row>
    <row r="76" spans="1:9" ht="14.5">
      <c r="A76" s="3051">
        <v>75</v>
      </c>
      <c r="B76" s="3052" t="s">
        <v>3401</v>
      </c>
      <c r="C76" s="3053" t="s">
        <v>3408</v>
      </c>
      <c r="D76" s="3054" t="s">
        <v>3440</v>
      </c>
      <c r="E76" s="3055">
        <v>84.56</v>
      </c>
      <c r="F76" s="3054" t="s">
        <v>3406</v>
      </c>
      <c r="G76" s="3056" t="s">
        <v>3404</v>
      </c>
      <c r="H76" s="3052" t="s">
        <v>3410</v>
      </c>
      <c r="I76" s="3057" t="s">
        <v>3130</v>
      </c>
    </row>
    <row r="77" spans="1:9" ht="14.5">
      <c r="A77" s="3051">
        <v>76</v>
      </c>
      <c r="B77" s="3052" t="s">
        <v>3401</v>
      </c>
      <c r="C77" s="3053" t="s">
        <v>3408</v>
      </c>
      <c r="D77" s="3054" t="s">
        <v>3441</v>
      </c>
      <c r="E77" s="3055">
        <v>84.56</v>
      </c>
      <c r="F77" s="3054" t="s">
        <v>3406</v>
      </c>
      <c r="G77" s="3056" t="s">
        <v>3404</v>
      </c>
      <c r="H77" s="3052" t="s">
        <v>3410</v>
      </c>
      <c r="I77" s="3057" t="s">
        <v>3130</v>
      </c>
    </row>
    <row r="78" spans="1:9" ht="14.5">
      <c r="A78" s="3051">
        <v>77</v>
      </c>
      <c r="B78" s="3052" t="s">
        <v>3401</v>
      </c>
      <c r="C78" s="3053" t="s">
        <v>3402</v>
      </c>
      <c r="D78" s="3054" t="s">
        <v>3442</v>
      </c>
      <c r="E78" s="3055">
        <v>84.56</v>
      </c>
      <c r="F78" s="3054" t="s">
        <v>3406</v>
      </c>
      <c r="G78" s="3056" t="s">
        <v>3404</v>
      </c>
      <c r="H78" s="3052" t="s">
        <v>3405</v>
      </c>
      <c r="I78" s="3057" t="s">
        <v>3130</v>
      </c>
    </row>
    <row r="79" spans="1:9" ht="14.5">
      <c r="A79" s="3051">
        <v>78</v>
      </c>
      <c r="B79" s="3052" t="s">
        <v>3401</v>
      </c>
      <c r="C79" s="3053" t="s">
        <v>3402</v>
      </c>
      <c r="D79" s="3054" t="s">
        <v>3443</v>
      </c>
      <c r="E79" s="3055">
        <v>84.56</v>
      </c>
      <c r="F79" s="3054" t="s">
        <v>1037</v>
      </c>
      <c r="G79" s="3056" t="s">
        <v>3404</v>
      </c>
      <c r="H79" s="3052" t="s">
        <v>3405</v>
      </c>
      <c r="I79" s="3057" t="s">
        <v>3130</v>
      </c>
    </row>
    <row r="80" spans="1:9" ht="14.5">
      <c r="A80" s="3051">
        <v>79</v>
      </c>
      <c r="B80" s="3052" t="s">
        <v>3401</v>
      </c>
      <c r="C80" s="3053" t="s">
        <v>3402</v>
      </c>
      <c r="D80" s="3054" t="s">
        <v>3444</v>
      </c>
      <c r="E80" s="3055">
        <v>84.56</v>
      </c>
      <c r="F80" s="3054" t="s">
        <v>1037</v>
      </c>
      <c r="G80" s="3056" t="s">
        <v>3404</v>
      </c>
      <c r="H80" s="3052" t="s">
        <v>3405</v>
      </c>
      <c r="I80" s="3057" t="s">
        <v>3130</v>
      </c>
    </row>
    <row r="81" spans="1:9" ht="14.5">
      <c r="A81" s="3051">
        <v>80</v>
      </c>
      <c r="B81" s="3052" t="s">
        <v>3401</v>
      </c>
      <c r="C81" s="3053" t="s">
        <v>3402</v>
      </c>
      <c r="D81" s="3054" t="s">
        <v>3445</v>
      </c>
      <c r="E81" s="3055">
        <v>84.56</v>
      </c>
      <c r="F81" s="3054" t="s">
        <v>1037</v>
      </c>
      <c r="G81" s="3056" t="s">
        <v>3404</v>
      </c>
      <c r="H81" s="3052" t="s">
        <v>3405</v>
      </c>
      <c r="I81" s="3057" t="s">
        <v>3130</v>
      </c>
    </row>
    <row r="82" spans="1:9" ht="14.5">
      <c r="A82" s="3051">
        <v>81</v>
      </c>
      <c r="B82" s="3052" t="s">
        <v>3401</v>
      </c>
      <c r="C82" s="3053" t="s">
        <v>3402</v>
      </c>
      <c r="D82" s="3054" t="s">
        <v>3446</v>
      </c>
      <c r="E82" s="3055">
        <v>84.56</v>
      </c>
      <c r="F82" s="3054" t="s">
        <v>1037</v>
      </c>
      <c r="G82" s="3056" t="s">
        <v>3404</v>
      </c>
      <c r="H82" s="3052" t="s">
        <v>3405</v>
      </c>
      <c r="I82" s="3057" t="s">
        <v>3130</v>
      </c>
    </row>
    <row r="83" spans="1:9" ht="14.5">
      <c r="A83" s="3051">
        <v>82</v>
      </c>
      <c r="B83" s="3052" t="s">
        <v>3401</v>
      </c>
      <c r="C83" s="3053" t="s">
        <v>3402</v>
      </c>
      <c r="D83" s="3054" t="s">
        <v>3447</v>
      </c>
      <c r="E83" s="3055">
        <v>121.17</v>
      </c>
      <c r="F83" s="3054" t="s">
        <v>3448</v>
      </c>
      <c r="G83" s="3056" t="s">
        <v>3430</v>
      </c>
      <c r="H83" s="3052" t="s">
        <v>3405</v>
      </c>
      <c r="I83" s="3057" t="s">
        <v>3130</v>
      </c>
    </row>
    <row r="84" spans="1:9" ht="14.5">
      <c r="A84" s="3051">
        <v>83</v>
      </c>
      <c r="B84" s="3052" t="s">
        <v>3401</v>
      </c>
      <c r="C84" s="3053" t="s">
        <v>3402</v>
      </c>
      <c r="D84" s="3054" t="s">
        <v>3449</v>
      </c>
      <c r="E84" s="3055">
        <v>121.17</v>
      </c>
      <c r="F84" s="3054" t="s">
        <v>1043</v>
      </c>
      <c r="G84" s="3056" t="s">
        <v>3430</v>
      </c>
      <c r="H84" s="3052" t="s">
        <v>3405</v>
      </c>
      <c r="I84" s="3057" t="s">
        <v>3130</v>
      </c>
    </row>
    <row r="85" spans="1:9" ht="14.5">
      <c r="A85" s="3051">
        <v>84</v>
      </c>
      <c r="B85" s="3052" t="s">
        <v>3401</v>
      </c>
      <c r="C85" s="3053" t="s">
        <v>3412</v>
      </c>
      <c r="D85" s="3059" t="s">
        <v>3450</v>
      </c>
      <c r="E85" s="3055">
        <v>84.56</v>
      </c>
      <c r="F85" s="3054" t="s">
        <v>1037</v>
      </c>
      <c r="G85" s="3056" t="s">
        <v>3404</v>
      </c>
      <c r="H85" s="3052" t="s">
        <v>3410</v>
      </c>
      <c r="I85" s="3057" t="s">
        <v>3130</v>
      </c>
    </row>
    <row r="86" spans="1:9" ht="14.5">
      <c r="A86" s="3051">
        <v>85</v>
      </c>
      <c r="B86" s="3052" t="s">
        <v>3401</v>
      </c>
      <c r="C86" s="3053" t="s">
        <v>3412</v>
      </c>
      <c r="D86" s="3059" t="s">
        <v>3451</v>
      </c>
      <c r="E86" s="3055">
        <v>84.56</v>
      </c>
      <c r="F86" s="3054" t="s">
        <v>3406</v>
      </c>
      <c r="G86" s="3056" t="s">
        <v>3404</v>
      </c>
      <c r="H86" s="3052" t="s">
        <v>3410</v>
      </c>
      <c r="I86" s="3057" t="s">
        <v>3130</v>
      </c>
    </row>
    <row r="87" spans="1:9" ht="14.5">
      <c r="A87" s="3051">
        <v>86</v>
      </c>
      <c r="B87" s="3052" t="s">
        <v>3401</v>
      </c>
      <c r="C87" s="3053" t="s">
        <v>3402</v>
      </c>
      <c r="D87" s="3059" t="s">
        <v>3452</v>
      </c>
      <c r="E87" s="3055">
        <v>121.17</v>
      </c>
      <c r="F87" s="3054" t="s">
        <v>3448</v>
      </c>
      <c r="G87" s="3056" t="s">
        <v>3430</v>
      </c>
      <c r="H87" s="3052" t="s">
        <v>3405</v>
      </c>
      <c r="I87" s="3057" t="s">
        <v>3130</v>
      </c>
    </row>
    <row r="88" spans="1:9" ht="14.5">
      <c r="A88" s="3051">
        <v>87</v>
      </c>
      <c r="B88" s="3052" t="s">
        <v>3401</v>
      </c>
      <c r="C88" s="3053" t="s">
        <v>3402</v>
      </c>
      <c r="D88" s="3059" t="s">
        <v>3453</v>
      </c>
      <c r="E88" s="3055">
        <v>121.17</v>
      </c>
      <c r="F88" s="3054" t="s">
        <v>1043</v>
      </c>
      <c r="G88" s="3056" t="s">
        <v>3430</v>
      </c>
      <c r="H88" s="3052" t="s">
        <v>3405</v>
      </c>
      <c r="I88" s="3057" t="s">
        <v>3130</v>
      </c>
    </row>
    <row r="89" spans="1:9" ht="14.5">
      <c r="A89" s="3051">
        <v>88</v>
      </c>
      <c r="B89" s="3052" t="s">
        <v>3401</v>
      </c>
      <c r="C89" s="3053" t="s">
        <v>3408</v>
      </c>
      <c r="D89" s="3059" t="s">
        <v>3454</v>
      </c>
      <c r="E89" s="3055">
        <v>84.56</v>
      </c>
      <c r="F89" s="3054" t="s">
        <v>3406</v>
      </c>
      <c r="G89" s="3056" t="s">
        <v>3404</v>
      </c>
      <c r="H89" s="3052" t="s">
        <v>3410</v>
      </c>
      <c r="I89" s="3057" t="s">
        <v>3130</v>
      </c>
    </row>
    <row r="90" spans="1:9" ht="14.5">
      <c r="A90" s="3051">
        <v>89</v>
      </c>
      <c r="B90" s="3052" t="s">
        <v>3401</v>
      </c>
      <c r="C90" s="3053" t="s">
        <v>3408</v>
      </c>
      <c r="D90" s="3059" t="s">
        <v>3455</v>
      </c>
      <c r="E90" s="3055">
        <v>84.56</v>
      </c>
      <c r="F90" s="3054" t="s">
        <v>3406</v>
      </c>
      <c r="G90" s="3056" t="s">
        <v>3404</v>
      </c>
      <c r="H90" s="3052" t="s">
        <v>3410</v>
      </c>
      <c r="I90" s="3057" t="s">
        <v>3130</v>
      </c>
    </row>
    <row r="91" spans="1:9" ht="14.5">
      <c r="A91" s="3051">
        <v>90</v>
      </c>
      <c r="B91" s="3052" t="s">
        <v>3401</v>
      </c>
      <c r="C91" s="3053" t="s">
        <v>3402</v>
      </c>
      <c r="D91" s="3059" t="s">
        <v>3456</v>
      </c>
      <c r="E91" s="3055">
        <v>84.56</v>
      </c>
      <c r="F91" s="3054" t="s">
        <v>3406</v>
      </c>
      <c r="G91" s="3056" t="s">
        <v>3404</v>
      </c>
      <c r="H91" s="3052" t="s">
        <v>3405</v>
      </c>
      <c r="I91" s="3057" t="s">
        <v>3130</v>
      </c>
    </row>
    <row r="92" spans="1:9" ht="14.5">
      <c r="A92" s="3051">
        <v>91</v>
      </c>
      <c r="B92" s="3052" t="s">
        <v>3401</v>
      </c>
      <c r="C92" s="3053" t="s">
        <v>3412</v>
      </c>
      <c r="D92" s="3059" t="s">
        <v>3457</v>
      </c>
      <c r="E92" s="3055">
        <v>84.56</v>
      </c>
      <c r="F92" s="3054" t="s">
        <v>1037</v>
      </c>
      <c r="G92" s="3056" t="s">
        <v>3404</v>
      </c>
      <c r="H92" s="3052" t="s">
        <v>3410</v>
      </c>
      <c r="I92" s="3057" t="s">
        <v>3130</v>
      </c>
    </row>
    <row r="93" spans="1:9" ht="14.5">
      <c r="A93" s="3051">
        <v>92</v>
      </c>
      <c r="B93" s="3052" t="s">
        <v>3401</v>
      </c>
      <c r="C93" s="3053" t="s">
        <v>3402</v>
      </c>
      <c r="D93" s="3059" t="s">
        <v>3458</v>
      </c>
      <c r="E93" s="3055">
        <v>84.56</v>
      </c>
      <c r="F93" s="3054" t="s">
        <v>1037</v>
      </c>
      <c r="G93" s="3056" t="s">
        <v>3407</v>
      </c>
      <c r="H93" s="3052" t="s">
        <v>3405</v>
      </c>
      <c r="I93" s="3057" t="s">
        <v>3130</v>
      </c>
    </row>
    <row r="94" spans="1:9" ht="14.5">
      <c r="A94" s="3051">
        <v>93</v>
      </c>
      <c r="B94" s="3052" t="s">
        <v>3401</v>
      </c>
      <c r="C94" s="3053" t="s">
        <v>3402</v>
      </c>
      <c r="D94" s="3059" t="s">
        <v>3459</v>
      </c>
      <c r="E94" s="3055">
        <v>84.56</v>
      </c>
      <c r="F94" s="3054" t="s">
        <v>1037</v>
      </c>
      <c r="G94" s="3056" t="s">
        <v>3407</v>
      </c>
      <c r="H94" s="3052" t="s">
        <v>3405</v>
      </c>
      <c r="I94" s="3057" t="s">
        <v>3130</v>
      </c>
    </row>
    <row r="95" spans="1:9" ht="14.5">
      <c r="A95" s="3051">
        <v>94</v>
      </c>
      <c r="B95" s="3052" t="s">
        <v>3401</v>
      </c>
      <c r="C95" s="3053" t="s">
        <v>3402</v>
      </c>
      <c r="D95" s="3059" t="s">
        <v>3460</v>
      </c>
      <c r="E95" s="3055">
        <v>121.17</v>
      </c>
      <c r="F95" s="3054" t="s">
        <v>3448</v>
      </c>
      <c r="G95" s="3056" t="s">
        <v>3430</v>
      </c>
      <c r="H95" s="3052" t="s">
        <v>3405</v>
      </c>
      <c r="I95" s="3057" t="s">
        <v>3130</v>
      </c>
    </row>
    <row r="96" spans="1:9" ht="14.5">
      <c r="A96" s="3051">
        <v>95</v>
      </c>
      <c r="B96" s="3052" t="s">
        <v>3401</v>
      </c>
      <c r="C96" s="3053" t="s">
        <v>3402</v>
      </c>
      <c r="D96" s="3059" t="s">
        <v>3461</v>
      </c>
      <c r="E96" s="3055">
        <v>121.17</v>
      </c>
      <c r="F96" s="3054" t="s">
        <v>1043</v>
      </c>
      <c r="G96" s="3056" t="s">
        <v>3430</v>
      </c>
      <c r="H96" s="3052" t="s">
        <v>3405</v>
      </c>
      <c r="I96" s="3057" t="s">
        <v>3130</v>
      </c>
    </row>
    <row r="97" spans="1:9" ht="14.5">
      <c r="A97" s="3051">
        <v>96</v>
      </c>
      <c r="B97" s="3052" t="s">
        <v>3401</v>
      </c>
      <c r="C97" s="3053" t="s">
        <v>3402</v>
      </c>
      <c r="D97" s="3059" t="s">
        <v>3462</v>
      </c>
      <c r="E97" s="3055">
        <v>84.56</v>
      </c>
      <c r="F97" s="3054" t="s">
        <v>1037</v>
      </c>
      <c r="G97" s="3056" t="s">
        <v>3404</v>
      </c>
      <c r="H97" s="3052" t="s">
        <v>3405</v>
      </c>
      <c r="I97" s="3057" t="s">
        <v>3130</v>
      </c>
    </row>
    <row r="98" spans="1:9" ht="14.5">
      <c r="A98" s="3051">
        <v>97</v>
      </c>
      <c r="B98" s="3052" t="s">
        <v>3401</v>
      </c>
      <c r="C98" s="3053" t="s">
        <v>3402</v>
      </c>
      <c r="D98" s="3059" t="s">
        <v>3463</v>
      </c>
      <c r="E98" s="3055">
        <v>84.56</v>
      </c>
      <c r="F98" s="3054" t="s">
        <v>1037</v>
      </c>
      <c r="G98" s="3056" t="s">
        <v>3404</v>
      </c>
      <c r="H98" s="3052" t="s">
        <v>3405</v>
      </c>
      <c r="I98" s="3057" t="s">
        <v>3130</v>
      </c>
    </row>
    <row r="99" spans="1:9" ht="14.5">
      <c r="A99" s="3051">
        <v>98</v>
      </c>
      <c r="B99" s="3052" t="s">
        <v>3401</v>
      </c>
      <c r="C99" s="3053" t="s">
        <v>3402</v>
      </c>
      <c r="D99" s="3059" t="s">
        <v>3464</v>
      </c>
      <c r="E99" s="3055">
        <v>84.56</v>
      </c>
      <c r="F99" s="3054" t="s">
        <v>1037</v>
      </c>
      <c r="G99" s="3056" t="s">
        <v>3404</v>
      </c>
      <c r="H99" s="3052" t="s">
        <v>3405</v>
      </c>
      <c r="I99" s="3057" t="s">
        <v>3130</v>
      </c>
    </row>
    <row r="100" spans="1:9" ht="14.5">
      <c r="A100" s="3051">
        <v>99</v>
      </c>
      <c r="B100" s="3052" t="s">
        <v>3401</v>
      </c>
      <c r="C100" s="3053" t="s">
        <v>3402</v>
      </c>
      <c r="D100" s="3059" t="s">
        <v>3465</v>
      </c>
      <c r="E100" s="3055">
        <v>84.56</v>
      </c>
      <c r="F100" s="3054" t="s">
        <v>1037</v>
      </c>
      <c r="G100" s="3056" t="s">
        <v>3404</v>
      </c>
      <c r="H100" s="3052" t="s">
        <v>3405</v>
      </c>
      <c r="I100" s="3057" t="s">
        <v>3130</v>
      </c>
    </row>
    <row r="101" spans="1:9">
      <c r="E101" s="3060">
        <f>SUM(E2:E100)</f>
        <v>8777.0600000000104</v>
      </c>
    </row>
  </sheetData>
  <phoneticPr fontId="143" type="noConversion"/>
  <conditionalFormatting sqref="D1">
    <cfRule type="duplicateValues" dxfId="157" priority="6"/>
    <cfRule type="duplicateValues" dxfId="156" priority="7"/>
    <cfRule type="duplicateValues" dxfId="155" priority="8"/>
  </conditionalFormatting>
  <conditionalFormatting sqref="D1:D100">
    <cfRule type="duplicateValues" dxfId="154" priority="4"/>
    <cfRule type="duplicateValues" dxfId="153" priority="5"/>
  </conditionalFormatting>
  <conditionalFormatting sqref="D2:D100">
    <cfRule type="duplicateValues" dxfId="152" priority="1"/>
    <cfRule type="duplicateValues" dxfId="151" priority="2"/>
    <cfRule type="duplicateValues" dxfId="150" priority="3"/>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P128"/>
  <sheetViews>
    <sheetView topLeftCell="A4" workbookViewId="0">
      <selection activeCell="O20" sqref="O20"/>
    </sheetView>
  </sheetViews>
  <sheetFormatPr defaultColWidth="9" defaultRowHeight="14"/>
  <cols>
    <col min="1" max="1" width="6.26953125" customWidth="1"/>
    <col min="2" max="2" width="12.7265625" customWidth="1"/>
    <col min="3" max="3" width="12.26953125" customWidth="1"/>
    <col min="4" max="4" width="11.6328125" customWidth="1"/>
    <col min="7" max="8" width="11.90625" customWidth="1"/>
    <col min="13" max="13" width="12.453125" customWidth="1"/>
  </cols>
  <sheetData>
    <row r="1" spans="1:16" ht="45.5" thickBot="1">
      <c r="A1" s="3031" t="s">
        <v>3128</v>
      </c>
      <c r="B1" s="3031" t="s">
        <v>3368</v>
      </c>
      <c r="C1" s="3031" t="s">
        <v>3369</v>
      </c>
      <c r="D1" s="3031" t="s">
        <v>3370</v>
      </c>
      <c r="E1" s="3031" t="s">
        <v>3371</v>
      </c>
      <c r="F1" s="3031" t="s">
        <v>3372</v>
      </c>
      <c r="I1" s="3003" t="s">
        <v>3295</v>
      </c>
      <c r="J1" s="3003" t="s">
        <v>3297</v>
      </c>
      <c r="M1" s="3003" t="s">
        <v>3298</v>
      </c>
      <c r="N1" s="3003" t="s">
        <v>3295</v>
      </c>
      <c r="O1" s="3003" t="s">
        <v>3297</v>
      </c>
    </row>
    <row r="2" spans="1:16">
      <c r="A2" s="3032">
        <v>1</v>
      </c>
      <c r="B2" s="3032" t="s">
        <v>3129</v>
      </c>
      <c r="C2" s="3032" t="s">
        <v>3373</v>
      </c>
      <c r="D2" s="3032" t="s">
        <v>3374</v>
      </c>
      <c r="E2" s="3032" t="s">
        <v>1037</v>
      </c>
      <c r="F2" s="3032">
        <v>84.56</v>
      </c>
      <c r="G2" s="3003" t="s">
        <v>3292</v>
      </c>
      <c r="H2">
        <v>102</v>
      </c>
      <c r="I2">
        <v>75.14</v>
      </c>
      <c r="J2">
        <v>9.42</v>
      </c>
      <c r="K2">
        <f>SUM(I2:J2)</f>
        <v>84.56</v>
      </c>
      <c r="M2">
        <f>149-H2</f>
        <v>47</v>
      </c>
    </row>
    <row r="3" spans="1:16">
      <c r="A3" s="3033">
        <v>2</v>
      </c>
      <c r="B3" s="3033" t="s">
        <v>3131</v>
      </c>
      <c r="C3" s="3033" t="s">
        <v>3373</v>
      </c>
      <c r="D3" s="3033" t="s">
        <v>3374</v>
      </c>
      <c r="E3" s="3033" t="s">
        <v>1037</v>
      </c>
      <c r="F3" s="3033">
        <v>84.56</v>
      </c>
      <c r="G3" s="3003" t="s">
        <v>3293</v>
      </c>
      <c r="H3">
        <v>6</v>
      </c>
      <c r="I3">
        <v>122.14</v>
      </c>
      <c r="J3">
        <v>0</v>
      </c>
      <c r="K3">
        <f>SUM(I3:J3)</f>
        <v>122.14</v>
      </c>
      <c r="M3">
        <f>8-H3</f>
        <v>2</v>
      </c>
    </row>
    <row r="4" spans="1:16">
      <c r="A4" s="3033">
        <v>3</v>
      </c>
      <c r="B4" s="3033" t="s">
        <v>3132</v>
      </c>
      <c r="C4" s="3033" t="s">
        <v>3373</v>
      </c>
      <c r="D4" s="3033" t="s">
        <v>3374</v>
      </c>
      <c r="E4" s="3033" t="s">
        <v>1037</v>
      </c>
      <c r="F4" s="3033">
        <v>84.56</v>
      </c>
      <c r="G4" s="3003" t="s">
        <v>3294</v>
      </c>
      <c r="H4">
        <v>9</v>
      </c>
      <c r="I4">
        <v>121.17</v>
      </c>
      <c r="J4">
        <v>0</v>
      </c>
      <c r="K4">
        <f>SUM(I4:J4)</f>
        <v>121.17</v>
      </c>
      <c r="M4">
        <f>12-H4</f>
        <v>3</v>
      </c>
    </row>
    <row r="5" spans="1:16">
      <c r="A5" s="3033">
        <v>4</v>
      </c>
      <c r="B5" s="3033" t="s">
        <v>3133</v>
      </c>
      <c r="C5" s="3033" t="s">
        <v>3373</v>
      </c>
      <c r="D5" s="3033" t="s">
        <v>3374</v>
      </c>
      <c r="E5" s="3033" t="s">
        <v>1037</v>
      </c>
      <c r="F5" s="3033">
        <v>84.56</v>
      </c>
      <c r="H5">
        <f>SUM(H2:H4)</f>
        <v>117</v>
      </c>
      <c r="I5">
        <f>I2*H2+I3*H3+I4*H4</f>
        <v>9487.65</v>
      </c>
      <c r="J5">
        <f>J2*H2</f>
        <v>960.84</v>
      </c>
      <c r="K5">
        <f>K2*H2+K3*H3+K4*H4</f>
        <v>10448.490000000002</v>
      </c>
      <c r="M5">
        <f>SUM(M2:M4)</f>
        <v>52</v>
      </c>
      <c r="N5">
        <f>I2*M2+I3*M3+I4*M4</f>
        <v>4139.37</v>
      </c>
      <c r="O5">
        <f>J2*M2</f>
        <v>442.74</v>
      </c>
      <c r="P5">
        <f>SUM(N5:O5)</f>
        <v>4582.1099999999997</v>
      </c>
    </row>
    <row r="6" spans="1:16">
      <c r="A6" s="3032">
        <v>5</v>
      </c>
      <c r="B6" s="3033" t="s">
        <v>3134</v>
      </c>
      <c r="C6" s="3033" t="s">
        <v>3373</v>
      </c>
      <c r="D6" s="3033" t="s">
        <v>3374</v>
      </c>
      <c r="E6" s="3033" t="s">
        <v>1037</v>
      </c>
      <c r="F6" s="3033">
        <v>84.56</v>
      </c>
      <c r="G6" s="3003"/>
    </row>
    <row r="7" spans="1:16">
      <c r="A7" s="3033">
        <v>6</v>
      </c>
      <c r="B7" s="3033" t="s">
        <v>3135</v>
      </c>
      <c r="C7" s="3033" t="s">
        <v>3373</v>
      </c>
      <c r="D7" s="3033" t="s">
        <v>3374</v>
      </c>
      <c r="E7" s="3033" t="s">
        <v>1037</v>
      </c>
      <c r="F7" s="3033">
        <v>84.56</v>
      </c>
      <c r="K7" s="3003" t="s">
        <v>3357</v>
      </c>
      <c r="N7" s="3003" t="s">
        <v>3298</v>
      </c>
    </row>
    <row r="8" spans="1:16">
      <c r="A8" s="3033">
        <v>7</v>
      </c>
      <c r="B8" s="3033" t="s">
        <v>3136</v>
      </c>
      <c r="C8" s="3033" t="s">
        <v>3373</v>
      </c>
      <c r="D8" s="3033" t="s">
        <v>3374</v>
      </c>
      <c r="E8" s="3033" t="s">
        <v>1037</v>
      </c>
      <c r="F8" s="3033">
        <v>84.56</v>
      </c>
      <c r="G8" s="3003" t="s">
        <v>3292</v>
      </c>
      <c r="I8">
        <v>84</v>
      </c>
      <c r="J8">
        <v>340</v>
      </c>
      <c r="K8">
        <f>J8-I8</f>
        <v>256</v>
      </c>
      <c r="L8">
        <f>K8*H2</f>
        <v>26112</v>
      </c>
      <c r="N8">
        <f>M2</f>
        <v>47</v>
      </c>
      <c r="O8">
        <f>K8*N8</f>
        <v>12032</v>
      </c>
    </row>
    <row r="9" spans="1:16">
      <c r="A9" s="3033">
        <v>8</v>
      </c>
      <c r="B9" s="3033" t="s">
        <v>3137</v>
      </c>
      <c r="C9" s="3032" t="s">
        <v>3373</v>
      </c>
      <c r="D9" s="3033" t="s">
        <v>3374</v>
      </c>
      <c r="E9" s="3033" t="s">
        <v>1037</v>
      </c>
      <c r="F9" s="3033">
        <v>84.56</v>
      </c>
      <c r="G9" s="3003" t="s">
        <v>3293</v>
      </c>
      <c r="I9">
        <v>122</v>
      </c>
      <c r="J9">
        <v>428</v>
      </c>
      <c r="K9">
        <f t="shared" ref="K9:K10" si="0">J9-I9</f>
        <v>306</v>
      </c>
      <c r="L9">
        <f>K9*H3</f>
        <v>1836</v>
      </c>
      <c r="N9">
        <f>M3</f>
        <v>2</v>
      </c>
      <c r="O9">
        <f t="shared" ref="O9:O10" si="1">K9*N9</f>
        <v>612</v>
      </c>
    </row>
    <row r="10" spans="1:16">
      <c r="A10" s="3032">
        <v>9</v>
      </c>
      <c r="B10" s="3033" t="s">
        <v>3138</v>
      </c>
      <c r="C10" s="3033" t="s">
        <v>3373</v>
      </c>
      <c r="D10" s="3033" t="s">
        <v>3374</v>
      </c>
      <c r="E10" s="3033" t="s">
        <v>1037</v>
      </c>
      <c r="F10" s="3033">
        <v>84.56</v>
      </c>
      <c r="G10" s="3003" t="s">
        <v>3294</v>
      </c>
      <c r="I10">
        <v>121</v>
      </c>
      <c r="J10">
        <v>431</v>
      </c>
      <c r="K10">
        <f t="shared" si="0"/>
        <v>310</v>
      </c>
      <c r="L10">
        <f>K10*H4</f>
        <v>2790</v>
      </c>
      <c r="N10">
        <f>M4</f>
        <v>3</v>
      </c>
      <c r="O10">
        <f t="shared" si="1"/>
        <v>930</v>
      </c>
    </row>
    <row r="11" spans="1:16">
      <c r="A11" s="3033">
        <v>10</v>
      </c>
      <c r="B11" s="3033" t="s">
        <v>3139</v>
      </c>
      <c r="C11" s="3033" t="s">
        <v>3373</v>
      </c>
      <c r="D11" s="3033" t="s">
        <v>3374</v>
      </c>
      <c r="E11" s="3033" t="s">
        <v>1037</v>
      </c>
      <c r="F11" s="3033">
        <v>84.56</v>
      </c>
      <c r="L11">
        <f>SUM(L8:L10)</f>
        <v>30738</v>
      </c>
      <c r="N11">
        <f>SUM(N8:N10)</f>
        <v>52</v>
      </c>
      <c r="O11">
        <f>SUM(O8:O10)</f>
        <v>13574</v>
      </c>
    </row>
    <row r="12" spans="1:16">
      <c r="A12" s="3033">
        <v>11</v>
      </c>
      <c r="B12" s="3033" t="s">
        <v>3140</v>
      </c>
      <c r="C12" s="3033" t="s">
        <v>3373</v>
      </c>
      <c r="D12" s="3033" t="s">
        <v>3374</v>
      </c>
      <c r="E12" s="3033" t="s">
        <v>1037</v>
      </c>
      <c r="F12" s="3033">
        <v>84.56</v>
      </c>
    </row>
    <row r="13" spans="1:16">
      <c r="A13" s="3033">
        <v>12</v>
      </c>
      <c r="B13" s="3033" t="s">
        <v>3141</v>
      </c>
      <c r="C13" s="3033" t="s">
        <v>3373</v>
      </c>
      <c r="D13" s="3033" t="s">
        <v>3374</v>
      </c>
      <c r="E13" s="3033" t="s">
        <v>1037</v>
      </c>
      <c r="F13" s="3033">
        <v>84.56</v>
      </c>
    </row>
    <row r="14" spans="1:16">
      <c r="A14" s="3032">
        <v>13</v>
      </c>
      <c r="B14" s="3033" t="s">
        <v>3142</v>
      </c>
      <c r="C14" s="3033" t="s">
        <v>3373</v>
      </c>
      <c r="D14" s="3033" t="s">
        <v>3374</v>
      </c>
      <c r="E14" s="3033" t="s">
        <v>1037</v>
      </c>
      <c r="F14" s="3033">
        <v>84.56</v>
      </c>
    </row>
    <row r="15" spans="1:16">
      <c r="A15" s="3033">
        <v>14</v>
      </c>
      <c r="B15" s="3033" t="s">
        <v>3143</v>
      </c>
      <c r="C15" s="3033" t="s">
        <v>3373</v>
      </c>
      <c r="D15" s="3033" t="s">
        <v>3374</v>
      </c>
      <c r="E15" s="3033" t="s">
        <v>1037</v>
      </c>
      <c r="F15" s="3033">
        <v>84.56</v>
      </c>
      <c r="G15" s="3003" t="s">
        <v>3359</v>
      </c>
      <c r="H15">
        <f>'数据-基础表'!A3</f>
        <v>131452.39000000001</v>
      </c>
      <c r="J15" s="3003" t="s">
        <v>3358</v>
      </c>
      <c r="M15" s="3003"/>
      <c r="N15" s="3003" t="s">
        <v>3364</v>
      </c>
      <c r="O15" s="3003" t="s">
        <v>3365</v>
      </c>
    </row>
    <row r="16" spans="1:16">
      <c r="A16" s="3033">
        <v>15</v>
      </c>
      <c r="B16" s="3033" t="s">
        <v>3144</v>
      </c>
      <c r="C16" s="3032" t="s">
        <v>3373</v>
      </c>
      <c r="D16" s="3033" t="s">
        <v>3374</v>
      </c>
      <c r="E16" s="3033" t="s">
        <v>1037</v>
      </c>
      <c r="F16" s="3033">
        <v>84.56</v>
      </c>
      <c r="G16" s="3003" t="s">
        <v>3360</v>
      </c>
      <c r="H16">
        <f>'数据-基础表'!H13+'数据-基础表'!H14</f>
        <v>15030.599999999999</v>
      </c>
      <c r="I16">
        <f>'数据-基础表'!H13</f>
        <v>8777.06</v>
      </c>
      <c r="J16">
        <f>ROUND(I16/H20*H15,2)</f>
        <v>9578.9699999999993</v>
      </c>
      <c r="M16" s="3003" t="s">
        <v>3360</v>
      </c>
      <c r="N16">
        <f>I16</f>
        <v>8777.06</v>
      </c>
      <c r="O16">
        <f>J8/2*H2+J9/2*H3+J10/2*H4</f>
        <v>20563.5</v>
      </c>
    </row>
    <row r="17" spans="1:16">
      <c r="A17" s="3033">
        <v>16</v>
      </c>
      <c r="B17" s="3033" t="s">
        <v>3145</v>
      </c>
      <c r="C17" s="3033" t="s">
        <v>3373</v>
      </c>
      <c r="D17" s="3033" t="s">
        <v>3374</v>
      </c>
      <c r="E17" s="3033" t="s">
        <v>1037</v>
      </c>
      <c r="F17" s="3033">
        <v>84.56</v>
      </c>
      <c r="G17" s="3003" t="s">
        <v>3361</v>
      </c>
      <c r="H17">
        <f>'数据-基础表'!G15</f>
        <v>33246.120000000003</v>
      </c>
      <c r="I17">
        <v>0</v>
      </c>
    </row>
    <row r="18" spans="1:16">
      <c r="A18" s="3032">
        <v>17</v>
      </c>
      <c r="B18" s="3033" t="s">
        <v>3146</v>
      </c>
      <c r="C18" s="3033" t="s">
        <v>3373</v>
      </c>
      <c r="D18" s="3033" t="s">
        <v>3374</v>
      </c>
      <c r="E18" s="3033" t="s">
        <v>1037</v>
      </c>
      <c r="F18" s="3033">
        <v>84.56</v>
      </c>
      <c r="G18" s="3003" t="s">
        <v>3362</v>
      </c>
      <c r="H18">
        <f>'数据-基础表'!G16</f>
        <v>60489.659999999996</v>
      </c>
      <c r="I18">
        <f>H18</f>
        <v>60489.659999999996</v>
      </c>
      <c r="J18">
        <f>ROUND(I18/H20*H15,2)</f>
        <v>66016.259999999995</v>
      </c>
      <c r="M18" s="3003" t="s">
        <v>3366</v>
      </c>
      <c r="N18">
        <f>I18</f>
        <v>60489.659999999996</v>
      </c>
    </row>
    <row r="19" spans="1:16">
      <c r="A19" s="3033">
        <v>18</v>
      </c>
      <c r="B19" s="3033" t="s">
        <v>3147</v>
      </c>
      <c r="C19" s="3033" t="s">
        <v>3373</v>
      </c>
      <c r="D19" s="3033" t="s">
        <v>3374</v>
      </c>
      <c r="E19" s="3033" t="s">
        <v>1037</v>
      </c>
      <c r="F19" s="3033">
        <v>84.56</v>
      </c>
      <c r="G19" s="3003" t="s">
        <v>3363</v>
      </c>
      <c r="H19">
        <f>'数据-基础表'!G17</f>
        <v>11681.380000000001</v>
      </c>
      <c r="I19">
        <f>H19</f>
        <v>11681.380000000001</v>
      </c>
      <c r="J19">
        <f>ROUND(I19/H20*H15,2)</f>
        <v>12748.64</v>
      </c>
      <c r="M19" s="3003" t="s">
        <v>3363</v>
      </c>
      <c r="N19">
        <f>I19</f>
        <v>11681.380000000001</v>
      </c>
    </row>
    <row r="20" spans="1:16">
      <c r="A20" s="3033">
        <v>19</v>
      </c>
      <c r="B20" s="3033" t="s">
        <v>3148</v>
      </c>
      <c r="C20" s="3033" t="s">
        <v>3373</v>
      </c>
      <c r="D20" s="3033" t="s">
        <v>3374</v>
      </c>
      <c r="E20" s="3033" t="s">
        <v>1037</v>
      </c>
      <c r="F20" s="3033">
        <v>84.56</v>
      </c>
      <c r="H20">
        <f>SUM(H16:H19)</f>
        <v>120447.76000000001</v>
      </c>
      <c r="I20">
        <f>SUM(I16:I19)</f>
        <v>80948.100000000006</v>
      </c>
      <c r="J20">
        <f>SUM(J16:J19)</f>
        <v>88343.87</v>
      </c>
      <c r="N20">
        <f>SUM(N16:N19)</f>
        <v>80948.100000000006</v>
      </c>
      <c r="O20">
        <f>SUM(O16:O19)</f>
        <v>20563.5</v>
      </c>
      <c r="P20" s="2999">
        <f>SUM(N20:O20)</f>
        <v>101511.6</v>
      </c>
    </row>
    <row r="21" spans="1:16">
      <c r="A21" s="3033">
        <v>20</v>
      </c>
      <c r="B21" s="3033" t="s">
        <v>3149</v>
      </c>
      <c r="C21" s="3033" t="s">
        <v>3373</v>
      </c>
      <c r="D21" s="3033" t="s">
        <v>3374</v>
      </c>
      <c r="E21" s="3033" t="s">
        <v>1037</v>
      </c>
      <c r="F21" s="3033">
        <v>84.56</v>
      </c>
    </row>
    <row r="22" spans="1:16">
      <c r="A22" s="3032">
        <v>21</v>
      </c>
      <c r="B22" s="3033" t="s">
        <v>3150</v>
      </c>
      <c r="C22" s="3033" t="s">
        <v>3373</v>
      </c>
      <c r="D22" s="3033" t="s">
        <v>3374</v>
      </c>
      <c r="E22" s="3033" t="s">
        <v>1037</v>
      </c>
      <c r="F22" s="3033">
        <v>84.56</v>
      </c>
    </row>
    <row r="23" spans="1:16">
      <c r="A23" s="3033">
        <v>22</v>
      </c>
      <c r="B23" s="3045" t="s">
        <v>3151</v>
      </c>
      <c r="C23" s="3032" t="s">
        <v>3373</v>
      </c>
      <c r="D23" s="3033" t="s">
        <v>3374</v>
      </c>
      <c r="E23" s="3033" t="s">
        <v>1037</v>
      </c>
      <c r="F23" s="3033">
        <v>84.56</v>
      </c>
    </row>
    <row r="24" spans="1:16">
      <c r="A24" s="3033">
        <v>23</v>
      </c>
      <c r="B24" s="3045" t="s">
        <v>3152</v>
      </c>
      <c r="C24" s="3033" t="s">
        <v>3373</v>
      </c>
      <c r="D24" s="3033" t="s">
        <v>3374</v>
      </c>
      <c r="E24" s="3033" t="s">
        <v>1037</v>
      </c>
      <c r="F24" s="3033">
        <v>84.56</v>
      </c>
    </row>
    <row r="25" spans="1:16">
      <c r="A25" s="3033">
        <v>24</v>
      </c>
      <c r="B25" s="3045" t="s">
        <v>3153</v>
      </c>
      <c r="C25" s="3033" t="s">
        <v>3373</v>
      </c>
      <c r="D25" s="3033" t="s">
        <v>3374</v>
      </c>
      <c r="E25" s="3033" t="s">
        <v>1037</v>
      </c>
      <c r="F25" s="3033">
        <v>84.56</v>
      </c>
    </row>
    <row r="26" spans="1:16">
      <c r="A26" s="3032">
        <v>25</v>
      </c>
      <c r="B26" s="3033" t="s">
        <v>3154</v>
      </c>
      <c r="C26" s="3033" t="s">
        <v>3373</v>
      </c>
      <c r="D26" s="3033" t="s">
        <v>3374</v>
      </c>
      <c r="E26" s="3033" t="s">
        <v>1037</v>
      </c>
      <c r="F26" s="3033">
        <v>84.56</v>
      </c>
    </row>
    <row r="27" spans="1:16">
      <c r="A27" s="3033">
        <v>26</v>
      </c>
      <c r="B27" s="3045" t="s">
        <v>3155</v>
      </c>
      <c r="C27" s="3033" t="s">
        <v>3373</v>
      </c>
      <c r="D27" s="3033" t="s">
        <v>3374</v>
      </c>
      <c r="E27" s="3033" t="s">
        <v>1037</v>
      </c>
      <c r="F27" s="3033">
        <v>84.56</v>
      </c>
    </row>
    <row r="28" spans="1:16">
      <c r="A28" s="3033">
        <v>27</v>
      </c>
      <c r="B28" s="3033" t="s">
        <v>3156</v>
      </c>
      <c r="C28" s="3033" t="s">
        <v>3373</v>
      </c>
      <c r="D28" s="3033" t="s">
        <v>3374</v>
      </c>
      <c r="E28" s="3033" t="s">
        <v>1037</v>
      </c>
      <c r="F28" s="3033">
        <v>84.56</v>
      </c>
    </row>
    <row r="29" spans="1:16">
      <c r="A29" s="3033">
        <v>28</v>
      </c>
      <c r="B29" s="3034" t="s">
        <v>3157</v>
      </c>
      <c r="C29" s="3033" t="s">
        <v>3373</v>
      </c>
      <c r="D29" s="3034" t="s">
        <v>3374</v>
      </c>
      <c r="E29" s="3034" t="s">
        <v>1038</v>
      </c>
      <c r="F29" s="3033">
        <v>122.14</v>
      </c>
    </row>
    <row r="30" spans="1:16">
      <c r="A30" s="3032">
        <v>29</v>
      </c>
      <c r="B30" s="3034" t="s">
        <v>3158</v>
      </c>
      <c r="C30" s="3032" t="s">
        <v>3373</v>
      </c>
      <c r="D30" s="3034" t="s">
        <v>3374</v>
      </c>
      <c r="E30" s="3034" t="s">
        <v>1038</v>
      </c>
      <c r="F30" s="3033">
        <v>122.14</v>
      </c>
    </row>
    <row r="31" spans="1:16">
      <c r="A31" s="3033">
        <v>30</v>
      </c>
      <c r="B31" s="3033" t="s">
        <v>3159</v>
      </c>
      <c r="C31" s="3033" t="s">
        <v>3373</v>
      </c>
      <c r="D31" s="3033" t="s">
        <v>3374</v>
      </c>
      <c r="E31" s="3033" t="s">
        <v>1037</v>
      </c>
      <c r="F31" s="3033">
        <v>84.56</v>
      </c>
    </row>
    <row r="32" spans="1:16">
      <c r="A32" s="3033">
        <v>31</v>
      </c>
      <c r="B32" s="3033" t="s">
        <v>3160</v>
      </c>
      <c r="C32" s="3033" t="s">
        <v>3373</v>
      </c>
      <c r="D32" s="3033" t="s">
        <v>3374</v>
      </c>
      <c r="E32" s="3033" t="s">
        <v>1037</v>
      </c>
      <c r="F32" s="3033">
        <v>84.56</v>
      </c>
    </row>
    <row r="33" spans="1:6">
      <c r="A33" s="3033">
        <v>32</v>
      </c>
      <c r="B33" s="3045" t="s">
        <v>3161</v>
      </c>
      <c r="C33" s="3033" t="s">
        <v>3373</v>
      </c>
      <c r="D33" s="3033" t="s">
        <v>3374</v>
      </c>
      <c r="E33" s="3033" t="s">
        <v>1037</v>
      </c>
      <c r="F33" s="3033">
        <v>84.56</v>
      </c>
    </row>
    <row r="34" spans="1:6">
      <c r="A34" s="3032">
        <v>33</v>
      </c>
      <c r="B34" s="3033" t="s">
        <v>3162</v>
      </c>
      <c r="C34" s="3033" t="s">
        <v>3373</v>
      </c>
      <c r="D34" s="3033" t="s">
        <v>3374</v>
      </c>
      <c r="E34" s="3033" t="s">
        <v>1037</v>
      </c>
      <c r="F34" s="3033">
        <v>84.56</v>
      </c>
    </row>
    <row r="35" spans="1:6">
      <c r="A35" s="3033">
        <v>34</v>
      </c>
      <c r="B35" s="3033" t="s">
        <v>3163</v>
      </c>
      <c r="C35" s="3033" t="s">
        <v>3373</v>
      </c>
      <c r="D35" s="3033" t="s">
        <v>3374</v>
      </c>
      <c r="E35" s="3033" t="s">
        <v>1037</v>
      </c>
      <c r="F35" s="3033">
        <v>84.56</v>
      </c>
    </row>
    <row r="36" spans="1:6">
      <c r="A36" s="3033">
        <v>35</v>
      </c>
      <c r="B36" s="3033" t="s">
        <v>3164</v>
      </c>
      <c r="C36" s="3033" t="s">
        <v>3373</v>
      </c>
      <c r="D36" s="3033" t="s">
        <v>3374</v>
      </c>
      <c r="E36" s="3033" t="s">
        <v>1037</v>
      </c>
      <c r="F36" s="3033">
        <v>84.56</v>
      </c>
    </row>
    <row r="37" spans="1:6">
      <c r="A37" s="3033">
        <v>36</v>
      </c>
      <c r="B37" s="3033" t="s">
        <v>3165</v>
      </c>
      <c r="C37" s="3032" t="s">
        <v>3373</v>
      </c>
      <c r="D37" s="3033" t="s">
        <v>3374</v>
      </c>
      <c r="E37" s="3033" t="s">
        <v>1037</v>
      </c>
      <c r="F37" s="3033">
        <v>84.56</v>
      </c>
    </row>
    <row r="38" spans="1:6">
      <c r="A38" s="3032">
        <v>37</v>
      </c>
      <c r="B38" s="3033" t="s">
        <v>3166</v>
      </c>
      <c r="C38" s="3033" t="s">
        <v>3373</v>
      </c>
      <c r="D38" s="3033" t="s">
        <v>3374</v>
      </c>
      <c r="E38" s="3033" t="s">
        <v>1037</v>
      </c>
      <c r="F38" s="3033">
        <v>84.56</v>
      </c>
    </row>
    <row r="39" spans="1:6">
      <c r="A39" s="3033">
        <v>38</v>
      </c>
      <c r="B39" s="3033" t="s">
        <v>3167</v>
      </c>
      <c r="C39" s="3033" t="s">
        <v>3373</v>
      </c>
      <c r="D39" s="3033" t="s">
        <v>3374</v>
      </c>
      <c r="E39" s="3033" t="s">
        <v>1037</v>
      </c>
      <c r="F39" s="3033">
        <v>84.56</v>
      </c>
    </row>
    <row r="40" spans="1:6">
      <c r="A40" s="3033">
        <v>39</v>
      </c>
      <c r="B40" s="3033" t="s">
        <v>3168</v>
      </c>
      <c r="C40" s="3033" t="s">
        <v>3373</v>
      </c>
      <c r="D40" s="3033" t="s">
        <v>3374</v>
      </c>
      <c r="E40" s="3033" t="s">
        <v>1037</v>
      </c>
      <c r="F40" s="3033">
        <v>84.56</v>
      </c>
    </row>
    <row r="41" spans="1:6">
      <c r="A41" s="3033">
        <v>40</v>
      </c>
      <c r="B41" s="3033" t="s">
        <v>3169</v>
      </c>
      <c r="C41" s="3033" t="s">
        <v>3373</v>
      </c>
      <c r="D41" s="3033" t="s">
        <v>3374</v>
      </c>
      <c r="E41" s="3033" t="s">
        <v>1037</v>
      </c>
      <c r="F41" s="3033">
        <v>84.56</v>
      </c>
    </row>
    <row r="42" spans="1:6">
      <c r="A42" s="3032">
        <v>41</v>
      </c>
      <c r="B42" s="3033" t="s">
        <v>3170</v>
      </c>
      <c r="C42" s="3033" t="s">
        <v>3373</v>
      </c>
      <c r="D42" s="3033" t="s">
        <v>3374</v>
      </c>
      <c r="E42" s="3033" t="s">
        <v>1037</v>
      </c>
      <c r="F42" s="3033">
        <v>84.56</v>
      </c>
    </row>
    <row r="43" spans="1:6">
      <c r="A43" s="3033">
        <v>42</v>
      </c>
      <c r="B43" s="3033" t="s">
        <v>3171</v>
      </c>
      <c r="C43" s="3033" t="s">
        <v>3373</v>
      </c>
      <c r="D43" s="3033" t="s">
        <v>3374</v>
      </c>
      <c r="E43" s="3033" t="s">
        <v>1037</v>
      </c>
      <c r="F43" s="3033">
        <v>84.56</v>
      </c>
    </row>
    <row r="44" spans="1:6">
      <c r="A44" s="3033">
        <v>43</v>
      </c>
      <c r="B44" s="3033" t="s">
        <v>3172</v>
      </c>
      <c r="C44" s="3032" t="s">
        <v>3373</v>
      </c>
      <c r="D44" s="3033" t="s">
        <v>3374</v>
      </c>
      <c r="E44" s="3033" t="s">
        <v>1037</v>
      </c>
      <c r="F44" s="3033">
        <v>84.56</v>
      </c>
    </row>
    <row r="45" spans="1:6">
      <c r="A45" s="3033">
        <v>44</v>
      </c>
      <c r="B45" s="3033" t="s">
        <v>3173</v>
      </c>
      <c r="C45" s="3033" t="s">
        <v>3373</v>
      </c>
      <c r="D45" s="3033" t="s">
        <v>3374</v>
      </c>
      <c r="E45" s="3033" t="s">
        <v>1037</v>
      </c>
      <c r="F45" s="3033">
        <v>84.56</v>
      </c>
    </row>
    <row r="46" spans="1:6">
      <c r="A46" s="3032">
        <v>45</v>
      </c>
      <c r="B46" s="3033" t="s">
        <v>3174</v>
      </c>
      <c r="C46" s="3033" t="s">
        <v>3373</v>
      </c>
      <c r="D46" s="3033" t="s">
        <v>3374</v>
      </c>
      <c r="E46" s="3033" t="s">
        <v>1037</v>
      </c>
      <c r="F46" s="3033">
        <v>84.56</v>
      </c>
    </row>
    <row r="47" spans="1:6">
      <c r="A47" s="3033">
        <v>46</v>
      </c>
      <c r="B47" s="3033" t="s">
        <v>3175</v>
      </c>
      <c r="C47" s="3033" t="s">
        <v>3373</v>
      </c>
      <c r="D47" s="3033" t="s">
        <v>3374</v>
      </c>
      <c r="E47" s="3033" t="s">
        <v>1037</v>
      </c>
      <c r="F47" s="3033">
        <v>84.56</v>
      </c>
    </row>
    <row r="48" spans="1:6">
      <c r="A48" s="3033">
        <v>47</v>
      </c>
      <c r="B48" s="3033" t="s">
        <v>3176</v>
      </c>
      <c r="C48" s="3033" t="s">
        <v>3373</v>
      </c>
      <c r="D48" s="3033" t="s">
        <v>3374</v>
      </c>
      <c r="E48" s="3033" t="s">
        <v>1037</v>
      </c>
      <c r="F48" s="3033">
        <v>84.56</v>
      </c>
    </row>
    <row r="49" spans="1:6">
      <c r="A49" s="3033">
        <v>48</v>
      </c>
      <c r="B49" s="3033" t="s">
        <v>3177</v>
      </c>
      <c r="C49" s="3033" t="s">
        <v>3373</v>
      </c>
      <c r="D49" s="3033" t="s">
        <v>3374</v>
      </c>
      <c r="E49" s="3033" t="s">
        <v>1037</v>
      </c>
      <c r="F49" s="3033">
        <v>84.56</v>
      </c>
    </row>
    <row r="50" spans="1:6">
      <c r="A50" s="3032">
        <v>49</v>
      </c>
      <c r="B50" s="3033">
        <v>301</v>
      </c>
      <c r="C50" s="3033" t="s">
        <v>3373</v>
      </c>
      <c r="D50" s="3033" t="s">
        <v>3374</v>
      </c>
      <c r="E50" s="3033" t="s">
        <v>1037</v>
      </c>
      <c r="F50" s="3033">
        <v>84.56</v>
      </c>
    </row>
    <row r="51" spans="1:6">
      <c r="A51" s="3033">
        <v>50</v>
      </c>
      <c r="B51" s="3033" t="s">
        <v>3375</v>
      </c>
      <c r="C51" s="3032" t="s">
        <v>3373</v>
      </c>
      <c r="D51" s="3033" t="s">
        <v>3374</v>
      </c>
      <c r="E51" s="3033" t="s">
        <v>1037</v>
      </c>
      <c r="F51" s="3033">
        <v>84.56</v>
      </c>
    </row>
    <row r="52" spans="1:6">
      <c r="A52" s="3033">
        <v>51</v>
      </c>
      <c r="B52" s="3033" t="s">
        <v>3376</v>
      </c>
      <c r="C52" s="3033" t="s">
        <v>3373</v>
      </c>
      <c r="D52" s="3033" t="s">
        <v>3374</v>
      </c>
      <c r="E52" s="3033" t="s">
        <v>1037</v>
      </c>
      <c r="F52" s="3033">
        <v>84.56</v>
      </c>
    </row>
    <row r="53" spans="1:6">
      <c r="A53" s="3033">
        <v>52</v>
      </c>
      <c r="B53" s="3033" t="s">
        <v>3377</v>
      </c>
      <c r="C53" s="3033" t="s">
        <v>3373</v>
      </c>
      <c r="D53" s="3033" t="s">
        <v>3374</v>
      </c>
      <c r="E53" s="3033" t="s">
        <v>1037</v>
      </c>
      <c r="F53" s="3033">
        <v>84.56</v>
      </c>
    </row>
    <row r="54" spans="1:6">
      <c r="A54" s="3032">
        <v>53</v>
      </c>
      <c r="B54" s="3033" t="s">
        <v>3378</v>
      </c>
      <c r="C54" s="3033" t="s">
        <v>3373</v>
      </c>
      <c r="D54" s="3033" t="s">
        <v>3374</v>
      </c>
      <c r="E54" s="3033" t="s">
        <v>1037</v>
      </c>
      <c r="F54" s="3033">
        <v>84.56</v>
      </c>
    </row>
    <row r="55" spans="1:6">
      <c r="A55" s="3033">
        <v>54</v>
      </c>
      <c r="B55" s="3033" t="s">
        <v>3379</v>
      </c>
      <c r="C55" s="3033" t="s">
        <v>3373</v>
      </c>
      <c r="D55" s="3033" t="s">
        <v>3374</v>
      </c>
      <c r="E55" s="3033" t="s">
        <v>1037</v>
      </c>
      <c r="F55" s="3033">
        <v>84.56</v>
      </c>
    </row>
    <row r="56" spans="1:6">
      <c r="A56" s="3033">
        <v>55</v>
      </c>
      <c r="B56" s="3033">
        <v>308</v>
      </c>
      <c r="C56" s="3033" t="s">
        <v>3373</v>
      </c>
      <c r="D56" s="3033" t="s">
        <v>3374</v>
      </c>
      <c r="E56" s="3033" t="s">
        <v>1037</v>
      </c>
      <c r="F56" s="3033">
        <v>84.56</v>
      </c>
    </row>
    <row r="57" spans="1:6">
      <c r="A57" s="3033">
        <v>56</v>
      </c>
      <c r="B57" s="3033" t="s">
        <v>3178</v>
      </c>
      <c r="C57" s="3033" t="s">
        <v>3373</v>
      </c>
      <c r="D57" s="3033" t="s">
        <v>3374</v>
      </c>
      <c r="E57" s="3033" t="s">
        <v>1037</v>
      </c>
      <c r="F57" s="3033">
        <v>84.56</v>
      </c>
    </row>
    <row r="58" spans="1:6">
      <c r="A58" s="3032">
        <v>57</v>
      </c>
      <c r="B58" s="3033" t="s">
        <v>3179</v>
      </c>
      <c r="C58" s="3032" t="s">
        <v>3373</v>
      </c>
      <c r="D58" s="3033" t="s">
        <v>3374</v>
      </c>
      <c r="E58" s="3033" t="s">
        <v>1037</v>
      </c>
      <c r="F58" s="3033">
        <v>84.56</v>
      </c>
    </row>
    <row r="59" spans="1:6">
      <c r="A59" s="3033">
        <v>58</v>
      </c>
      <c r="B59" s="3033" t="s">
        <v>3180</v>
      </c>
      <c r="C59" s="3033" t="s">
        <v>3373</v>
      </c>
      <c r="D59" s="3033" t="s">
        <v>3374</v>
      </c>
      <c r="E59" s="3033" t="s">
        <v>1037</v>
      </c>
      <c r="F59" s="3033">
        <v>84.56</v>
      </c>
    </row>
    <row r="60" spans="1:6">
      <c r="A60" s="3033">
        <v>59</v>
      </c>
      <c r="B60" s="3033" t="s">
        <v>3181</v>
      </c>
      <c r="C60" s="3033" t="s">
        <v>3373</v>
      </c>
      <c r="D60" s="3033" t="s">
        <v>3374</v>
      </c>
      <c r="E60" s="3033" t="s">
        <v>1037</v>
      </c>
      <c r="F60" s="3033">
        <v>84.56</v>
      </c>
    </row>
    <row r="61" spans="1:6">
      <c r="A61" s="3033">
        <v>60</v>
      </c>
      <c r="B61" s="3033" t="s">
        <v>3182</v>
      </c>
      <c r="C61" s="3033" t="s">
        <v>3373</v>
      </c>
      <c r="D61" s="3033" t="s">
        <v>3374</v>
      </c>
      <c r="E61" s="3033" t="s">
        <v>1037</v>
      </c>
      <c r="F61" s="3033">
        <v>84.56</v>
      </c>
    </row>
    <row r="62" spans="1:6">
      <c r="A62" s="3032">
        <v>61</v>
      </c>
      <c r="B62" s="3033" t="s">
        <v>3183</v>
      </c>
      <c r="C62" s="3033" t="s">
        <v>3373</v>
      </c>
      <c r="D62" s="3033" t="s">
        <v>3374</v>
      </c>
      <c r="E62" s="3033" t="s">
        <v>1037</v>
      </c>
      <c r="F62" s="3033">
        <v>84.56</v>
      </c>
    </row>
    <row r="63" spans="1:6">
      <c r="A63" s="3033">
        <v>62</v>
      </c>
      <c r="B63" s="3033" t="s">
        <v>3184</v>
      </c>
      <c r="C63" s="3033" t="s">
        <v>3373</v>
      </c>
      <c r="D63" s="3033" t="s">
        <v>3374</v>
      </c>
      <c r="E63" s="3033" t="s">
        <v>1037</v>
      </c>
      <c r="F63" s="3033">
        <v>84.56</v>
      </c>
    </row>
    <row r="64" spans="1:6">
      <c r="A64" s="3033">
        <v>63</v>
      </c>
      <c r="B64" s="3033" t="s">
        <v>3185</v>
      </c>
      <c r="C64" s="3033" t="s">
        <v>3373</v>
      </c>
      <c r="D64" s="3033" t="s">
        <v>3374</v>
      </c>
      <c r="E64" s="3033" t="s">
        <v>1037</v>
      </c>
      <c r="F64" s="3033">
        <v>84.56</v>
      </c>
    </row>
    <row r="65" spans="1:6">
      <c r="A65" s="3033">
        <v>64</v>
      </c>
      <c r="B65" s="3033" t="s">
        <v>3186</v>
      </c>
      <c r="C65" s="3032" t="s">
        <v>3373</v>
      </c>
      <c r="D65" s="3033" t="s">
        <v>3374</v>
      </c>
      <c r="E65" s="3033" t="s">
        <v>1037</v>
      </c>
      <c r="F65" s="3033">
        <v>84.56</v>
      </c>
    </row>
    <row r="66" spans="1:6">
      <c r="A66" s="3032">
        <v>65</v>
      </c>
      <c r="B66" s="3033" t="s">
        <v>3187</v>
      </c>
      <c r="C66" s="3033" t="s">
        <v>3373</v>
      </c>
      <c r="D66" s="3033" t="s">
        <v>3374</v>
      </c>
      <c r="E66" s="3033" t="s">
        <v>1037</v>
      </c>
      <c r="F66" s="3033">
        <v>84.56</v>
      </c>
    </row>
    <row r="67" spans="1:6">
      <c r="A67" s="3033">
        <v>66</v>
      </c>
      <c r="B67" s="3033" t="s">
        <v>3188</v>
      </c>
      <c r="C67" s="3033" t="s">
        <v>3373</v>
      </c>
      <c r="D67" s="3033" t="s">
        <v>3374</v>
      </c>
      <c r="E67" s="3033" t="s">
        <v>1037</v>
      </c>
      <c r="F67" s="3033">
        <v>84.56</v>
      </c>
    </row>
    <row r="68" spans="1:6">
      <c r="A68" s="3033">
        <v>67</v>
      </c>
      <c r="B68" s="3033" t="s">
        <v>3189</v>
      </c>
      <c r="C68" s="3033" t="s">
        <v>3373</v>
      </c>
      <c r="D68" s="3033" t="s">
        <v>3374</v>
      </c>
      <c r="E68" s="3033" t="s">
        <v>1037</v>
      </c>
      <c r="F68" s="3033">
        <v>84.56</v>
      </c>
    </row>
    <row r="69" spans="1:6">
      <c r="A69" s="3033">
        <v>68</v>
      </c>
      <c r="B69" s="3033" t="s">
        <v>3190</v>
      </c>
      <c r="C69" s="3033" t="s">
        <v>3373</v>
      </c>
      <c r="D69" s="3033" t="s">
        <v>3374</v>
      </c>
      <c r="E69" s="3033" t="s">
        <v>1037</v>
      </c>
      <c r="F69" s="3033">
        <v>84.56</v>
      </c>
    </row>
    <row r="70" spans="1:6">
      <c r="A70" s="3032">
        <v>69</v>
      </c>
      <c r="B70" s="3033" t="s">
        <v>3191</v>
      </c>
      <c r="C70" s="3033" t="s">
        <v>3373</v>
      </c>
      <c r="D70" s="3033" t="s">
        <v>3374</v>
      </c>
      <c r="E70" s="3033" t="s">
        <v>1038</v>
      </c>
      <c r="F70" s="3033">
        <v>122.14</v>
      </c>
    </row>
    <row r="71" spans="1:6">
      <c r="A71" s="3033">
        <v>70</v>
      </c>
      <c r="B71" s="3033" t="s">
        <v>3192</v>
      </c>
      <c r="C71" s="3033" t="s">
        <v>3373</v>
      </c>
      <c r="D71" s="3033" t="s">
        <v>3374</v>
      </c>
      <c r="E71" s="3033" t="s">
        <v>1038</v>
      </c>
      <c r="F71" s="3033">
        <v>122.14</v>
      </c>
    </row>
    <row r="72" spans="1:6">
      <c r="A72" s="3033">
        <v>71</v>
      </c>
      <c r="B72" s="3033" t="s">
        <v>3193</v>
      </c>
      <c r="C72" s="3032" t="s">
        <v>3373</v>
      </c>
      <c r="D72" s="3033" t="s">
        <v>3374</v>
      </c>
      <c r="E72" s="3033" t="s">
        <v>1037</v>
      </c>
      <c r="F72" s="3033">
        <v>84.56</v>
      </c>
    </row>
    <row r="73" spans="1:6">
      <c r="A73" s="3033">
        <v>72</v>
      </c>
      <c r="B73" s="3033" t="s">
        <v>3194</v>
      </c>
      <c r="C73" s="3033" t="s">
        <v>3373</v>
      </c>
      <c r="D73" s="3033" t="s">
        <v>3374</v>
      </c>
      <c r="E73" s="3033" t="s">
        <v>1037</v>
      </c>
      <c r="F73" s="3033">
        <v>84.56</v>
      </c>
    </row>
    <row r="74" spans="1:6">
      <c r="A74" s="3032">
        <v>73</v>
      </c>
      <c r="B74" s="3033" t="s">
        <v>3195</v>
      </c>
      <c r="C74" s="3033" t="s">
        <v>3373</v>
      </c>
      <c r="D74" s="3033" t="s">
        <v>3374</v>
      </c>
      <c r="E74" s="3033" t="s">
        <v>1037</v>
      </c>
      <c r="F74" s="3033">
        <v>84.56</v>
      </c>
    </row>
    <row r="75" spans="1:6">
      <c r="A75" s="3033">
        <v>74</v>
      </c>
      <c r="B75" s="3033" t="s">
        <v>3196</v>
      </c>
      <c r="C75" s="3033" t="s">
        <v>3373</v>
      </c>
      <c r="D75" s="3033" t="s">
        <v>3374</v>
      </c>
      <c r="E75" s="3033" t="s">
        <v>1037</v>
      </c>
      <c r="F75" s="3033">
        <v>84.56</v>
      </c>
    </row>
    <row r="76" spans="1:6">
      <c r="A76" s="3033">
        <v>75</v>
      </c>
      <c r="B76" s="3033" t="s">
        <v>3197</v>
      </c>
      <c r="C76" s="3033" t="s">
        <v>3373</v>
      </c>
      <c r="D76" s="3033" t="s">
        <v>3374</v>
      </c>
      <c r="E76" s="3033" t="s">
        <v>1037</v>
      </c>
      <c r="F76" s="3033">
        <v>84.56</v>
      </c>
    </row>
    <row r="77" spans="1:6">
      <c r="A77" s="3033">
        <v>76</v>
      </c>
      <c r="B77" s="3033" t="s">
        <v>3198</v>
      </c>
      <c r="C77" s="3033" t="s">
        <v>3373</v>
      </c>
      <c r="D77" s="3033" t="s">
        <v>3374</v>
      </c>
      <c r="E77" s="3033" t="s">
        <v>1037</v>
      </c>
      <c r="F77" s="3033">
        <v>84.56</v>
      </c>
    </row>
    <row r="78" spans="1:6">
      <c r="A78" s="3032">
        <v>77</v>
      </c>
      <c r="B78" s="3033" t="s">
        <v>3199</v>
      </c>
      <c r="C78" s="3033" t="s">
        <v>3373</v>
      </c>
      <c r="D78" s="3033" t="s">
        <v>3374</v>
      </c>
      <c r="E78" s="3033" t="s">
        <v>1037</v>
      </c>
      <c r="F78" s="3033">
        <v>84.56</v>
      </c>
    </row>
    <row r="79" spans="1:6">
      <c r="A79" s="3033">
        <v>78</v>
      </c>
      <c r="B79" s="3033" t="s">
        <v>3200</v>
      </c>
      <c r="C79" s="3032" t="s">
        <v>3373</v>
      </c>
      <c r="D79" s="3033" t="s">
        <v>3374</v>
      </c>
      <c r="E79" s="3033" t="s">
        <v>1038</v>
      </c>
      <c r="F79" s="3033">
        <v>122.14</v>
      </c>
    </row>
    <row r="80" spans="1:6">
      <c r="A80" s="3033">
        <v>79</v>
      </c>
      <c r="B80" s="3033" t="s">
        <v>3201</v>
      </c>
      <c r="C80" s="3033" t="s">
        <v>3373</v>
      </c>
      <c r="D80" s="3033" t="s">
        <v>3374</v>
      </c>
      <c r="E80" s="3033" t="s">
        <v>1038</v>
      </c>
      <c r="F80" s="3033">
        <v>122.14</v>
      </c>
    </row>
    <row r="81" spans="1:6">
      <c r="A81" s="3033">
        <v>80</v>
      </c>
      <c r="B81" s="3033" t="s">
        <v>3380</v>
      </c>
      <c r="C81" s="3033" t="s">
        <v>3373</v>
      </c>
      <c r="D81" s="3033" t="s">
        <v>3374</v>
      </c>
      <c r="E81" s="3033" t="s">
        <v>1037</v>
      </c>
      <c r="F81" s="3033">
        <v>84.56</v>
      </c>
    </row>
    <row r="82" spans="1:6">
      <c r="A82" s="3032">
        <v>81</v>
      </c>
      <c r="B82" s="3045" t="s">
        <v>3381</v>
      </c>
      <c r="C82" s="3033" t="s">
        <v>3373</v>
      </c>
      <c r="D82" s="3033" t="s">
        <v>3374</v>
      </c>
      <c r="E82" s="3033" t="s">
        <v>1037</v>
      </c>
      <c r="F82" s="3033">
        <v>84.56</v>
      </c>
    </row>
    <row r="83" spans="1:6">
      <c r="A83" s="3033">
        <v>82</v>
      </c>
      <c r="B83" s="3033">
        <v>359</v>
      </c>
      <c r="C83" s="3033" t="s">
        <v>3373</v>
      </c>
      <c r="D83" s="3033" t="s">
        <v>3374</v>
      </c>
      <c r="E83" s="3033" t="s">
        <v>1037</v>
      </c>
      <c r="F83" s="3033">
        <v>84.56</v>
      </c>
    </row>
    <row r="84" spans="1:6">
      <c r="A84" s="3033">
        <v>83</v>
      </c>
      <c r="B84" s="3033">
        <v>360</v>
      </c>
      <c r="C84" s="3033" t="s">
        <v>3373</v>
      </c>
      <c r="D84" s="3033" t="s">
        <v>3374</v>
      </c>
      <c r="E84" s="3033" t="s">
        <v>1037</v>
      </c>
      <c r="F84" s="3033">
        <v>84.56</v>
      </c>
    </row>
    <row r="85" spans="1:6">
      <c r="A85" s="3033">
        <v>84</v>
      </c>
      <c r="B85" s="3033">
        <v>362</v>
      </c>
      <c r="C85" s="3033" t="s">
        <v>3373</v>
      </c>
      <c r="D85" s="3033" t="s">
        <v>3374</v>
      </c>
      <c r="E85" s="3033" t="s">
        <v>1037</v>
      </c>
      <c r="F85" s="3033">
        <v>84.56</v>
      </c>
    </row>
    <row r="86" spans="1:6">
      <c r="A86" s="3032">
        <v>85</v>
      </c>
      <c r="B86" s="3033">
        <v>363</v>
      </c>
      <c r="C86" s="3032" t="s">
        <v>3373</v>
      </c>
      <c r="D86" s="3033" t="s">
        <v>3374</v>
      </c>
      <c r="E86" s="3033" t="s">
        <v>1043</v>
      </c>
      <c r="F86" s="3033">
        <v>121.17</v>
      </c>
    </row>
    <row r="87" spans="1:6">
      <c r="A87" s="3033">
        <v>86</v>
      </c>
      <c r="B87" s="3033">
        <v>367</v>
      </c>
      <c r="C87" s="3033" t="s">
        <v>3373</v>
      </c>
      <c r="D87" s="3033" t="s">
        <v>3374</v>
      </c>
      <c r="E87" s="3033" t="s">
        <v>1037</v>
      </c>
      <c r="F87" s="3033">
        <v>84.56</v>
      </c>
    </row>
    <row r="88" spans="1:6">
      <c r="A88" s="3033">
        <v>87</v>
      </c>
      <c r="B88" s="3033">
        <v>369</v>
      </c>
      <c r="C88" s="3033" t="s">
        <v>3373</v>
      </c>
      <c r="D88" s="3033" t="s">
        <v>3374</v>
      </c>
      <c r="E88" s="3033" t="s">
        <v>1037</v>
      </c>
      <c r="F88" s="3033">
        <v>84.56</v>
      </c>
    </row>
    <row r="89" spans="1:6">
      <c r="A89" s="3033">
        <v>88</v>
      </c>
      <c r="B89" s="3033">
        <v>370</v>
      </c>
      <c r="C89" s="3033" t="s">
        <v>3373</v>
      </c>
      <c r="D89" s="3033" t="s">
        <v>3374</v>
      </c>
      <c r="E89" s="3033" t="s">
        <v>1037</v>
      </c>
      <c r="F89" s="3033">
        <v>84.56</v>
      </c>
    </row>
    <row r="90" spans="1:6">
      <c r="A90" s="3032">
        <v>89</v>
      </c>
      <c r="B90" s="3033">
        <v>371</v>
      </c>
      <c r="C90" s="3033" t="s">
        <v>3373</v>
      </c>
      <c r="D90" s="3033" t="s">
        <v>3374</v>
      </c>
      <c r="E90" s="3033" t="s">
        <v>1037</v>
      </c>
      <c r="F90" s="3033">
        <v>84.56</v>
      </c>
    </row>
    <row r="91" spans="1:6">
      <c r="A91" s="3033">
        <v>90</v>
      </c>
      <c r="B91" s="3045">
        <v>372</v>
      </c>
      <c r="C91" s="3033" t="s">
        <v>3373</v>
      </c>
      <c r="D91" s="3033" t="s">
        <v>3374</v>
      </c>
      <c r="E91" s="3033" t="s">
        <v>1037</v>
      </c>
      <c r="F91" s="3033">
        <v>84.56</v>
      </c>
    </row>
    <row r="92" spans="1:6">
      <c r="A92" s="3033">
        <v>91</v>
      </c>
      <c r="B92" s="3033">
        <v>373</v>
      </c>
      <c r="C92" s="3033" t="s">
        <v>3373</v>
      </c>
      <c r="D92" s="3033" t="s">
        <v>3374</v>
      </c>
      <c r="E92" s="3033" t="s">
        <v>1037</v>
      </c>
      <c r="F92" s="3033">
        <v>84.56</v>
      </c>
    </row>
    <row r="93" spans="1:6">
      <c r="A93" s="3033">
        <v>92</v>
      </c>
      <c r="B93" s="3045">
        <v>376</v>
      </c>
      <c r="C93" s="3032" t="s">
        <v>3373</v>
      </c>
      <c r="D93" s="3033" t="s">
        <v>3374</v>
      </c>
      <c r="E93" s="3033" t="s">
        <v>1043</v>
      </c>
      <c r="F93" s="3033">
        <v>121.17</v>
      </c>
    </row>
    <row r="94" spans="1:6">
      <c r="A94" s="3032">
        <v>93</v>
      </c>
      <c r="B94" s="3033">
        <v>380</v>
      </c>
      <c r="C94" s="3033" t="s">
        <v>3373</v>
      </c>
      <c r="D94" s="3033" t="s">
        <v>3374</v>
      </c>
      <c r="E94" s="3033" t="s">
        <v>1037</v>
      </c>
      <c r="F94" s="3033">
        <v>84.56</v>
      </c>
    </row>
    <row r="95" spans="1:6">
      <c r="A95" s="3033">
        <v>94</v>
      </c>
      <c r="B95" s="3033">
        <v>381</v>
      </c>
      <c r="C95" s="3033" t="s">
        <v>3373</v>
      </c>
      <c r="D95" s="3033" t="s">
        <v>3374</v>
      </c>
      <c r="E95" s="3033" t="s">
        <v>1037</v>
      </c>
      <c r="F95" s="3033">
        <v>84.56</v>
      </c>
    </row>
    <row r="96" spans="1:6">
      <c r="A96" s="3033">
        <v>95</v>
      </c>
      <c r="B96" s="3033">
        <v>382</v>
      </c>
      <c r="C96" s="3033" t="s">
        <v>3373</v>
      </c>
      <c r="D96" s="3033" t="s">
        <v>3374</v>
      </c>
      <c r="E96" s="3033" t="s">
        <v>1037</v>
      </c>
      <c r="F96" s="3033">
        <v>84.56</v>
      </c>
    </row>
    <row r="97" spans="1:6">
      <c r="A97" s="3033">
        <v>96</v>
      </c>
      <c r="B97" s="3033">
        <v>385</v>
      </c>
      <c r="C97" s="3033" t="s">
        <v>3373</v>
      </c>
      <c r="D97" s="3033" t="s">
        <v>3374</v>
      </c>
      <c r="E97" s="3033" t="s">
        <v>1037</v>
      </c>
      <c r="F97" s="3033">
        <v>84.56</v>
      </c>
    </row>
    <row r="98" spans="1:6">
      <c r="A98" s="3032">
        <v>97</v>
      </c>
      <c r="B98" s="3033">
        <v>386</v>
      </c>
      <c r="C98" s="3033" t="s">
        <v>3373</v>
      </c>
      <c r="D98" s="3033" t="s">
        <v>3374</v>
      </c>
      <c r="E98" s="3033" t="s">
        <v>1043</v>
      </c>
      <c r="F98" s="3033">
        <v>121.17</v>
      </c>
    </row>
    <row r="99" spans="1:6">
      <c r="A99" s="3033">
        <v>98</v>
      </c>
      <c r="B99" s="3033">
        <v>387</v>
      </c>
      <c r="C99" s="3033" t="s">
        <v>3373</v>
      </c>
      <c r="D99" s="3033" t="s">
        <v>3374</v>
      </c>
      <c r="E99" s="3033" t="s">
        <v>1043</v>
      </c>
      <c r="F99" s="3033">
        <v>121.17</v>
      </c>
    </row>
    <row r="100" spans="1:6">
      <c r="A100" s="3033">
        <v>99</v>
      </c>
      <c r="B100" s="3033">
        <v>388</v>
      </c>
      <c r="C100" s="3032" t="s">
        <v>3373</v>
      </c>
      <c r="D100" s="3033" t="s">
        <v>3374</v>
      </c>
      <c r="E100" s="3033" t="s">
        <v>1037</v>
      </c>
      <c r="F100" s="3033">
        <v>84.56</v>
      </c>
    </row>
    <row r="101" spans="1:6">
      <c r="A101" s="3033">
        <v>100</v>
      </c>
      <c r="B101" s="3033">
        <v>389</v>
      </c>
      <c r="C101" s="3033" t="s">
        <v>3373</v>
      </c>
      <c r="D101" s="3033" t="s">
        <v>3374</v>
      </c>
      <c r="E101" s="3033" t="s">
        <v>1037</v>
      </c>
      <c r="F101" s="3033">
        <v>84.56</v>
      </c>
    </row>
    <row r="102" spans="1:6">
      <c r="A102" s="3032">
        <v>101</v>
      </c>
      <c r="B102" s="3033">
        <v>390</v>
      </c>
      <c r="C102" s="3033" t="s">
        <v>3373</v>
      </c>
      <c r="D102" s="3033" t="s">
        <v>3374</v>
      </c>
      <c r="E102" s="3033" t="s">
        <v>1037</v>
      </c>
      <c r="F102" s="3033">
        <v>84.56</v>
      </c>
    </row>
    <row r="103" spans="1:6">
      <c r="A103" s="3033">
        <v>102</v>
      </c>
      <c r="B103" s="3033">
        <v>391</v>
      </c>
      <c r="C103" s="3033" t="s">
        <v>3373</v>
      </c>
      <c r="D103" s="3033" t="s">
        <v>3374</v>
      </c>
      <c r="E103" s="3033" t="s">
        <v>1037</v>
      </c>
      <c r="F103" s="3033">
        <v>84.56</v>
      </c>
    </row>
    <row r="104" spans="1:6">
      <c r="A104" s="3033">
        <v>103</v>
      </c>
      <c r="B104" s="3033">
        <v>392</v>
      </c>
      <c r="C104" s="3033" t="s">
        <v>3373</v>
      </c>
      <c r="D104" s="3033" t="s">
        <v>3374</v>
      </c>
      <c r="E104" s="3033" t="s">
        <v>1037</v>
      </c>
      <c r="F104" s="3033">
        <v>84.56</v>
      </c>
    </row>
    <row r="105" spans="1:6">
      <c r="A105" s="3033">
        <v>104</v>
      </c>
      <c r="B105" s="3033">
        <v>393</v>
      </c>
      <c r="C105" s="3033" t="s">
        <v>3373</v>
      </c>
      <c r="D105" s="3033" t="s">
        <v>3374</v>
      </c>
      <c r="E105" s="3033" t="s">
        <v>1037</v>
      </c>
      <c r="F105" s="3033">
        <v>84.56</v>
      </c>
    </row>
    <row r="106" spans="1:6">
      <c r="A106" s="3032">
        <v>105</v>
      </c>
      <c r="B106" s="3033">
        <v>395</v>
      </c>
      <c r="C106" s="3033" t="s">
        <v>3373</v>
      </c>
      <c r="D106" s="3033" t="s">
        <v>3374</v>
      </c>
      <c r="E106" s="3033" t="s">
        <v>1037</v>
      </c>
      <c r="F106" s="3033">
        <v>84.56</v>
      </c>
    </row>
    <row r="107" spans="1:6">
      <c r="A107" s="3033">
        <v>106</v>
      </c>
      <c r="B107" s="3033">
        <v>396</v>
      </c>
      <c r="C107" s="3032" t="s">
        <v>3373</v>
      </c>
      <c r="D107" s="3033" t="s">
        <v>3374</v>
      </c>
      <c r="E107" s="3033" t="s">
        <v>1037</v>
      </c>
      <c r="F107" s="3033">
        <v>84.56</v>
      </c>
    </row>
    <row r="108" spans="1:6">
      <c r="A108" s="3033">
        <v>107</v>
      </c>
      <c r="B108" s="3033">
        <v>397</v>
      </c>
      <c r="C108" s="3033" t="s">
        <v>3373</v>
      </c>
      <c r="D108" s="3033" t="s">
        <v>3374</v>
      </c>
      <c r="E108" s="3033" t="s">
        <v>1043</v>
      </c>
      <c r="F108" s="3033">
        <v>121.17</v>
      </c>
    </row>
    <row r="109" spans="1:6">
      <c r="A109" s="3033">
        <v>108</v>
      </c>
      <c r="B109" s="3033">
        <v>398</v>
      </c>
      <c r="C109" s="3033" t="s">
        <v>3373</v>
      </c>
      <c r="D109" s="3033" t="s">
        <v>3374</v>
      </c>
      <c r="E109" s="3033" t="s">
        <v>1043</v>
      </c>
      <c r="F109" s="3033">
        <v>121.17</v>
      </c>
    </row>
    <row r="110" spans="1:6">
      <c r="A110" s="3032">
        <v>109</v>
      </c>
      <c r="B110" s="3033">
        <v>502</v>
      </c>
      <c r="C110" s="3033" t="s">
        <v>3373</v>
      </c>
      <c r="D110" s="3033" t="s">
        <v>3374</v>
      </c>
      <c r="E110" s="3033" t="s">
        <v>1037</v>
      </c>
      <c r="F110" s="3033">
        <v>84.56</v>
      </c>
    </row>
    <row r="111" spans="1:6">
      <c r="A111" s="3033">
        <v>110</v>
      </c>
      <c r="B111" s="3033">
        <v>503</v>
      </c>
      <c r="C111" s="3033" t="s">
        <v>3373</v>
      </c>
      <c r="D111" s="3033" t="s">
        <v>3374</v>
      </c>
      <c r="E111" s="3033" t="s">
        <v>1037</v>
      </c>
      <c r="F111" s="3033">
        <v>84.56</v>
      </c>
    </row>
    <row r="112" spans="1:6">
      <c r="A112" s="3033">
        <v>111</v>
      </c>
      <c r="B112" s="3033">
        <v>508</v>
      </c>
      <c r="C112" s="3033" t="s">
        <v>3373</v>
      </c>
      <c r="D112" s="3033" t="s">
        <v>3374</v>
      </c>
      <c r="E112" s="3033" t="s">
        <v>1043</v>
      </c>
      <c r="F112" s="3033">
        <v>121.17</v>
      </c>
    </row>
    <row r="113" spans="1:6">
      <c r="A113" s="3033">
        <v>112</v>
      </c>
      <c r="B113" s="3033">
        <v>509</v>
      </c>
      <c r="C113" s="3033" t="s">
        <v>3373</v>
      </c>
      <c r="D113" s="3033" t="s">
        <v>3374</v>
      </c>
      <c r="E113" s="3033" t="s">
        <v>1043</v>
      </c>
      <c r="F113" s="3033">
        <v>121.17</v>
      </c>
    </row>
    <row r="114" spans="1:6">
      <c r="A114" s="3032">
        <v>113</v>
      </c>
      <c r="B114" s="3033">
        <v>510</v>
      </c>
      <c r="C114" s="3032" t="s">
        <v>3373</v>
      </c>
      <c r="D114" s="3033" t="s">
        <v>3374</v>
      </c>
      <c r="E114" s="3033" t="s">
        <v>1037</v>
      </c>
      <c r="F114" s="3033">
        <v>84.56</v>
      </c>
    </row>
    <row r="115" spans="1:6">
      <c r="A115" s="3033">
        <v>114</v>
      </c>
      <c r="B115" s="3033">
        <v>511</v>
      </c>
      <c r="C115" s="3033" t="s">
        <v>3373</v>
      </c>
      <c r="D115" s="3033" t="s">
        <v>3374</v>
      </c>
      <c r="E115" s="3033" t="s">
        <v>1037</v>
      </c>
      <c r="F115" s="3033">
        <v>84.56</v>
      </c>
    </row>
    <row r="116" spans="1:6">
      <c r="A116" s="3033">
        <v>115</v>
      </c>
      <c r="B116" s="3033">
        <v>512</v>
      </c>
      <c r="C116" s="3033" t="s">
        <v>3373</v>
      </c>
      <c r="D116" s="3033" t="s">
        <v>3374</v>
      </c>
      <c r="E116" s="3033" t="s">
        <v>1037</v>
      </c>
      <c r="F116" s="3033">
        <v>84.56</v>
      </c>
    </row>
    <row r="117" spans="1:6">
      <c r="A117" s="3033">
        <v>116</v>
      </c>
      <c r="B117" s="3033">
        <v>513</v>
      </c>
      <c r="C117" s="3033" t="s">
        <v>3373</v>
      </c>
      <c r="D117" s="3033" t="s">
        <v>3374</v>
      </c>
      <c r="E117" s="3033" t="s">
        <v>1037</v>
      </c>
      <c r="F117" s="3033">
        <v>84.56</v>
      </c>
    </row>
    <row r="118" spans="1:6">
      <c r="A118" s="3032">
        <v>117</v>
      </c>
      <c r="B118" s="3033">
        <v>515</v>
      </c>
      <c r="C118" s="3033" t="s">
        <v>3373</v>
      </c>
      <c r="D118" s="3033" t="s">
        <v>3374</v>
      </c>
      <c r="E118" s="3033" t="s">
        <v>1037</v>
      </c>
      <c r="F118" s="3033">
        <v>84.56</v>
      </c>
    </row>
    <row r="119" spans="1:6">
      <c r="A119" s="3033">
        <v>118</v>
      </c>
      <c r="B119" s="3045">
        <v>516</v>
      </c>
      <c r="C119" s="3033" t="s">
        <v>3373</v>
      </c>
      <c r="D119" s="3033" t="s">
        <v>3374</v>
      </c>
      <c r="E119" s="3033" t="s">
        <v>1037</v>
      </c>
      <c r="F119" s="3033">
        <v>84.56</v>
      </c>
    </row>
    <row r="120" spans="1:6">
      <c r="A120" s="3033">
        <v>119</v>
      </c>
      <c r="B120" s="3033">
        <v>517</v>
      </c>
      <c r="C120" s="3033" t="s">
        <v>3373</v>
      </c>
      <c r="D120" s="3033" t="s">
        <v>3374</v>
      </c>
      <c r="E120" s="3033" t="s">
        <v>1037</v>
      </c>
      <c r="F120" s="3033">
        <v>84.56</v>
      </c>
    </row>
    <row r="121" spans="1:6">
      <c r="A121" s="3033">
        <v>120</v>
      </c>
      <c r="B121" s="3033">
        <v>518</v>
      </c>
      <c r="C121" s="3032" t="s">
        <v>3373</v>
      </c>
      <c r="D121" s="3033" t="s">
        <v>3374</v>
      </c>
      <c r="E121" s="3033" t="s">
        <v>1037</v>
      </c>
      <c r="F121" s="3033">
        <v>84.56</v>
      </c>
    </row>
    <row r="122" spans="1:6">
      <c r="A122" s="3032">
        <v>121</v>
      </c>
      <c r="B122" s="3033">
        <v>519</v>
      </c>
      <c r="C122" s="3033" t="s">
        <v>3373</v>
      </c>
      <c r="D122" s="3033" t="s">
        <v>3374</v>
      </c>
      <c r="E122" s="3033" t="s">
        <v>1043</v>
      </c>
      <c r="F122" s="3033">
        <v>121.17</v>
      </c>
    </row>
    <row r="123" spans="1:6">
      <c r="A123" s="3033">
        <v>122</v>
      </c>
      <c r="B123" s="3033">
        <v>520</v>
      </c>
      <c r="C123" s="3033" t="s">
        <v>3373</v>
      </c>
      <c r="D123" s="3033" t="s">
        <v>3374</v>
      </c>
      <c r="E123" s="3033" t="s">
        <v>1043</v>
      </c>
      <c r="F123" s="3033">
        <v>121.17</v>
      </c>
    </row>
    <row r="124" spans="1:6">
      <c r="A124" s="3033">
        <v>123</v>
      </c>
      <c r="B124" s="3033">
        <v>521</v>
      </c>
      <c r="C124" s="3033" t="s">
        <v>3373</v>
      </c>
      <c r="D124" s="3033" t="s">
        <v>3374</v>
      </c>
      <c r="E124" s="3033" t="s">
        <v>1037</v>
      </c>
      <c r="F124" s="3033">
        <v>84.56</v>
      </c>
    </row>
    <row r="125" spans="1:6">
      <c r="A125" s="3033">
        <v>124</v>
      </c>
      <c r="B125" s="3033">
        <v>522</v>
      </c>
      <c r="C125" s="3033" t="s">
        <v>3373</v>
      </c>
      <c r="D125" s="3033" t="s">
        <v>3374</v>
      </c>
      <c r="E125" s="3033" t="s">
        <v>1037</v>
      </c>
      <c r="F125" s="3033">
        <v>84.56</v>
      </c>
    </row>
    <row r="126" spans="1:6">
      <c r="A126" s="3032">
        <v>125</v>
      </c>
      <c r="B126" s="3033">
        <v>523</v>
      </c>
      <c r="C126" s="3033" t="s">
        <v>3373</v>
      </c>
      <c r="D126" s="3033" t="s">
        <v>3374</v>
      </c>
      <c r="E126" s="3033" t="s">
        <v>1037</v>
      </c>
      <c r="F126" s="3033">
        <v>84.56</v>
      </c>
    </row>
    <row r="127" spans="1:6">
      <c r="A127" s="3033">
        <v>126</v>
      </c>
      <c r="B127" s="3033">
        <v>525</v>
      </c>
      <c r="C127" s="3033" t="s">
        <v>3373</v>
      </c>
      <c r="D127" s="3033" t="s">
        <v>3374</v>
      </c>
      <c r="E127" s="3033" t="s">
        <v>1037</v>
      </c>
      <c r="F127" s="3033">
        <v>84.56</v>
      </c>
    </row>
    <row r="128" spans="1:6">
      <c r="A128" s="3144" t="s">
        <v>37</v>
      </c>
      <c r="B128" s="3145"/>
      <c r="C128" s="3035"/>
      <c r="D128" s="3035"/>
      <c r="E128" s="3035"/>
      <c r="F128" s="3035">
        <f>SUM(F2:F127)</f>
        <v>11246.140000000003</v>
      </c>
    </row>
  </sheetData>
  <autoFilter ref="A1:E127" xr:uid="{00000000-0009-0000-0000-00000D000000}"/>
  <mergeCells count="1">
    <mergeCell ref="A128:B128"/>
  </mergeCells>
  <phoneticPr fontId="143" type="noConversion"/>
  <conditionalFormatting sqref="C1">
    <cfRule type="duplicateValues" dxfId="149" priority="5"/>
    <cfRule type="duplicateValues" dxfId="148" priority="6"/>
    <cfRule type="duplicateValues" dxfId="147" priority="7"/>
  </conditionalFormatting>
  <conditionalFormatting sqref="C1">
    <cfRule type="duplicateValues" dxfId="146"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XFC29"/>
  <sheetViews>
    <sheetView workbookViewId="0">
      <selection sqref="A1:Q1"/>
    </sheetView>
  </sheetViews>
  <sheetFormatPr defaultColWidth="9" defaultRowHeight="14"/>
  <cols>
    <col min="1" max="1" width="5.90625" style="2989" customWidth="1"/>
    <col min="2" max="2" width="10.7265625" style="2990" customWidth="1"/>
    <col min="3" max="3" width="13.36328125" style="2991" customWidth="1"/>
    <col min="4" max="4" width="15" style="2991" customWidth="1"/>
    <col min="5" max="5" width="8.453125" style="2991" customWidth="1"/>
    <col min="6" max="6" width="20.26953125" style="2991" customWidth="1"/>
    <col min="7" max="7" width="8.453125" style="2992" customWidth="1"/>
    <col min="8" max="8" width="6.453125" style="2992" customWidth="1"/>
    <col min="9" max="9" width="10.7265625" style="2991" customWidth="1"/>
    <col min="10" max="12" width="11" style="2991" customWidth="1"/>
    <col min="13" max="13" width="13.36328125" style="2993" customWidth="1"/>
    <col min="14" max="14" width="16.36328125" style="2991" customWidth="1"/>
    <col min="15" max="15" width="13" style="2991" customWidth="1"/>
    <col min="16" max="16" width="12.6328125" style="2991" customWidth="1"/>
    <col min="17" max="17" width="13.26953125" style="2991" customWidth="1"/>
    <col min="18" max="19" width="9" style="2992"/>
    <col min="20" max="20" width="15.90625" style="2991" customWidth="1"/>
    <col min="21" max="21" width="13.36328125" style="2991" customWidth="1"/>
    <col min="22" max="22" width="14.453125" style="2991" customWidth="1"/>
    <col min="23" max="23" width="15.36328125" style="2991" customWidth="1"/>
    <col min="24" max="24" width="15.6328125" style="2991" customWidth="1"/>
    <col min="25" max="25" width="14.453125" style="2991" customWidth="1"/>
    <col min="26" max="26" width="18.90625" style="2991" customWidth="1"/>
    <col min="27" max="27" width="18.36328125" style="2991" customWidth="1"/>
    <col min="28" max="28" width="20.26953125" style="2991" customWidth="1"/>
    <col min="29" max="30" width="9" style="2991"/>
    <col min="31" max="31" width="16.08984375" style="2991" customWidth="1"/>
    <col min="32" max="32" width="33.26953125" style="2991" customWidth="1"/>
    <col min="33" max="34" width="9" style="2991"/>
    <col min="35" max="35" width="18.6328125" style="2991" customWidth="1"/>
    <col min="36" max="36" width="19.90625" style="2991" customWidth="1"/>
    <col min="37" max="16383" width="9" style="2991"/>
    <col min="16384" max="16384" width="9" style="1635"/>
  </cols>
  <sheetData>
    <row r="1" spans="1:19" s="2948" customFormat="1" ht="23">
      <c r="A1" s="3183" t="s">
        <v>3478</v>
      </c>
      <c r="B1" s="3184"/>
      <c r="C1" s="3184"/>
      <c r="D1" s="3184"/>
      <c r="E1" s="3184"/>
      <c r="F1" s="3184"/>
      <c r="G1" s="3184"/>
      <c r="H1" s="3184"/>
      <c r="I1" s="3184"/>
      <c r="J1" s="3184"/>
      <c r="K1" s="3184"/>
      <c r="L1" s="3184"/>
      <c r="M1" s="3184"/>
      <c r="N1" s="3184"/>
      <c r="O1" s="3184"/>
      <c r="P1" s="3184"/>
      <c r="Q1" s="3184"/>
      <c r="R1" s="2947"/>
      <c r="S1" s="2947"/>
    </row>
    <row r="2" spans="1:19" s="2952" customFormat="1">
      <c r="A2" s="2949" t="s">
        <v>3064</v>
      </c>
      <c r="B2" s="2950" t="s">
        <v>3065</v>
      </c>
      <c r="C2" s="2949" t="s">
        <v>3066</v>
      </c>
      <c r="D2" s="2949" t="s">
        <v>3067</v>
      </c>
      <c r="E2" s="2949" t="s">
        <v>3068</v>
      </c>
      <c r="F2" s="2949" t="s">
        <v>3069</v>
      </c>
      <c r="G2" s="2949" t="s">
        <v>3070</v>
      </c>
      <c r="H2" s="2949" t="s">
        <v>3071</v>
      </c>
      <c r="I2" s="2949" t="s">
        <v>3072</v>
      </c>
      <c r="J2" s="2949" t="s">
        <v>3073</v>
      </c>
      <c r="K2" s="2949" t="s">
        <v>3074</v>
      </c>
      <c r="L2" s="2949" t="s">
        <v>3075</v>
      </c>
      <c r="M2" s="2951" t="s">
        <v>3076</v>
      </c>
      <c r="N2" s="2949" t="s">
        <v>3077</v>
      </c>
      <c r="O2" s="2949" t="s">
        <v>3078</v>
      </c>
      <c r="P2" s="2949" t="s">
        <v>3079</v>
      </c>
      <c r="Q2" s="2949" t="s">
        <v>3080</v>
      </c>
      <c r="R2" s="2947"/>
      <c r="S2" s="2947"/>
    </row>
    <row r="3" spans="1:19" s="2959" customFormat="1">
      <c r="A3" s="3185" t="s">
        <v>3081</v>
      </c>
      <c r="B3" s="3170" t="s">
        <v>3082</v>
      </c>
      <c r="C3" s="3190">
        <v>85658.13</v>
      </c>
      <c r="D3" s="3190">
        <v>81596.160000000003</v>
      </c>
      <c r="E3" s="3193" t="s">
        <v>3083</v>
      </c>
      <c r="F3" s="2953" t="s">
        <v>3084</v>
      </c>
      <c r="G3" s="2954" t="s">
        <v>3085</v>
      </c>
      <c r="H3" s="2954" t="s">
        <v>3085</v>
      </c>
      <c r="I3" s="2955">
        <v>84.07</v>
      </c>
      <c r="J3" s="2955" t="s">
        <v>3086</v>
      </c>
      <c r="K3" s="3196">
        <v>3.75</v>
      </c>
      <c r="L3" s="2956">
        <v>140</v>
      </c>
      <c r="M3" s="3199">
        <f>M6</f>
        <v>47079.49</v>
      </c>
      <c r="N3" s="2957">
        <v>10371.200000000001</v>
      </c>
      <c r="O3" s="2957">
        <v>10371.200000000001</v>
      </c>
      <c r="P3" s="2958">
        <f>O3-210</f>
        <v>10161.200000000001</v>
      </c>
      <c r="Q3" s="3190">
        <v>32610.19</v>
      </c>
      <c r="R3" s="2952"/>
      <c r="S3" s="2952"/>
    </row>
    <row r="4" spans="1:19" s="2959" customFormat="1">
      <c r="A4" s="3186"/>
      <c r="B4" s="3188"/>
      <c r="C4" s="3191"/>
      <c r="D4" s="3191"/>
      <c r="E4" s="3194"/>
      <c r="F4" s="2953" t="s">
        <v>3087</v>
      </c>
      <c r="G4" s="2954" t="s">
        <v>3085</v>
      </c>
      <c r="H4" s="2954" t="s">
        <v>3085</v>
      </c>
      <c r="I4" s="2955">
        <v>127.02</v>
      </c>
      <c r="J4" s="2955" t="s">
        <v>3086</v>
      </c>
      <c r="K4" s="3197"/>
      <c r="L4" s="2956">
        <v>24</v>
      </c>
      <c r="M4" s="3200"/>
      <c r="N4" s="2957">
        <v>2901.6</v>
      </c>
      <c r="O4" s="2957">
        <v>2901.6</v>
      </c>
      <c r="P4" s="2957">
        <f>O4-72</f>
        <v>2829.6</v>
      </c>
      <c r="Q4" s="3191"/>
      <c r="R4" s="2952"/>
      <c r="S4" s="2952"/>
    </row>
    <row r="5" spans="1:19" s="2959" customFormat="1">
      <c r="A5" s="3187"/>
      <c r="B5" s="3189"/>
      <c r="C5" s="3192"/>
      <c r="D5" s="3192"/>
      <c r="E5" s="3195"/>
      <c r="F5" s="2953" t="s">
        <v>3088</v>
      </c>
      <c r="G5" s="2954" t="s">
        <v>3085</v>
      </c>
      <c r="H5" s="2954" t="s">
        <v>3085</v>
      </c>
      <c r="I5" s="2955">
        <v>127.55</v>
      </c>
      <c r="J5" s="2955" t="s">
        <v>3086</v>
      </c>
      <c r="K5" s="3198"/>
      <c r="L5" s="2956">
        <v>10</v>
      </c>
      <c r="M5" s="3201"/>
      <c r="N5" s="2957">
        <v>1196.5</v>
      </c>
      <c r="O5" s="2957">
        <v>1196.5</v>
      </c>
      <c r="P5" s="2957">
        <f>O5-30</f>
        <v>1166.5</v>
      </c>
      <c r="Q5" s="3192"/>
      <c r="R5" s="2952"/>
      <c r="S5" s="2952"/>
    </row>
    <row r="6" spans="1:19" s="2965" customFormat="1">
      <c r="A6" s="3176" t="s">
        <v>3089</v>
      </c>
      <c r="B6" s="3177"/>
      <c r="C6" s="2960">
        <f>C3</f>
        <v>85658.13</v>
      </c>
      <c r="D6" s="2960">
        <f>D3</f>
        <v>81596.160000000003</v>
      </c>
      <c r="E6" s="2960"/>
      <c r="F6" s="3176" t="s">
        <v>3090</v>
      </c>
      <c r="G6" s="3178"/>
      <c r="H6" s="3178"/>
      <c r="I6" s="3178"/>
      <c r="J6" s="3178"/>
      <c r="K6" s="3177"/>
      <c r="L6" s="2961">
        <f t="shared" ref="L6:P6" si="0">L3+L4+L5</f>
        <v>174</v>
      </c>
      <c r="M6" s="2962">
        <f>N6+Q6</f>
        <v>47079.49</v>
      </c>
      <c r="N6" s="2962">
        <f t="shared" si="0"/>
        <v>14469.300000000001</v>
      </c>
      <c r="O6" s="2962">
        <f t="shared" si="0"/>
        <v>14469.300000000001</v>
      </c>
      <c r="P6" s="2962">
        <f t="shared" si="0"/>
        <v>14157.300000000001</v>
      </c>
      <c r="Q6" s="2963">
        <f>Q3</f>
        <v>32610.19</v>
      </c>
      <c r="R6" s="2964"/>
      <c r="S6" s="2964"/>
    </row>
    <row r="7" spans="1:19" s="2973" customFormat="1" ht="36" customHeight="1">
      <c r="A7" s="3179" t="s">
        <v>3091</v>
      </c>
      <c r="B7" s="3180" t="s">
        <v>3092</v>
      </c>
      <c r="C7" s="3180">
        <v>76005.429999999993</v>
      </c>
      <c r="D7" s="3180">
        <v>59891.4</v>
      </c>
      <c r="E7" s="3181" t="s">
        <v>3093</v>
      </c>
      <c r="F7" s="2966" t="s">
        <v>3094</v>
      </c>
      <c r="G7" s="2967" t="s">
        <v>3085</v>
      </c>
      <c r="H7" s="2954" t="s">
        <v>3085</v>
      </c>
      <c r="I7" s="2968"/>
      <c r="J7" s="2968" t="s">
        <v>3095</v>
      </c>
      <c r="K7" s="2968">
        <v>131.9</v>
      </c>
      <c r="L7" s="2969" t="s">
        <v>3096</v>
      </c>
      <c r="M7" s="2970">
        <v>53874.9</v>
      </c>
      <c r="N7" s="2968">
        <f t="shared" ref="N7:N12" si="1">M7</f>
        <v>53874.9</v>
      </c>
      <c r="O7" s="2968">
        <v>46483.73</v>
      </c>
      <c r="P7" s="2968">
        <v>46147.73</v>
      </c>
      <c r="Q7" s="2971">
        <v>0</v>
      </c>
      <c r="R7" s="2972"/>
      <c r="S7" s="2972"/>
    </row>
    <row r="8" spans="1:19" s="2973" customFormat="1">
      <c r="A8" s="3162"/>
      <c r="B8" s="3164"/>
      <c r="C8" s="3164"/>
      <c r="D8" s="3164"/>
      <c r="E8" s="3182"/>
      <c r="F8" s="2966" t="s">
        <v>3097</v>
      </c>
      <c r="G8" s="2967" t="s">
        <v>3085</v>
      </c>
      <c r="H8" s="2954" t="s">
        <v>3085</v>
      </c>
      <c r="I8" s="2968"/>
      <c r="J8" s="2968" t="s">
        <v>3098</v>
      </c>
      <c r="K8" s="2968"/>
      <c r="L8" s="2966"/>
      <c r="M8" s="2970">
        <v>34725.360000000001</v>
      </c>
      <c r="N8" s="2968">
        <v>0</v>
      </c>
      <c r="O8" s="2968">
        <v>6250.49</v>
      </c>
      <c r="P8" s="2968">
        <f>O8</f>
        <v>6250.49</v>
      </c>
      <c r="Q8" s="2971">
        <f>M8</f>
        <v>34725.360000000001</v>
      </c>
      <c r="R8" s="2972"/>
      <c r="S8" s="2972"/>
    </row>
    <row r="9" spans="1:19" s="2973" customFormat="1">
      <c r="A9" s="3155" t="s">
        <v>3099</v>
      </c>
      <c r="B9" s="3158"/>
      <c r="C9" s="2974">
        <f>C7</f>
        <v>76005.429999999993</v>
      </c>
      <c r="D9" s="2974">
        <f>D7</f>
        <v>59891.4</v>
      </c>
      <c r="E9" s="2974"/>
      <c r="F9" s="3155" t="s">
        <v>3100</v>
      </c>
      <c r="G9" s="3150"/>
      <c r="H9" s="3150"/>
      <c r="I9" s="3150"/>
      <c r="J9" s="3150"/>
      <c r="K9" s="3151"/>
      <c r="L9" s="2975">
        <v>328</v>
      </c>
      <c r="M9" s="2976">
        <f t="shared" ref="M9:Q9" si="2">M7+M8</f>
        <v>88600.260000000009</v>
      </c>
      <c r="N9" s="2976">
        <f t="shared" si="2"/>
        <v>53874.9</v>
      </c>
      <c r="O9" s="2976">
        <f t="shared" si="2"/>
        <v>52734.22</v>
      </c>
      <c r="P9" s="2976">
        <f t="shared" si="2"/>
        <v>52398.22</v>
      </c>
      <c r="Q9" s="2976">
        <f t="shared" si="2"/>
        <v>34725.360000000001</v>
      </c>
      <c r="R9" s="2972"/>
      <c r="S9" s="2972"/>
    </row>
    <row r="10" spans="1:19" s="2973" customFormat="1">
      <c r="A10" s="3167" t="s">
        <v>3101</v>
      </c>
      <c r="B10" s="3170" t="s">
        <v>3102</v>
      </c>
      <c r="C10" s="3173">
        <v>131452.39000000001</v>
      </c>
      <c r="D10" s="3173">
        <v>83307.64</v>
      </c>
      <c r="E10" s="3146" t="s">
        <v>3103</v>
      </c>
      <c r="F10" s="2966" t="s">
        <v>3084</v>
      </c>
      <c r="G10" s="3146" t="s">
        <v>3085</v>
      </c>
      <c r="H10" s="3146" t="s">
        <v>3085</v>
      </c>
      <c r="I10" s="3002" t="s">
        <v>3104</v>
      </c>
      <c r="J10" s="3173" t="s">
        <v>3086</v>
      </c>
      <c r="K10" s="3173">
        <v>5.85</v>
      </c>
      <c r="L10" s="2966">
        <v>149</v>
      </c>
      <c r="M10" s="2970">
        <v>12733.54</v>
      </c>
      <c r="N10" s="2968">
        <v>11195.86</v>
      </c>
      <c r="O10" s="2968">
        <v>11195.86</v>
      </c>
      <c r="P10" s="2968">
        <f>O10-201</f>
        <v>10994.86</v>
      </c>
      <c r="Q10" s="2968">
        <v>1537.68</v>
      </c>
      <c r="R10" s="2972"/>
      <c r="S10" s="2972"/>
    </row>
    <row r="11" spans="1:19" s="2973" customFormat="1">
      <c r="A11" s="3168"/>
      <c r="B11" s="3171"/>
      <c r="C11" s="3174"/>
      <c r="D11" s="3174"/>
      <c r="E11" s="3147"/>
      <c r="F11" s="2966" t="s">
        <v>3087</v>
      </c>
      <c r="G11" s="3147"/>
      <c r="H11" s="3147"/>
      <c r="I11" s="2971">
        <v>122.14</v>
      </c>
      <c r="J11" s="3174"/>
      <c r="K11" s="3174"/>
      <c r="L11" s="2966">
        <v>8</v>
      </c>
      <c r="M11" s="2970">
        <v>977.12</v>
      </c>
      <c r="N11" s="2968">
        <f t="shared" si="1"/>
        <v>977.12</v>
      </c>
      <c r="O11" s="2968">
        <f>N11</f>
        <v>977.12</v>
      </c>
      <c r="P11" s="2968">
        <f>O11-60</f>
        <v>917.12</v>
      </c>
      <c r="Q11" s="2968">
        <v>0</v>
      </c>
      <c r="R11" s="2972"/>
      <c r="S11" s="2972"/>
    </row>
    <row r="12" spans="1:19" s="2973" customFormat="1">
      <c r="A12" s="3168"/>
      <c r="B12" s="3171"/>
      <c r="C12" s="3174"/>
      <c r="D12" s="3174"/>
      <c r="E12" s="3147"/>
      <c r="F12" s="2966" t="s">
        <v>3088</v>
      </c>
      <c r="G12" s="3148"/>
      <c r="H12" s="3148"/>
      <c r="I12" s="2971">
        <v>121.2</v>
      </c>
      <c r="J12" s="3175"/>
      <c r="K12" s="3175"/>
      <c r="L12" s="2966">
        <v>12</v>
      </c>
      <c r="M12" s="2970">
        <v>1454.4</v>
      </c>
      <c r="N12" s="2968">
        <f t="shared" si="1"/>
        <v>1454.4</v>
      </c>
      <c r="O12" s="2968">
        <f>N12</f>
        <v>1454.4</v>
      </c>
      <c r="P12" s="2968">
        <f>O12-30</f>
        <v>1424.4</v>
      </c>
      <c r="Q12" s="2968">
        <v>0</v>
      </c>
      <c r="R12" s="2972"/>
      <c r="S12" s="2972"/>
    </row>
    <row r="13" spans="1:19" s="2973" customFormat="1">
      <c r="A13" s="3168"/>
      <c r="B13" s="3171"/>
      <c r="C13" s="3174"/>
      <c r="D13" s="3174"/>
      <c r="E13" s="3147"/>
      <c r="F13" s="3155" t="s">
        <v>3105</v>
      </c>
      <c r="G13" s="3156"/>
      <c r="H13" s="3156"/>
      <c r="I13" s="3156"/>
      <c r="J13" s="3156"/>
      <c r="K13" s="3157"/>
      <c r="L13" s="2975">
        <f t="shared" ref="L13:Q13" si="3">L10+L11+L12</f>
        <v>169</v>
      </c>
      <c r="M13" s="2976">
        <f t="shared" si="3"/>
        <v>15165.060000000001</v>
      </c>
      <c r="N13" s="2976">
        <f t="shared" si="3"/>
        <v>13627.380000000001</v>
      </c>
      <c r="O13" s="2976">
        <f t="shared" si="3"/>
        <v>13627.380000000001</v>
      </c>
      <c r="P13" s="2976">
        <f t="shared" si="3"/>
        <v>13336.380000000001</v>
      </c>
      <c r="Q13" s="2976">
        <f t="shared" si="3"/>
        <v>1537.68</v>
      </c>
      <c r="R13" s="2972"/>
      <c r="S13" s="2972"/>
    </row>
    <row r="14" spans="1:19" s="2973" customFormat="1" ht="26">
      <c r="A14" s="3168"/>
      <c r="B14" s="3171"/>
      <c r="C14" s="3174"/>
      <c r="D14" s="3174"/>
      <c r="E14" s="3147"/>
      <c r="F14" s="2966" t="s">
        <v>3106</v>
      </c>
      <c r="G14" s="2967" t="s">
        <v>3085</v>
      </c>
      <c r="H14" s="2967" t="s">
        <v>3085</v>
      </c>
      <c r="I14" s="2968"/>
      <c r="J14" s="2968" t="s">
        <v>3107</v>
      </c>
      <c r="K14" s="2968"/>
      <c r="L14" s="2966"/>
      <c r="M14" s="2976">
        <v>2785.89</v>
      </c>
      <c r="N14" s="2974">
        <v>619.57000000000005</v>
      </c>
      <c r="O14" s="2974">
        <v>1522.36</v>
      </c>
      <c r="P14" s="2974">
        <f>O14</f>
        <v>1522.36</v>
      </c>
      <c r="Q14" s="2974">
        <v>2166.3200000000002</v>
      </c>
      <c r="R14" s="2972"/>
      <c r="S14" s="2972"/>
    </row>
    <row r="15" spans="1:19" s="2973" customFormat="1">
      <c r="A15" s="3168"/>
      <c r="B15" s="3171"/>
      <c r="C15" s="3174"/>
      <c r="D15" s="3174"/>
      <c r="E15" s="3147"/>
      <c r="F15" s="2966" t="s">
        <v>3108</v>
      </c>
      <c r="G15" s="3146" t="s">
        <v>3085</v>
      </c>
      <c r="H15" s="3146" t="s">
        <v>3085</v>
      </c>
      <c r="I15" s="3146"/>
      <c r="J15" s="3146"/>
      <c r="K15" s="3146"/>
      <c r="L15" s="2966"/>
      <c r="M15" s="2970">
        <v>11726.14</v>
      </c>
      <c r="N15" s="2968">
        <v>0</v>
      </c>
      <c r="O15" s="2968">
        <v>0</v>
      </c>
      <c r="P15" s="2968"/>
      <c r="Q15" s="2968">
        <f t="shared" ref="Q15:Q17" si="4">M15</f>
        <v>11726.14</v>
      </c>
      <c r="R15" s="2972"/>
      <c r="S15" s="2972"/>
    </row>
    <row r="16" spans="1:19" s="2973" customFormat="1">
      <c r="A16" s="3168"/>
      <c r="B16" s="3171"/>
      <c r="C16" s="3174"/>
      <c r="D16" s="3174"/>
      <c r="E16" s="3147"/>
      <c r="F16" s="2966" t="s">
        <v>48</v>
      </c>
      <c r="G16" s="3147"/>
      <c r="H16" s="3147"/>
      <c r="I16" s="3147"/>
      <c r="J16" s="3147"/>
      <c r="K16" s="3147"/>
      <c r="L16" s="2966"/>
      <c r="M16" s="2970">
        <v>16414.09</v>
      </c>
      <c r="N16" s="2977">
        <v>0</v>
      </c>
      <c r="O16" s="2968">
        <v>0</v>
      </c>
      <c r="P16" s="2968"/>
      <c r="Q16" s="2968">
        <f t="shared" si="4"/>
        <v>16414.09</v>
      </c>
      <c r="R16" s="2972"/>
      <c r="S16" s="2972"/>
    </row>
    <row r="17" spans="1:19" s="2973" customFormat="1">
      <c r="A17" s="3168"/>
      <c r="B17" s="3171"/>
      <c r="C17" s="3174"/>
      <c r="D17" s="3174"/>
      <c r="E17" s="3147"/>
      <c r="F17" s="2966" t="s">
        <v>3109</v>
      </c>
      <c r="G17" s="3148"/>
      <c r="H17" s="3148"/>
      <c r="I17" s="3148"/>
      <c r="J17" s="3148"/>
      <c r="K17" s="3148"/>
      <c r="L17" s="2966"/>
      <c r="M17" s="2970">
        <v>2320</v>
      </c>
      <c r="N17" s="2977">
        <v>0</v>
      </c>
      <c r="O17" s="2968">
        <v>0</v>
      </c>
      <c r="P17" s="2968"/>
      <c r="Q17" s="2968">
        <f t="shared" si="4"/>
        <v>2320</v>
      </c>
      <c r="R17" s="2972"/>
      <c r="S17" s="2972"/>
    </row>
    <row r="18" spans="1:19" s="2973" customFormat="1">
      <c r="A18" s="3169"/>
      <c r="B18" s="3172"/>
      <c r="C18" s="3175"/>
      <c r="D18" s="3175"/>
      <c r="E18" s="3148"/>
      <c r="F18" s="3155" t="s">
        <v>3105</v>
      </c>
      <c r="G18" s="3156"/>
      <c r="H18" s="3156"/>
      <c r="I18" s="3156"/>
      <c r="J18" s="3156"/>
      <c r="K18" s="3157"/>
      <c r="L18" s="2975">
        <f t="shared" ref="L18:O18" si="5">L15+L16+L17</f>
        <v>0</v>
      </c>
      <c r="M18" s="2976">
        <f t="shared" si="5"/>
        <v>30460.23</v>
      </c>
      <c r="N18" s="2976">
        <f t="shared" si="5"/>
        <v>0</v>
      </c>
      <c r="O18" s="2976">
        <f t="shared" si="5"/>
        <v>0</v>
      </c>
      <c r="P18" s="2976"/>
      <c r="Q18" s="2976">
        <f>Q15+Q16+Q17</f>
        <v>30460.23</v>
      </c>
      <c r="R18" s="2972"/>
      <c r="S18" s="2972"/>
    </row>
    <row r="19" spans="1:19" s="2979" customFormat="1">
      <c r="A19" s="3155" t="s">
        <v>3110</v>
      </c>
      <c r="B19" s="3158"/>
      <c r="C19" s="2974">
        <f>C10</f>
        <v>131452.39000000001</v>
      </c>
      <c r="D19" s="2974">
        <f>D10</f>
        <v>83307.64</v>
      </c>
      <c r="E19" s="2975"/>
      <c r="F19" s="3155" t="s">
        <v>3111</v>
      </c>
      <c r="G19" s="3159"/>
      <c r="H19" s="3159"/>
      <c r="I19" s="3159"/>
      <c r="J19" s="3159"/>
      <c r="K19" s="3160"/>
      <c r="L19" s="2975">
        <f t="shared" ref="L19:Q19" si="6">L13+L14+L18</f>
        <v>169</v>
      </c>
      <c r="M19" s="2976">
        <f t="shared" si="6"/>
        <v>48411.18</v>
      </c>
      <c r="N19" s="2976">
        <f t="shared" si="6"/>
        <v>14246.95</v>
      </c>
      <c r="O19" s="2976">
        <f t="shared" si="6"/>
        <v>15149.740000000002</v>
      </c>
      <c r="P19" s="2976">
        <f t="shared" si="6"/>
        <v>14858.740000000002</v>
      </c>
      <c r="Q19" s="2976">
        <f t="shared" si="6"/>
        <v>34164.229999999996</v>
      </c>
      <c r="R19" s="2978"/>
      <c r="S19" s="2978"/>
    </row>
    <row r="20" spans="1:19" s="2973" customFormat="1" ht="26">
      <c r="A20" s="3161" t="s">
        <v>3112</v>
      </c>
      <c r="B20" s="3163" t="s">
        <v>3113</v>
      </c>
      <c r="C20" s="3163"/>
      <c r="D20" s="3165">
        <v>68320.800000000003</v>
      </c>
      <c r="E20" s="3147" t="s">
        <v>3103</v>
      </c>
      <c r="F20" s="2980" t="s">
        <v>3114</v>
      </c>
      <c r="G20" s="2981" t="s">
        <v>3085</v>
      </c>
      <c r="H20" s="2971"/>
      <c r="I20" s="2968"/>
      <c r="J20" s="2968" t="s">
        <v>3115</v>
      </c>
      <c r="K20" s="2968">
        <v>112.05</v>
      </c>
      <c r="L20" s="2966"/>
      <c r="M20" s="2970">
        <v>60489.66</v>
      </c>
      <c r="N20" s="2970">
        <v>33362.32</v>
      </c>
      <c r="O20" s="2970">
        <v>28650.9</v>
      </c>
      <c r="P20" s="2970">
        <v>28281.9</v>
      </c>
      <c r="Q20" s="2970">
        <v>27127.34</v>
      </c>
      <c r="R20" s="2972"/>
      <c r="S20" s="2972"/>
    </row>
    <row r="21" spans="1:19" s="2973" customFormat="1">
      <c r="A21" s="3161"/>
      <c r="B21" s="3163"/>
      <c r="C21" s="3163"/>
      <c r="D21" s="3165"/>
      <c r="E21" s="3147"/>
      <c r="F21" s="2982" t="s">
        <v>3116</v>
      </c>
      <c r="G21" s="2983" t="s">
        <v>3085</v>
      </c>
      <c r="H21" s="2984"/>
      <c r="I21" s="2985">
        <v>202.74</v>
      </c>
      <c r="J21" s="2985" t="s">
        <v>3086</v>
      </c>
      <c r="K21" s="2985">
        <v>7</v>
      </c>
      <c r="L21" s="2986">
        <v>6</v>
      </c>
      <c r="M21" s="2970">
        <v>1216.44</v>
      </c>
      <c r="N21" s="2968">
        <f t="shared" ref="N21:O25" si="7">M21</f>
        <v>1216.44</v>
      </c>
      <c r="O21" s="2968">
        <f t="shared" si="7"/>
        <v>1216.44</v>
      </c>
      <c r="P21" s="2968">
        <v>1198.44</v>
      </c>
      <c r="Q21" s="2971"/>
      <c r="R21" s="2972"/>
      <c r="S21" s="2972"/>
    </row>
    <row r="22" spans="1:19" s="2973" customFormat="1">
      <c r="A22" s="3161"/>
      <c r="B22" s="3163"/>
      <c r="C22" s="3163"/>
      <c r="D22" s="3165"/>
      <c r="E22" s="3147"/>
      <c r="F22" s="2982" t="s">
        <v>3117</v>
      </c>
      <c r="G22" s="2983" t="s">
        <v>3085</v>
      </c>
      <c r="H22" s="2984"/>
      <c r="I22" s="2985">
        <v>501.28</v>
      </c>
      <c r="J22" s="2985" t="s">
        <v>3086</v>
      </c>
      <c r="K22" s="2985">
        <v>6.7</v>
      </c>
      <c r="L22" s="2986">
        <v>1</v>
      </c>
      <c r="M22" s="2970">
        <f>I22</f>
        <v>501.28</v>
      </c>
      <c r="N22" s="2968">
        <f t="shared" si="7"/>
        <v>501.28</v>
      </c>
      <c r="O22" s="2968">
        <f t="shared" si="7"/>
        <v>501.28</v>
      </c>
      <c r="P22" s="2968">
        <v>496.78</v>
      </c>
      <c r="Q22" s="2971"/>
      <c r="R22" s="2972"/>
      <c r="S22" s="2972"/>
    </row>
    <row r="23" spans="1:19" s="2973" customFormat="1">
      <c r="A23" s="3161"/>
      <c r="B23" s="3163"/>
      <c r="C23" s="3163"/>
      <c r="D23" s="3165"/>
      <c r="E23" s="3147"/>
      <c r="F23" s="2987" t="s">
        <v>3118</v>
      </c>
      <c r="G23" s="2981" t="s">
        <v>3085</v>
      </c>
      <c r="H23" s="2967"/>
      <c r="I23" s="2968">
        <v>431.73</v>
      </c>
      <c r="J23" s="2968" t="s">
        <v>3119</v>
      </c>
      <c r="K23" s="2968">
        <v>7.6</v>
      </c>
      <c r="L23" s="2988">
        <v>4</v>
      </c>
      <c r="M23" s="2970">
        <v>1726.92</v>
      </c>
      <c r="N23" s="2968">
        <f t="shared" si="7"/>
        <v>1726.92</v>
      </c>
      <c r="O23" s="2968">
        <f t="shared" si="7"/>
        <v>1726.92</v>
      </c>
      <c r="P23" s="2968">
        <v>1690.92</v>
      </c>
      <c r="Q23" s="2971"/>
      <c r="R23" s="2972"/>
      <c r="S23" s="2972"/>
    </row>
    <row r="24" spans="1:19" s="2973" customFormat="1">
      <c r="A24" s="3161"/>
      <c r="B24" s="3163"/>
      <c r="C24" s="3163"/>
      <c r="D24" s="3165"/>
      <c r="E24" s="3147"/>
      <c r="F24" s="2987" t="s">
        <v>3120</v>
      </c>
      <c r="G24" s="2981" t="s">
        <v>3085</v>
      </c>
      <c r="H24" s="2967"/>
      <c r="I24" s="2971">
        <v>617.12</v>
      </c>
      <c r="J24" s="2968" t="s">
        <v>3119</v>
      </c>
      <c r="K24" s="2968">
        <v>7.6</v>
      </c>
      <c r="L24" s="2966">
        <v>4</v>
      </c>
      <c r="M24" s="2970">
        <v>2468.48</v>
      </c>
      <c r="N24" s="2968">
        <f t="shared" si="7"/>
        <v>2468.48</v>
      </c>
      <c r="O24" s="2970">
        <f t="shared" si="7"/>
        <v>2468.48</v>
      </c>
      <c r="P24" s="2970">
        <v>2432.48</v>
      </c>
      <c r="Q24" s="2970"/>
      <c r="R24" s="2972"/>
      <c r="S24" s="2972"/>
    </row>
    <row r="25" spans="1:19" s="2973" customFormat="1">
      <c r="A25" s="3161"/>
      <c r="B25" s="3163"/>
      <c r="C25" s="3163"/>
      <c r="D25" s="3165"/>
      <c r="E25" s="3147"/>
      <c r="F25" s="2987" t="s">
        <v>3121</v>
      </c>
      <c r="G25" s="2981" t="s">
        <v>3085</v>
      </c>
      <c r="H25" s="2967"/>
      <c r="I25" s="2971">
        <v>174.48</v>
      </c>
      <c r="J25" s="2968" t="s">
        <v>3119</v>
      </c>
      <c r="K25" s="2968">
        <v>7.6</v>
      </c>
      <c r="L25" s="2966">
        <v>10</v>
      </c>
      <c r="M25" s="2970">
        <v>1744.8</v>
      </c>
      <c r="N25" s="2968">
        <f t="shared" si="7"/>
        <v>1744.8</v>
      </c>
      <c r="O25" s="2970">
        <f t="shared" si="7"/>
        <v>1744.8</v>
      </c>
      <c r="P25" s="2970">
        <v>1699.8</v>
      </c>
      <c r="Q25" s="2970"/>
      <c r="R25" s="2972"/>
      <c r="S25" s="2972"/>
    </row>
    <row r="26" spans="1:19" s="2973" customFormat="1">
      <c r="A26" s="3161"/>
      <c r="B26" s="3163"/>
      <c r="C26" s="3163"/>
      <c r="D26" s="3165"/>
      <c r="E26" s="3147"/>
      <c r="F26" s="2987" t="s">
        <v>3122</v>
      </c>
      <c r="G26" s="2981" t="s">
        <v>3085</v>
      </c>
      <c r="H26" s="2967"/>
      <c r="I26" s="2971"/>
      <c r="J26" s="2968" t="s">
        <v>3123</v>
      </c>
      <c r="K26" s="2968"/>
      <c r="L26" s="2966"/>
      <c r="M26" s="2970">
        <v>5741.18</v>
      </c>
      <c r="N26" s="2970"/>
      <c r="O26" s="2970"/>
      <c r="P26" s="2970"/>
      <c r="Q26" s="2970">
        <f>M26</f>
        <v>5741.18</v>
      </c>
      <c r="R26" s="2972"/>
      <c r="S26" s="2972"/>
    </row>
    <row r="27" spans="1:19" s="2973" customFormat="1">
      <c r="A27" s="3162"/>
      <c r="B27" s="3164"/>
      <c r="C27" s="3164"/>
      <c r="D27" s="3166"/>
      <c r="E27" s="3148"/>
      <c r="F27" s="3155" t="s">
        <v>3124</v>
      </c>
      <c r="G27" s="3150"/>
      <c r="H27" s="3150"/>
      <c r="I27" s="3150"/>
      <c r="J27" s="3150"/>
      <c r="K27" s="3151"/>
      <c r="L27" s="2966">
        <f>SUM(L21:L25)</f>
        <v>25</v>
      </c>
      <c r="M27" s="2976">
        <f t="shared" ref="M27:Q27" si="8">SUM(M21:M26)</f>
        <v>13399.100000000002</v>
      </c>
      <c r="N27" s="2976">
        <f t="shared" si="8"/>
        <v>7657.920000000001</v>
      </c>
      <c r="O27" s="2976">
        <f t="shared" si="8"/>
        <v>7657.920000000001</v>
      </c>
      <c r="P27" s="2976">
        <f t="shared" si="8"/>
        <v>7518.420000000001</v>
      </c>
      <c r="Q27" s="2976">
        <f t="shared" si="8"/>
        <v>5741.18</v>
      </c>
      <c r="R27" s="2972"/>
      <c r="S27" s="2972"/>
    </row>
    <row r="28" spans="1:19" s="2965" customFormat="1">
      <c r="A28" s="2949" t="s">
        <v>3125</v>
      </c>
      <c r="B28" s="2950"/>
      <c r="C28" s="2960"/>
      <c r="D28" s="2962">
        <f>D20</f>
        <v>68320.800000000003</v>
      </c>
      <c r="E28" s="2960"/>
      <c r="F28" s="3149" t="s">
        <v>3126</v>
      </c>
      <c r="G28" s="3150"/>
      <c r="H28" s="3150"/>
      <c r="I28" s="3150"/>
      <c r="J28" s="3150"/>
      <c r="K28" s="3151"/>
      <c r="L28" s="2961"/>
      <c r="M28" s="2962">
        <f t="shared" ref="M28:Q28" si="9">M20+M27</f>
        <v>73888.760000000009</v>
      </c>
      <c r="N28" s="2962">
        <f t="shared" si="9"/>
        <v>41020.239999999998</v>
      </c>
      <c r="O28" s="2962">
        <f t="shared" si="9"/>
        <v>36308.82</v>
      </c>
      <c r="P28" s="2962">
        <f t="shared" si="9"/>
        <v>35800.32</v>
      </c>
      <c r="Q28" s="2962">
        <f t="shared" si="9"/>
        <v>32868.520000000004</v>
      </c>
      <c r="R28" s="2964"/>
      <c r="S28" s="2964"/>
    </row>
    <row r="29" spans="1:19" s="2959" customFormat="1">
      <c r="A29" s="2949" t="s">
        <v>3127</v>
      </c>
      <c r="B29" s="2950"/>
      <c r="C29" s="2960">
        <f>C6+C9+C19</f>
        <v>293115.95</v>
      </c>
      <c r="D29" s="2960">
        <f>D6+D9+D19+D28</f>
        <v>293116</v>
      </c>
      <c r="E29" s="2960"/>
      <c r="F29" s="3152"/>
      <c r="G29" s="3153"/>
      <c r="H29" s="3153"/>
      <c r="I29" s="3153"/>
      <c r="J29" s="3153"/>
      <c r="K29" s="3154"/>
      <c r="L29" s="2956"/>
      <c r="M29" s="2962">
        <f t="shared" ref="M29:Q29" si="10">M6+M9+M19+M28</f>
        <v>257979.69</v>
      </c>
      <c r="N29" s="2962">
        <f t="shared" si="10"/>
        <v>123611.38999999998</v>
      </c>
      <c r="O29" s="2962">
        <f t="shared" si="10"/>
        <v>118662.08000000002</v>
      </c>
      <c r="P29" s="2962">
        <f t="shared" si="10"/>
        <v>117214.58000000002</v>
      </c>
      <c r="Q29" s="2962">
        <f t="shared" si="10"/>
        <v>134368.29999999999</v>
      </c>
      <c r="R29" s="2952"/>
      <c r="S29" s="2952"/>
    </row>
  </sheetData>
  <mergeCells count="44">
    <mergeCell ref="A1:Q1"/>
    <mergeCell ref="A3:A5"/>
    <mergeCell ref="B3:B5"/>
    <mergeCell ref="C3:C5"/>
    <mergeCell ref="D3:D5"/>
    <mergeCell ref="E3:E5"/>
    <mergeCell ref="K3:K5"/>
    <mergeCell ref="M3:M5"/>
    <mergeCell ref="Q3:Q5"/>
    <mergeCell ref="A6:B6"/>
    <mergeCell ref="F6:K6"/>
    <mergeCell ref="A7:A8"/>
    <mergeCell ref="B7:B8"/>
    <mergeCell ref="C7:C8"/>
    <mergeCell ref="D7:D8"/>
    <mergeCell ref="E7:E8"/>
    <mergeCell ref="A9:B9"/>
    <mergeCell ref="F9:K9"/>
    <mergeCell ref="A10:A18"/>
    <mergeCell ref="B10:B18"/>
    <mergeCell ref="C10:C18"/>
    <mergeCell ref="D10:D18"/>
    <mergeCell ref="E10:E18"/>
    <mergeCell ref="G10:G12"/>
    <mergeCell ref="H10:H12"/>
    <mergeCell ref="J10:J12"/>
    <mergeCell ref="K10:K12"/>
    <mergeCell ref="F13:K13"/>
    <mergeCell ref="G15:G17"/>
    <mergeCell ref="H15:H17"/>
    <mergeCell ref="I15:I17"/>
    <mergeCell ref="J15:J17"/>
    <mergeCell ref="K15:K17"/>
    <mergeCell ref="F28:K28"/>
    <mergeCell ref="F29:K29"/>
    <mergeCell ref="F18:K18"/>
    <mergeCell ref="A19:B19"/>
    <mergeCell ref="F19:K19"/>
    <mergeCell ref="A20:A27"/>
    <mergeCell ref="B20:B27"/>
    <mergeCell ref="C20:C27"/>
    <mergeCell ref="D20:D27"/>
    <mergeCell ref="E20:E27"/>
    <mergeCell ref="F27:K27"/>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topLeftCell="A10" zoomScale="90" zoomScaleNormal="100" zoomScaleSheetLayoutView="90" workbookViewId="0">
      <selection activeCell="E30" sqref="E30"/>
    </sheetView>
  </sheetViews>
  <sheetFormatPr defaultColWidth="9.26953125" defaultRowHeight="14"/>
  <cols>
    <col min="1" max="1" width="12.08984375" style="2220" customWidth="1"/>
    <col min="2" max="2" width="10.26953125" style="2220" customWidth="1"/>
    <col min="3" max="3" width="18.453125" style="2220" customWidth="1"/>
    <col min="4" max="4" width="11.6328125" style="2220" customWidth="1"/>
    <col min="5" max="5" width="13.36328125" style="2220" customWidth="1"/>
    <col min="6" max="8" width="11.453125" style="2220" customWidth="1"/>
    <col min="9" max="9" width="11.08984375" style="2220" customWidth="1"/>
    <col min="10" max="10" width="3.08984375" style="2220" customWidth="1"/>
    <col min="11" max="16" width="10" style="2220" customWidth="1"/>
    <col min="17" max="17" width="2.6328125" style="2220" customWidth="1"/>
    <col min="18" max="18" width="9.36328125" style="2220" bestFit="1" customWidth="1"/>
    <col min="19" max="19" width="10.453125" style="2220" bestFit="1" customWidth="1"/>
    <col min="20" max="16384" width="9.26953125" style="2220"/>
  </cols>
  <sheetData>
    <row r="1" spans="1:16" ht="18">
      <c r="A1" s="2219" t="s">
        <v>1930</v>
      </c>
      <c r="B1" s="1392"/>
      <c r="C1" s="1392"/>
      <c r="D1" s="1392"/>
      <c r="E1" s="1392"/>
      <c r="F1" s="1392"/>
      <c r="G1" s="1392"/>
      <c r="H1" s="1392"/>
      <c r="I1" s="1392"/>
      <c r="J1" s="1392"/>
      <c r="K1" s="1392"/>
      <c r="L1" s="1392"/>
      <c r="M1" s="1392"/>
      <c r="N1" s="1392"/>
      <c r="O1" s="1392"/>
      <c r="P1" s="1392"/>
    </row>
    <row r="2" spans="1:16">
      <c r="A2" s="3211" t="s">
        <v>1931</v>
      </c>
      <c r="B2" s="3211"/>
      <c r="C2" s="3211"/>
      <c r="D2" s="967" t="s">
        <v>1907</v>
      </c>
      <c r="E2" s="2221" t="s">
        <v>1908</v>
      </c>
      <c r="F2" s="1392"/>
      <c r="G2" s="2222"/>
      <c r="H2" s="2223"/>
      <c r="I2" s="2224" t="s">
        <v>1932</v>
      </c>
      <c r="J2" s="1392"/>
      <c r="K2" s="1392"/>
      <c r="L2" s="1392"/>
      <c r="M2" s="1392"/>
      <c r="N2" s="1427"/>
      <c r="O2" s="1392"/>
      <c r="P2" s="1392"/>
    </row>
    <row r="3" spans="1:16" ht="14.5" thickBot="1">
      <c r="A3" s="3212" t="s">
        <v>1905</v>
      </c>
      <c r="B3" s="3212"/>
      <c r="C3" s="3212"/>
      <c r="D3" s="46">
        <f>'数据-基础表'!AY6</f>
        <v>88343.87</v>
      </c>
      <c r="E3" s="46">
        <f>'数据-基础表'!AZ5</f>
        <v>106874.1</v>
      </c>
      <c r="F3" s="1392"/>
      <c r="G3" s="1399"/>
      <c r="H3" s="1247" t="s">
        <v>1906</v>
      </c>
      <c r="I3" s="55">
        <f>ROUND('数据-基础表'!B3/'数据-基础表'!A3,2)</f>
        <v>1.25</v>
      </c>
      <c r="J3" s="1392"/>
      <c r="K3" s="1392"/>
      <c r="L3" s="1392"/>
      <c r="M3" s="1392"/>
      <c r="N3" s="1427"/>
      <c r="O3" s="1392"/>
      <c r="P3" s="1392"/>
    </row>
    <row r="4" spans="1:16">
      <c r="A4" s="3213"/>
      <c r="B4" s="3214"/>
      <c r="C4" s="3215"/>
      <c r="D4" s="2225" t="s">
        <v>1907</v>
      </c>
      <c r="E4" s="2226" t="s">
        <v>1908</v>
      </c>
      <c r="F4" s="1392"/>
      <c r="G4" s="2227" t="s">
        <v>1933</v>
      </c>
      <c r="H4" s="1247" t="s">
        <v>1913</v>
      </c>
      <c r="I4" s="55">
        <f>ROUND(SUMIF('数据-基础表'!I9:AS9,"地上",'数据-基础表'!I5:AS5)/'数据-基础表'!A3,2)</f>
        <v>0.41</v>
      </c>
      <c r="J4" s="1392"/>
      <c r="K4" s="1392"/>
      <c r="L4" s="1392"/>
      <c r="M4" s="1392"/>
      <c r="N4" s="1427"/>
      <c r="O4" s="1392"/>
      <c r="P4" s="1392"/>
    </row>
    <row r="5" spans="1:16">
      <c r="A5" s="47" t="s">
        <v>1909</v>
      </c>
      <c r="B5" s="3216" t="s">
        <v>1910</v>
      </c>
      <c r="C5" s="3216"/>
      <c r="D5" s="48">
        <f>ROUND($D$3*E5/$E$3,2)</f>
        <v>0</v>
      </c>
      <c r="E5" s="49">
        <f>SUMIF('数据-基础表'!$11:$11,"住宅",'数据-基础表'!$5:$5)</f>
        <v>0</v>
      </c>
      <c r="F5" s="1392"/>
      <c r="G5" s="1399"/>
      <c r="H5" s="1247" t="s">
        <v>1906</v>
      </c>
      <c r="I5" s="55">
        <f>ROUND(E31/D31,2)</f>
        <v>1.21</v>
      </c>
      <c r="J5" s="1392"/>
      <c r="K5" s="1392"/>
      <c r="L5" s="1392"/>
      <c r="M5" s="1392"/>
      <c r="N5" s="1392"/>
      <c r="O5" s="1392"/>
      <c r="P5" s="1392"/>
    </row>
    <row r="6" spans="1:16" ht="14.5" thickBot="1">
      <c r="A6" s="2228"/>
      <c r="B6" s="3216" t="s">
        <v>1911</v>
      </c>
      <c r="C6" s="3216"/>
      <c r="D6" s="48">
        <f>ROUND($D$3*E6/$E$3,2)</f>
        <v>88343.87</v>
      </c>
      <c r="E6" s="49">
        <f>E3-E5</f>
        <v>106874.1</v>
      </c>
      <c r="F6" s="1392"/>
      <c r="G6" s="2229" t="s">
        <v>1912</v>
      </c>
      <c r="H6" s="1399" t="s">
        <v>1913</v>
      </c>
      <c r="I6" s="939">
        <f>ROUND(F31/D31,2)</f>
        <v>0.53</v>
      </c>
      <c r="J6" s="1392"/>
      <c r="K6" s="1392"/>
      <c r="L6" s="1392"/>
      <c r="M6" s="1392"/>
      <c r="N6" s="1392"/>
      <c r="O6" s="1392"/>
      <c r="P6" s="1392"/>
    </row>
    <row r="7" spans="1:16">
      <c r="A7" s="3208"/>
      <c r="B7" s="3209"/>
      <c r="C7" s="3210"/>
      <c r="D7" s="2225" t="s">
        <v>1907</v>
      </c>
      <c r="E7" s="2230" t="s">
        <v>1914</v>
      </c>
      <c r="F7" s="1392"/>
      <c r="G7" s="2222" t="s">
        <v>1915</v>
      </c>
      <c r="H7" s="64"/>
      <c r="I7" s="420"/>
      <c r="J7" s="1392"/>
      <c r="K7" s="1392"/>
      <c r="L7" s="1392"/>
      <c r="M7" s="1392"/>
      <c r="N7" s="1392"/>
      <c r="O7" s="1392"/>
      <c r="P7" s="1392"/>
    </row>
    <row r="8" spans="1:16">
      <c r="A8" s="47" t="s">
        <v>1916</v>
      </c>
      <c r="B8" s="50" t="s">
        <v>1917</v>
      </c>
      <c r="C8" s="48" t="s">
        <v>1918</v>
      </c>
      <c r="D8" s="48">
        <f t="shared" ref="D8:D15" si="0">ROUND($D$3*E8/$E$3,2)</f>
        <v>33092.11</v>
      </c>
      <c r="E8" s="51">
        <f>SUMIF('数据-基础表'!BB10:BK10,"地上",'数据-基础表'!BB5:BK5)</f>
        <v>40033.22</v>
      </c>
      <c r="F8" s="1392"/>
      <c r="G8" s="2231"/>
      <c r="H8" s="2231"/>
      <c r="I8" s="1392"/>
      <c r="J8" s="1392"/>
      <c r="K8" s="1392"/>
      <c r="L8" s="1392"/>
      <c r="M8" s="1392"/>
      <c r="N8" s="1392"/>
      <c r="O8" s="1392"/>
      <c r="P8" s="1392"/>
    </row>
    <row r="9" spans="1:16">
      <c r="A9" s="2232"/>
      <c r="B9" s="2233"/>
      <c r="C9" s="48" t="s">
        <v>1919</v>
      </c>
      <c r="D9" s="48">
        <f t="shared" si="0"/>
        <v>0</v>
      </c>
      <c r="E9" s="52">
        <v>0</v>
      </c>
      <c r="F9" s="1392"/>
      <c r="G9" s="2231"/>
      <c r="H9" s="2231"/>
      <c r="I9" s="1392"/>
      <c r="J9" s="1392"/>
      <c r="K9" s="1392"/>
      <c r="L9" s="1392"/>
      <c r="M9" s="1392"/>
      <c r="N9" s="1392"/>
      <c r="O9" s="1392"/>
      <c r="P9" s="1392"/>
    </row>
    <row r="10" spans="1:16">
      <c r="A10" s="2232"/>
      <c r="B10" s="2233"/>
      <c r="C10" s="48" t="s">
        <v>1928</v>
      </c>
      <c r="D10" s="48">
        <f t="shared" si="0"/>
        <v>685.23</v>
      </c>
      <c r="E10" s="51">
        <f>SUMPRODUCT(('数据-基础表'!BB10:BK10="地下")*('数据-基础表'!BB11:BK11="商业")*('数据-基础表'!BB5:BK5))</f>
        <v>828.96</v>
      </c>
      <c r="F10" s="1392"/>
      <c r="G10" s="2231"/>
      <c r="H10" s="2231"/>
      <c r="I10" s="1392"/>
      <c r="J10" s="1392"/>
      <c r="K10" s="1392"/>
      <c r="L10" s="1392"/>
      <c r="M10" s="1392"/>
      <c r="N10" s="1392"/>
      <c r="O10" s="1392"/>
      <c r="P10" s="1392"/>
    </row>
    <row r="11" spans="1:16">
      <c r="A11" s="2232"/>
      <c r="B11" s="2233"/>
      <c r="C11" s="48" t="s">
        <v>1920</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1921</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1922</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1934</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4.5" thickBot="1">
      <c r="A15" s="2232"/>
      <c r="B15" s="2233"/>
      <c r="C15" s="48" t="s">
        <v>1929</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4.5" thickBot="1">
      <c r="A16" s="2228"/>
      <c r="B16" s="2233"/>
      <c r="C16" s="50" t="s">
        <v>1923</v>
      </c>
      <c r="D16" s="50">
        <f>SUM(D8:D15)</f>
        <v>33777.340000000004</v>
      </c>
      <c r="E16" s="53">
        <f>SUM(E8:E15)</f>
        <v>40862.18</v>
      </c>
      <c r="F16" s="1392"/>
      <c r="G16" s="2231"/>
      <c r="H16" s="2234" t="s">
        <v>1935</v>
      </c>
      <c r="I16" s="2235"/>
      <c r="J16" s="1392"/>
      <c r="K16" s="3205" t="s">
        <v>1935</v>
      </c>
      <c r="L16" s="3206"/>
      <c r="M16" s="3206"/>
      <c r="N16" s="3206"/>
      <c r="O16" s="3206"/>
      <c r="P16" s="3207"/>
    </row>
    <row r="17" spans="1:19">
      <c r="A17" s="2236" t="s">
        <v>1936</v>
      </c>
      <c r="B17" s="2237" t="s">
        <v>1937</v>
      </c>
      <c r="C17" s="2238" t="s">
        <v>1938</v>
      </c>
      <c r="D17" s="2239" t="s">
        <v>1926</v>
      </c>
      <c r="E17" s="2240" t="s">
        <v>1927</v>
      </c>
      <c r="F17" s="2241"/>
      <c r="G17" s="2242"/>
      <c r="H17" s="2243" t="s">
        <v>1939</v>
      </c>
      <c r="I17" s="2244" t="s">
        <v>1924</v>
      </c>
      <c r="J17" s="1392"/>
      <c r="K17" s="3202" t="s">
        <v>1940</v>
      </c>
      <c r="L17" s="3203"/>
      <c r="M17" s="3204"/>
      <c r="N17" s="3202" t="s">
        <v>1941</v>
      </c>
      <c r="O17" s="3203"/>
      <c r="P17" s="3204"/>
      <c r="R17" s="2222" t="s">
        <v>1942</v>
      </c>
      <c r="S17" s="64"/>
    </row>
    <row r="18" spans="1:19">
      <c r="A18" s="2232"/>
      <c r="B18" s="2245"/>
      <c r="C18" s="2246"/>
      <c r="D18" s="2247"/>
      <c r="E18" s="2248" t="s">
        <v>1943</v>
      </c>
      <c r="F18" s="2249" t="s">
        <v>1944</v>
      </c>
      <c r="G18" s="2250" t="s">
        <v>1945</v>
      </c>
      <c r="H18" s="1262" t="s">
        <v>1946</v>
      </c>
      <c r="I18" s="2251" t="s">
        <v>1947</v>
      </c>
      <c r="J18" s="1392"/>
      <c r="K18" s="1262" t="s">
        <v>1948</v>
      </c>
      <c r="L18" s="2252" t="s">
        <v>1949</v>
      </c>
      <c r="M18" s="1046" t="s">
        <v>1950</v>
      </c>
      <c r="N18" s="1262" t="s">
        <v>1948</v>
      </c>
      <c r="O18" s="2252" t="s">
        <v>1949</v>
      </c>
      <c r="P18" s="1046" t="s">
        <v>1950</v>
      </c>
      <c r="R18" s="1247" t="s">
        <v>1951</v>
      </c>
      <c r="S18" s="1247" t="s">
        <v>1952</v>
      </c>
    </row>
    <row r="19" spans="1:19">
      <c r="A19" s="2253"/>
      <c r="B19" s="50" t="s">
        <v>1925</v>
      </c>
      <c r="C19" s="2996" t="s">
        <v>3207</v>
      </c>
      <c r="D19" s="48">
        <f>ROUND($D$3*E19/$E$3,2)</f>
        <v>12165.53</v>
      </c>
      <c r="E19" s="56">
        <f t="shared" ref="E19:E26" si="1">SUM(F19:G19)</f>
        <v>14717.259999999998</v>
      </c>
      <c r="F19" s="57">
        <f>'数据-基础表'!I13+'数据-基础表'!I17</f>
        <v>13888.3</v>
      </c>
      <c r="G19" s="58">
        <f>'数据-基础表'!K13</f>
        <v>828.96</v>
      </c>
      <c r="H19" s="723">
        <f>ROUND($D$3*I19/$E$3,2)</f>
        <v>19653.13</v>
      </c>
      <c r="I19" s="51">
        <f t="shared" ref="I19:I26" si="2">IF($I$17="自定义",P19,M19)</f>
        <v>23775.4</v>
      </c>
      <c r="J19" s="1392"/>
      <c r="K19" s="1391">
        <f t="shared" ref="K19:K26" si="3">ROUND(E$28*E19/E$27,2)</f>
        <v>23775.4</v>
      </c>
      <c r="L19" s="1247">
        <f t="shared" ref="L19:L26" si="4">ROUND(IF(COUNTIF(C19,"*住宅*")&gt;0,E$29*E19/E$32,0),2)</f>
        <v>0</v>
      </c>
      <c r="M19" s="1403">
        <f>K19+L19</f>
        <v>23775.4</v>
      </c>
      <c r="N19" s="2255"/>
      <c r="O19" s="2256"/>
      <c r="P19" s="1403">
        <f>N19+O19</f>
        <v>0</v>
      </c>
      <c r="R19" s="1247">
        <f t="shared" ref="R19:S26" si="5">D19+H19</f>
        <v>31818.660000000003</v>
      </c>
      <c r="S19" s="1248">
        <f t="shared" si="5"/>
        <v>38492.660000000003</v>
      </c>
    </row>
    <row r="20" spans="1:19">
      <c r="A20" s="2257"/>
      <c r="B20" s="50" t="s">
        <v>1953</v>
      </c>
      <c r="C20" s="2996" t="s">
        <v>3305</v>
      </c>
      <c r="D20" s="48">
        <f t="shared" ref="D20:D26" si="6">ROUND($D$3*E20/$E$3,2)</f>
        <v>21611.82</v>
      </c>
      <c r="E20" s="56">
        <f t="shared" si="1"/>
        <v>26144.92</v>
      </c>
      <c r="F20" s="57">
        <f>'数据-基础表'!M16</f>
        <v>26144.92</v>
      </c>
      <c r="G20" s="58"/>
      <c r="H20" s="723">
        <f t="shared" ref="H20:H26" si="7">ROUND($D$3*I20/$E$3,2)</f>
        <v>34913.39</v>
      </c>
      <c r="I20" s="51">
        <f t="shared" si="2"/>
        <v>42236.52</v>
      </c>
      <c r="J20" s="1392"/>
      <c r="K20" s="1391">
        <f t="shared" si="3"/>
        <v>42236.52</v>
      </c>
      <c r="L20" s="1247">
        <f t="shared" si="4"/>
        <v>0</v>
      </c>
      <c r="M20" s="1403">
        <f t="shared" ref="M20:M26" si="8">K20+L20</f>
        <v>42236.52</v>
      </c>
      <c r="N20" s="2255"/>
      <c r="O20" s="2256"/>
      <c r="P20" s="1403">
        <f t="shared" ref="P20:P26" si="9">N20+O20</f>
        <v>0</v>
      </c>
      <c r="R20" s="1247">
        <f t="shared" si="5"/>
        <v>56525.21</v>
      </c>
      <c r="S20" s="1248">
        <f t="shared" si="5"/>
        <v>68381.440000000002</v>
      </c>
    </row>
    <row r="21" spans="1:19">
      <c r="A21" s="2257"/>
      <c r="B21" s="50" t="s">
        <v>1953</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4.5" thickBot="1">
      <c r="A27" s="2257"/>
      <c r="B27" s="48"/>
      <c r="C27" s="2260" t="s">
        <v>1954</v>
      </c>
      <c r="D27" s="1393">
        <f>SUM(D19:D26)</f>
        <v>33777.35</v>
      </c>
      <c r="E27" s="1394">
        <f>IF(SUM(E19:E26)='数据-基础表'!BA5,SUM(E19:E26),IF(F27="地上面积有误","面积有误","地下面积有误"))</f>
        <v>40862.179999999993</v>
      </c>
      <c r="F27" s="1393">
        <f>IF(SUM(F19:F26)=E8,SUM(F19:F26),"地上面积有误")</f>
        <v>40033.22</v>
      </c>
      <c r="G27" s="1395">
        <f>SUM(G19:G26)</f>
        <v>828.96</v>
      </c>
      <c r="H27" s="1396">
        <f>SUM(H19:H26)</f>
        <v>54566.520000000004</v>
      </c>
      <c r="I27" s="1397">
        <f>SUM(I19:I26)</f>
        <v>66011.92</v>
      </c>
      <c r="J27" s="1392"/>
      <c r="K27" s="1400">
        <f>SUM(K19:K26)</f>
        <v>66011.92</v>
      </c>
      <c r="L27" s="1401">
        <f>SUM(L19:L26)</f>
        <v>0</v>
      </c>
      <c r="M27" s="1404">
        <f>SUM(M19:M26)</f>
        <v>66011.92</v>
      </c>
      <c r="N27" s="1400">
        <f t="shared" ref="N27:O27" si="10">SUM(N19:N26)</f>
        <v>0</v>
      </c>
      <c r="O27" s="1401">
        <f t="shared" si="10"/>
        <v>0</v>
      </c>
      <c r="P27" s="1402">
        <f>SUM(P19:P26)</f>
        <v>0</v>
      </c>
      <c r="R27" s="1249">
        <f>IF(SUM(R19:R26)=$D$3,SUM(R19:R26),SUM(R19:R26)&amp;"误差"&amp;ROUND(SUM(R19:R26)-$D$3,2))</f>
        <v>88343.87</v>
      </c>
      <c r="S27" s="1247">
        <f>IF(SUM(S19:S26)=$E$3,SUM(S19:S26),SUM(S19:S26)&amp;"误差"&amp;ROUND(SUM(S19:S26)-E3,2))</f>
        <v>106874.1</v>
      </c>
    </row>
    <row r="28" spans="1:19">
      <c r="A28" s="2257"/>
      <c r="B28" s="50" t="s">
        <v>1955</v>
      </c>
      <c r="C28" s="1259" t="s">
        <v>1956</v>
      </c>
      <c r="D28" s="48">
        <f>ROUND($D$3*E28/$E$3,2)</f>
        <v>54566.53</v>
      </c>
      <c r="E28" s="56">
        <f>SUM(F28:G28)</f>
        <v>66011.92</v>
      </c>
      <c r="F28" s="64">
        <f>'数据-基础表'!BQ5+'数据-基础表'!BS5</f>
        <v>7217.4</v>
      </c>
      <c r="G28" s="65">
        <f>'数据-基础表'!BR5+'数据-基础表'!BT5</f>
        <v>58794.52</v>
      </c>
      <c r="H28" s="1392"/>
      <c r="I28" s="1392"/>
      <c r="J28" s="1392"/>
      <c r="K28" s="1392"/>
      <c r="L28" s="1392"/>
      <c r="M28" s="1392"/>
      <c r="N28" s="1392"/>
      <c r="O28" s="1392"/>
      <c r="P28" s="1392"/>
    </row>
    <row r="29" spans="1:19">
      <c r="A29" s="2257"/>
      <c r="B29" s="50" t="s">
        <v>1955</v>
      </c>
      <c r="C29" s="2261"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57"/>
      <c r="B30" s="50"/>
      <c r="C30" s="2262" t="s">
        <v>1954</v>
      </c>
      <c r="D30" s="1393">
        <f>SUM(D28:D29)</f>
        <v>54566.53</v>
      </c>
      <c r="E30" s="1393">
        <f>SUM(E28:E29)</f>
        <v>66011.92</v>
      </c>
      <c r="F30" s="1393">
        <f>SUM(F28:F29)</f>
        <v>7217.4</v>
      </c>
      <c r="G30" s="1395">
        <f>SUM(G28:G29)</f>
        <v>58794.52</v>
      </c>
      <c r="H30" s="1392"/>
      <c r="I30" s="1392"/>
      <c r="J30" s="1392"/>
      <c r="K30" s="1392"/>
      <c r="L30" s="1392"/>
      <c r="M30" s="1392"/>
      <c r="N30" s="1392"/>
      <c r="O30" s="1392"/>
      <c r="P30" s="1392"/>
    </row>
    <row r="31" spans="1:19" ht="14.5" thickBot="1">
      <c r="A31" s="2263"/>
      <c r="B31" s="2264"/>
      <c r="C31" s="1007" t="s">
        <v>1958</v>
      </c>
      <c r="D31" s="729">
        <f>D27+D30</f>
        <v>88343.88</v>
      </c>
      <c r="E31" s="729">
        <f>E27+E30</f>
        <v>106874.09999999999</v>
      </c>
      <c r="F31" s="730">
        <f>F27+F30</f>
        <v>47250.62</v>
      </c>
      <c r="G31" s="731">
        <f>G27+G30</f>
        <v>59623.479999999996</v>
      </c>
      <c r="H31" s="1392"/>
      <c r="I31" s="1392"/>
      <c r="J31" s="1392"/>
      <c r="K31" s="1392"/>
      <c r="L31" s="1392"/>
      <c r="M31" s="1392"/>
      <c r="N31" s="1392"/>
      <c r="O31" s="1392"/>
      <c r="P31" s="1392"/>
    </row>
    <row r="32" spans="1:19">
      <c r="A32" s="2227"/>
      <c r="B32" s="2227" t="s">
        <v>1959</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18" sqref="F18"/>
    </sheetView>
  </sheetViews>
  <sheetFormatPr defaultColWidth="13.7265625" defaultRowHeight="12.5"/>
  <cols>
    <col min="1" max="1" width="20.90625" style="2339" customWidth="1"/>
    <col min="2" max="2" width="12" style="2269" customWidth="1"/>
    <col min="3" max="3" width="10.7265625" style="2269" customWidth="1"/>
    <col min="4" max="4" width="9.08984375" style="2340" customWidth="1"/>
    <col min="5" max="5" width="15" style="2269" bestFit="1" customWidth="1"/>
    <col min="6" max="10" width="8.90625" style="2269" customWidth="1"/>
    <col min="11" max="12" width="12.36328125" style="2183" customWidth="1"/>
    <col min="13" max="13" width="8.6328125" style="2269" customWidth="1"/>
    <col min="14" max="14" width="11.90625" style="2269" customWidth="1"/>
    <col min="15" max="15" width="8.453125" style="2269" customWidth="1"/>
    <col min="16" max="17" width="10.90625" style="2269" customWidth="1"/>
    <col min="18" max="19" width="12.453125" style="2269" customWidth="1"/>
    <col min="20" max="20" width="12.08984375" style="2269" customWidth="1"/>
    <col min="21" max="21" width="7.453125" style="2269" customWidth="1"/>
    <col min="22" max="22" width="6.36328125" style="2269" customWidth="1"/>
    <col min="23" max="24" width="6.7265625" style="2269" customWidth="1"/>
    <col min="25" max="25" width="8.453125" style="2269" customWidth="1"/>
    <col min="26" max="30" width="6.7265625" style="2269" customWidth="1"/>
    <col min="31" max="31" width="8" style="2269" customWidth="1"/>
    <col min="32" max="34" width="7.26953125" style="2269" customWidth="1"/>
    <col min="35" max="39" width="8" style="2269" customWidth="1"/>
    <col min="40" max="40" width="13.7265625" style="2268"/>
    <col min="41" max="41" width="11.6328125" style="2268" customWidth="1"/>
    <col min="42" max="42" width="9.7265625" style="2268" customWidth="1"/>
    <col min="43" max="67" width="13.7265625" style="2268"/>
    <col min="68" max="16384" width="13.7265625" style="2269"/>
  </cols>
  <sheetData>
    <row r="1" spans="1:67" ht="18" thickBot="1">
      <c r="A1" s="2266" t="s">
        <v>1960</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 thickBot="1">
      <c r="A2" s="2270" t="s">
        <v>1961</v>
      </c>
      <c r="B2" s="1266">
        <f>项目基本情况!D3</f>
        <v>43913</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4.5" thickBot="1">
      <c r="A4" s="68" t="s">
        <v>1962</v>
      </c>
      <c r="B4" s="2275"/>
      <c r="C4" s="2276"/>
      <c r="D4" s="2277"/>
      <c r="E4" s="2276" t="s">
        <v>1963</v>
      </c>
      <c r="F4" s="2276"/>
      <c r="G4" s="2276"/>
      <c r="H4" s="2276"/>
      <c r="I4" s="2276"/>
      <c r="J4" s="2278"/>
      <c r="K4" s="2279"/>
      <c r="L4" s="2280"/>
      <c r="M4" s="2276"/>
      <c r="N4" s="2276" t="s">
        <v>1964</v>
      </c>
      <c r="O4" s="2276"/>
      <c r="P4" s="2276"/>
      <c r="Q4" s="2276"/>
      <c r="R4" s="2276"/>
      <c r="S4" s="2278"/>
      <c r="T4" s="2281" t="str">
        <f>'数据-汇总表'!I17</f>
        <v>按面积比例</v>
      </c>
      <c r="U4" s="2275" t="s">
        <v>1965</v>
      </c>
      <c r="V4" s="2276"/>
      <c r="W4" s="2276"/>
      <c r="X4" s="2276"/>
      <c r="Y4" s="2278"/>
      <c r="Z4" s="2238" t="s">
        <v>1966</v>
      </c>
      <c r="AA4" s="2238"/>
      <c r="AB4" s="2238"/>
      <c r="AC4" s="2238"/>
      <c r="AD4" s="2238"/>
      <c r="AE4" s="2236" t="s">
        <v>1967</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3">
      <c r="A5" s="2283" t="s">
        <v>1968</v>
      </c>
      <c r="B5" s="2284" t="s">
        <v>1969</v>
      </c>
      <c r="C5" s="2285" t="s">
        <v>1970</v>
      </c>
      <c r="D5" s="2286" t="s">
        <v>1971</v>
      </c>
      <c r="E5" s="1268" t="s">
        <v>1972</v>
      </c>
      <c r="F5" s="2287" t="s">
        <v>1973</v>
      </c>
      <c r="G5" s="1268" t="s">
        <v>1974</v>
      </c>
      <c r="H5" s="1268" t="s">
        <v>1975</v>
      </c>
      <c r="I5" s="1268" t="s">
        <v>1976</v>
      </c>
      <c r="J5" s="2288" t="s">
        <v>1977</v>
      </c>
      <c r="K5" s="2289" t="s">
        <v>1978</v>
      </c>
      <c r="L5" s="2290" t="s">
        <v>1979</v>
      </c>
      <c r="M5" s="2291" t="s">
        <v>1980</v>
      </c>
      <c r="N5" s="2292" t="s">
        <v>1981</v>
      </c>
      <c r="O5" s="2290" t="s">
        <v>1982</v>
      </c>
      <c r="P5" s="2293" t="s">
        <v>1983</v>
      </c>
      <c r="Q5" s="69" t="s">
        <v>1984</v>
      </c>
      <c r="R5" s="2294" t="s">
        <v>1985</v>
      </c>
      <c r="S5" s="2295" t="s">
        <v>1986</v>
      </c>
      <c r="T5" s="2296" t="s">
        <v>1987</v>
      </c>
      <c r="U5" s="1267" t="s">
        <v>1988</v>
      </c>
      <c r="V5" s="1268" t="s">
        <v>1989</v>
      </c>
      <c r="W5" s="1268" t="s">
        <v>1990</v>
      </c>
      <c r="X5" s="71"/>
      <c r="Y5" s="70" t="s">
        <v>1991</v>
      </c>
      <c r="Z5" s="2297" t="s">
        <v>1988</v>
      </c>
      <c r="AA5" s="1268" t="s">
        <v>1989</v>
      </c>
      <c r="AB5" s="1268" t="s">
        <v>1990</v>
      </c>
      <c r="AC5" s="71"/>
      <c r="AD5" s="71" t="s">
        <v>1991</v>
      </c>
      <c r="AE5" s="1267" t="s">
        <v>1992</v>
      </c>
      <c r="AF5" s="1268" t="s">
        <v>1993</v>
      </c>
      <c r="AG5" s="70" t="s">
        <v>1994</v>
      </c>
      <c r="AH5" s="1267" t="s">
        <v>1995</v>
      </c>
      <c r="AI5" s="2297" t="s">
        <v>1996</v>
      </c>
      <c r="AJ5" s="2297" t="s">
        <v>1997</v>
      </c>
      <c r="AK5" s="1268" t="s">
        <v>1998</v>
      </c>
      <c r="AL5" s="1268" t="s">
        <v>1999</v>
      </c>
      <c r="AM5" s="70" t="s">
        <v>2000</v>
      </c>
      <c r="AN5" s="2298" t="s">
        <v>2001</v>
      </c>
      <c r="AO5" s="2068" t="s">
        <v>2002</v>
      </c>
      <c r="AP5" s="1249"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
      <c r="A6" s="2300" t="str">
        <f>'数据-汇总表'!C19</f>
        <v>酒店（别墅）</v>
      </c>
      <c r="B6" s="2301" t="str">
        <f>IF(A6=0,"","经营性")</f>
        <v>经营性</v>
      </c>
      <c r="C6" s="2302" t="s">
        <v>1373</v>
      </c>
      <c r="D6" s="1051">
        <f>SUMIF(项目基本情况!D$12:I$12,C6,项目基本情况!D$14:I$14)</f>
        <v>40</v>
      </c>
      <c r="E6" s="1048">
        <f>IF(B6="","",SUMIF(项目基本情况!D$12:I$12,C6,项目基本情况!D$13:I$13))</f>
        <v>53871</v>
      </c>
      <c r="F6" s="72">
        <f>SUMIF(项目基本情况!D$12:I$12,C6,项目基本情况!D$15:I$15)</f>
        <v>27.28</v>
      </c>
      <c r="G6" s="73">
        <f>IF(ISERROR(ROUND(POWER(1+H6,D6-F6)*(POWER(1+H6,F6)-1)/(POWER(1+H6,D6)-1),3)),0,ROUND(POWER(1+H6,D6-F6)*(POWER(1+H6,F6)-1)/(POWER(1+H6,D6)-1),3))</f>
        <v>0.85799999999999998</v>
      </c>
      <c r="H6" s="802">
        <v>0.05</v>
      </c>
      <c r="I6" s="802">
        <v>5.5E-2</v>
      </c>
      <c r="J6" s="74">
        <v>8.5000000000000006E-2</v>
      </c>
      <c r="K6" s="1251">
        <f>SUMIF('数据-汇总表'!C$19:C$33,A6,'数据-汇总表'!E$19:E$33)</f>
        <v>14717.259999999998</v>
      </c>
      <c r="L6" s="803">
        <v>8000</v>
      </c>
      <c r="M6" s="75">
        <f t="shared" ref="M6:M14" si="0">ROUND(K6*L6/10000,0)</f>
        <v>11774</v>
      </c>
      <c r="N6" s="801">
        <v>0.35</v>
      </c>
      <c r="O6" s="75">
        <f>IF($N$5="成新度","——",ROUND(M6*N6,0))</f>
        <v>4121</v>
      </c>
      <c r="P6" s="76">
        <f>IF($N$5="成新度","——",M6-O6)</f>
        <v>7653</v>
      </c>
      <c r="Q6" s="804">
        <v>0.3</v>
      </c>
      <c r="R6" s="77">
        <f ca="1">SUMIF('数据-汇总表'!C$19:C$33,A6,'数据-汇总表'!R$19:R$27)</f>
        <v>31818.660000000003</v>
      </c>
      <c r="S6" s="54">
        <f>IF('数据-汇总表'!$I$17="按面积比例",SUMIF('数据-汇总表'!C$19:C$33,A6,'数据-汇总表'!K$19:K$33),SUMIF('数据-汇总表'!C$19:C$33,A6,'数据-汇总表'!N$19:N$33))</f>
        <v>23775.4</v>
      </c>
      <c r="T6" s="1443">
        <f>ROUND($L$14*S6/10000,0)</f>
        <v>11888</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3"/>
      <c r="AO6" s="55" t="e">
        <f ca="1">SUMIF(INDIRECT("'"&amp;AN6&amp;"'"&amp;"!A:A"),"总价",INDIRECT("'"&amp;AN6&amp;"'"&amp;"!B:B"))</f>
        <v>#REF!</v>
      </c>
      <c r="AP6" s="2304">
        <f>IF(C6="住宅",K6*L6,0)</f>
        <v>0</v>
      </c>
      <c r="AQ6" s="55">
        <f>ROUND($L$14*$N$14*S6/10000,0)</f>
        <v>2378</v>
      </c>
      <c r="AR6" s="55">
        <f>ROUND($L$14*(1-$N$14)*S6/10000,0)</f>
        <v>9510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
      <c r="A7" s="2300" t="str">
        <f>'数据-汇总表'!C20</f>
        <v>酒店（公寓）</v>
      </c>
      <c r="B7" s="2301" t="str">
        <f t="shared" ref="B7:B13" si="1">IF(A7=0,"","经营性")</f>
        <v>经营性</v>
      </c>
      <c r="C7" s="2302" t="s">
        <v>1373</v>
      </c>
      <c r="D7" s="1051">
        <f>SUMIF(项目基本情况!D$12:I$12,C7,项目基本情况!D$14:I$14)</f>
        <v>40</v>
      </c>
      <c r="E7" s="1048">
        <f>IF(B7="","",SUMIF(项目基本情况!D$12:I$12,C7,项目基本情况!D$13:I$13))</f>
        <v>53871</v>
      </c>
      <c r="F7" s="72">
        <f>SUMIF(项目基本情况!D$12:I$12,C7,项目基本情况!D$15:I$15)</f>
        <v>27.28</v>
      </c>
      <c r="G7" s="73">
        <f t="shared" ref="G7:G11" si="2">IF(ISERROR(ROUND(POWER(1+H7,D7-F7)*(POWER(1+H7,F7)-1)/(POWER(1+H7,D7)-1),3)),0,ROUND(POWER(1+H7,D7-F7)*(POWER(1+H7,F7)-1)/(POWER(1+H7,D7)-1),3))</f>
        <v>0.85799999999999998</v>
      </c>
      <c r="H7" s="802">
        <f>H6</f>
        <v>0.05</v>
      </c>
      <c r="I7" s="802">
        <f>I6</f>
        <v>5.5E-2</v>
      </c>
      <c r="J7" s="74">
        <f>J6</f>
        <v>8.5000000000000006E-2</v>
      </c>
      <c r="K7" s="1251">
        <f>SUMIF('数据-汇总表'!C$19:C$33,A7,'数据-汇总表'!E$19:E$33)</f>
        <v>26144.92</v>
      </c>
      <c r="L7" s="803">
        <v>10000</v>
      </c>
      <c r="M7" s="75">
        <f t="shared" si="0"/>
        <v>26145</v>
      </c>
      <c r="N7" s="801">
        <v>0</v>
      </c>
      <c r="O7" s="75">
        <f t="shared" ref="O7:O14" si="3">IF($N$5="成新度","——",ROUND(M7*N7,0))</f>
        <v>0</v>
      </c>
      <c r="P7" s="76">
        <f t="shared" ref="P7:P14" si="4">IF($N$5="成新度","——",M7-O7)</f>
        <v>26145</v>
      </c>
      <c r="Q7" s="804">
        <v>0.3</v>
      </c>
      <c r="R7" s="77">
        <f ca="1">SUMIF('数据-汇总表'!C$19:C$33,A7,'数据-汇总表'!R$19:R$27)</f>
        <v>56525.21</v>
      </c>
      <c r="S7" s="54">
        <f>IF('数据-汇总表'!$I$17="按面积比例",SUMIF('数据-汇总表'!C$19:C$33,A7,'数据-汇总表'!K$19:K$33),SUMIF('数据-汇总表'!C$19:C$33,A7,'数据-汇总表'!N$19:N$33))</f>
        <v>42236.52</v>
      </c>
      <c r="T7" s="1443">
        <f t="shared" ref="T7:T13" si="5">ROUND($L$14*S7/10000,0)</f>
        <v>21118</v>
      </c>
      <c r="U7" s="78">
        <v>18</v>
      </c>
      <c r="V7" s="79">
        <v>0.03</v>
      </c>
      <c r="W7" s="79">
        <v>0.1</v>
      </c>
      <c r="X7" s="1261"/>
      <c r="Y7" s="80">
        <v>1</v>
      </c>
      <c r="Z7" s="81"/>
      <c r="AA7" s="74"/>
      <c r="AB7" s="74"/>
      <c r="AC7" s="1261"/>
      <c r="AD7" s="82"/>
      <c r="AE7" s="1262">
        <f t="shared" ref="AE7:AE13" ca="1" si="6">IF(AN7="",0,SUMIF(INDIRECT("'"&amp;AN7&amp;"'"&amp;"!E:E"),$AE$5,INDIRECT("'"&amp;AN7&amp;"'"&amp;"!F:F")))</f>
        <v>24.733000000000001</v>
      </c>
      <c r="AF7" s="1803"/>
      <c r="AG7" s="147">
        <f t="shared" ref="AG7:AG13" si="7">IF(AF7="",0,AE7-AF7)</f>
        <v>0</v>
      </c>
      <c r="AH7" s="83"/>
      <c r="AI7" s="85">
        <v>365</v>
      </c>
      <c r="AJ7" s="86"/>
      <c r="AK7" s="87">
        <v>1.4999999999999999E-2</v>
      </c>
      <c r="AL7" s="88">
        <v>1.5E-3</v>
      </c>
      <c r="AM7" s="89">
        <v>1.4999999999999999E-2</v>
      </c>
      <c r="AN7" s="2303" t="s">
        <v>3283</v>
      </c>
      <c r="AO7" s="55">
        <f t="shared" ref="AO7:AO13" ca="1" si="8">SUMIF(INDIRECT("'"&amp;AN7&amp;"'"&amp;"!A:A"),"总价",INDIRECT("'"&amp;AN7&amp;"'"&amp;"!B:B"))</f>
        <v>201121</v>
      </c>
      <c r="AP7" s="2304">
        <f t="shared" ref="AP7:AP13" si="9">IF(C7="住宅",K7*L7,0)</f>
        <v>0</v>
      </c>
      <c r="AQ7" s="55">
        <f t="shared" ref="AQ7:AQ13" si="10">ROUND($L$14*$N$14*S7/10000,0)</f>
        <v>4224</v>
      </c>
      <c r="AR7" s="55">
        <f t="shared" ref="AR7:AR13" si="11">ROUND($L$14*(1-$N$14)*S7/10000,0)</f>
        <v>16895</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
      <c r="A14" s="2305" t="s">
        <v>2006</v>
      </c>
      <c r="B14" s="2301" t="s">
        <v>2007</v>
      </c>
      <c r="C14" s="2306" t="s">
        <v>2006</v>
      </c>
      <c r="D14" s="1051"/>
      <c r="E14" s="1048"/>
      <c r="F14" s="72"/>
      <c r="G14" s="73"/>
      <c r="H14" s="1250"/>
      <c r="I14" s="1250"/>
      <c r="J14" s="1250"/>
      <c r="K14" s="1251">
        <f>SUMIF('数据-汇总表'!C$19:C$33,A14,'数据-汇总表'!E$19:E$33)</f>
        <v>66011.92</v>
      </c>
      <c r="L14" s="91">
        <v>5000</v>
      </c>
      <c r="M14" s="75">
        <f t="shared" si="0"/>
        <v>33006</v>
      </c>
      <c r="N14" s="92">
        <v>0.2</v>
      </c>
      <c r="O14" s="75">
        <f t="shared" si="3"/>
        <v>6601</v>
      </c>
      <c r="P14" s="76">
        <f t="shared" si="4"/>
        <v>26405</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
      <c r="A15" s="2305" t="s">
        <v>2008</v>
      </c>
      <c r="B15" s="2301" t="s">
        <v>2007</v>
      </c>
      <c r="C15" s="2306"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4.5" thickBot="1">
      <c r="A16" s="2307" t="s">
        <v>2010</v>
      </c>
      <c r="B16" s="97"/>
      <c r="C16" s="1005"/>
      <c r="D16" s="2308"/>
      <c r="E16" s="97"/>
      <c r="F16" s="97"/>
      <c r="G16" s="98">
        <f>ROUND(SUMPRODUCT(G6:G13,K6:K13)/SUMPRODUCT((G6:G13&gt;0)*(K6:K13)),3)</f>
        <v>0.85799999999999998</v>
      </c>
      <c r="H16" s="99">
        <f>ROUND(SUMPRODUCT(H6:H13,K6:K13)/SUMPRODUCT((H6:H13&gt;0)*(K6:K13)),3)</f>
        <v>0.05</v>
      </c>
      <c r="I16" s="100"/>
      <c r="J16" s="100"/>
      <c r="K16" s="101">
        <f>SUM(K6:K15)</f>
        <v>106874.09999999999</v>
      </c>
      <c r="L16" s="102">
        <f>ROUND(M16*10000/SUM(K6:K14),0)</f>
        <v>6636</v>
      </c>
      <c r="M16" s="102">
        <f>SUM(M6:M14)</f>
        <v>70925</v>
      </c>
      <c r="N16" s="103">
        <f>ROUND(SUMPRODUCT(M6:M14,N6:N14)/M16,3)</f>
        <v>0.151</v>
      </c>
      <c r="O16" s="102">
        <f>SUM(O6:O14)</f>
        <v>10722</v>
      </c>
      <c r="P16" s="102">
        <f>SUM(P6:P14)</f>
        <v>60203</v>
      </c>
      <c r="Q16" s="104">
        <f>ROUND(SUMPRODUCT(Q6:Q13,K6:K13)/SUMPRODUCT((Q6:Q13&gt;0)*(K6:K13)),2)</f>
        <v>0.3</v>
      </c>
      <c r="R16" s="1255">
        <f ca="1">SUM(R6:R13)</f>
        <v>88343.87</v>
      </c>
      <c r="S16" s="105">
        <f>SUM(S6:S13)</f>
        <v>66011.92</v>
      </c>
      <c r="T16" s="106">
        <f>IF(SUMIF(T6:T13,"&lt;9E307")=M14,SUMIF(T6:T13,"&lt;9E307"),"有误，请检查")</f>
        <v>33006</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2011</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0" t="s">
        <v>2012</v>
      </c>
      <c r="B19" s="112">
        <v>0</v>
      </c>
      <c r="C19" s="2271" t="s">
        <v>2013</v>
      </c>
      <c r="D19" s="2272"/>
      <c r="E19" s="2271"/>
      <c r="F19" s="2271"/>
      <c r="G19" s="2271"/>
      <c r="H19" s="2271"/>
      <c r="I19" s="2271"/>
      <c r="J19" s="2271"/>
      <c r="K19" s="168"/>
      <c r="L19" s="3004" t="s">
        <v>3306</v>
      </c>
      <c r="M19" s="1581">
        <f>'数据-基础表'!I13+'数据-基础表'!K13</f>
        <v>8777.06</v>
      </c>
      <c r="N19" s="3005">
        <v>0.5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1" t="s">
        <v>2014</v>
      </c>
      <c r="B20" s="113">
        <v>3</v>
      </c>
      <c r="C20" s="2271" t="s">
        <v>2015</v>
      </c>
      <c r="D20" s="2272"/>
      <c r="E20" s="2271"/>
      <c r="F20" s="2271"/>
      <c r="G20" s="2271"/>
      <c r="H20" s="2271"/>
      <c r="I20" s="2271"/>
      <c r="J20" s="2271"/>
      <c r="K20" s="168"/>
      <c r="L20" s="3004" t="s">
        <v>3307</v>
      </c>
      <c r="M20" s="1581">
        <f>'数据-基础表'!I17</f>
        <v>5940.2</v>
      </c>
      <c r="N20" s="1581">
        <v>0</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2" t="s">
        <v>2016</v>
      </c>
      <c r="B21" s="113">
        <f>B20*N16</f>
        <v>0.45299999999999996</v>
      </c>
      <c r="C21" s="2271"/>
      <c r="D21" s="2272"/>
      <c r="E21" s="2271"/>
      <c r="F21" s="2271"/>
      <c r="G21" s="2271"/>
      <c r="H21" s="2271"/>
      <c r="I21" s="2271"/>
      <c r="J21" s="2271"/>
      <c r="K21" s="168"/>
      <c r="L21" s="168"/>
      <c r="M21" s="1581">
        <f>M19+M20</f>
        <v>14717.259999999998</v>
      </c>
      <c r="N21" s="1581">
        <f>ROUND((N19*M19+N20*M20)/M21,2)</f>
        <v>0.3</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1" t="s">
        <v>2017</v>
      </c>
      <c r="B22" s="114">
        <f>B19+B20</f>
        <v>3</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2" t="s">
        <v>2018</v>
      </c>
      <c r="B23" s="114">
        <f>B19+B21</f>
        <v>0.45299999999999996</v>
      </c>
      <c r="C23" s="2271"/>
      <c r="D23" s="2272"/>
      <c r="E23" s="2271"/>
      <c r="F23" s="2271"/>
      <c r="G23" s="2271"/>
      <c r="H23" s="2271"/>
      <c r="I23" s="2271"/>
      <c r="J23" s="2271"/>
      <c r="K23" s="168"/>
      <c r="L23" s="168">
        <f>'数据-基础表'!AN13</f>
        <v>25926</v>
      </c>
      <c r="M23" s="1581">
        <v>6000</v>
      </c>
      <c r="N23" s="1581">
        <f>M23*L23/10000</f>
        <v>15555.6</v>
      </c>
      <c r="O23" s="3005">
        <v>0.5</v>
      </c>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3" t="s">
        <v>2019</v>
      </c>
      <c r="B24" s="115">
        <f>B20-B21</f>
        <v>2.5470000000000002</v>
      </c>
      <c r="C24" s="2271"/>
      <c r="D24" s="2272"/>
      <c r="E24" s="2271"/>
      <c r="F24" s="2271"/>
      <c r="G24" s="2271"/>
      <c r="H24" s="2271"/>
      <c r="I24" s="2271"/>
      <c r="J24" s="2271"/>
      <c r="K24" s="168"/>
      <c r="L24" s="168">
        <f>'数据-基础表'!AN16</f>
        <v>27127.34</v>
      </c>
      <c r="M24" s="1581">
        <v>4000</v>
      </c>
      <c r="N24" s="1581">
        <f t="shared" ref="N24:N25" si="12">M24*L24/10000</f>
        <v>10850.936</v>
      </c>
      <c r="O24" s="1581">
        <v>0</v>
      </c>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7"/>
      <c r="B25" s="2274"/>
      <c r="C25" s="2271"/>
      <c r="D25" s="2272"/>
      <c r="E25" s="2271"/>
      <c r="F25" s="2271"/>
      <c r="G25" s="2271"/>
      <c r="H25" s="2271"/>
      <c r="I25" s="2271"/>
      <c r="J25" s="2271"/>
      <c r="K25" s="168"/>
      <c r="L25" s="168">
        <f>'数据-基础表'!AN17</f>
        <v>5741.18</v>
      </c>
      <c r="M25" s="1581">
        <v>6000</v>
      </c>
      <c r="N25" s="1581">
        <f t="shared" si="12"/>
        <v>3444.7080000000001</v>
      </c>
      <c r="O25" s="1581">
        <v>0</v>
      </c>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0" t="s">
        <v>2020</v>
      </c>
      <c r="B26" s="2314" t="s">
        <v>2021</v>
      </c>
      <c r="C26" s="2315" t="s">
        <v>2022</v>
      </c>
      <c r="D26" s="2272"/>
      <c r="E26" s="2271"/>
      <c r="F26" s="2271"/>
      <c r="G26" s="2271"/>
      <c r="H26" s="2271"/>
      <c r="I26" s="2271"/>
      <c r="J26" s="2271"/>
      <c r="K26" s="168"/>
      <c r="L26" s="168">
        <f>L23+L24+L25</f>
        <v>58794.52</v>
      </c>
      <c r="M26" s="1581">
        <f>N26/L26*10000</f>
        <v>5077.2153595267046</v>
      </c>
      <c r="N26" s="1581">
        <f>N23+N24+N25</f>
        <v>29851.243999999999</v>
      </c>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8.5">
      <c r="A27" s="2316" t="s">
        <v>2023</v>
      </c>
      <c r="B27" s="116">
        <v>220</v>
      </c>
      <c r="C27" s="1763" t="s">
        <v>2024</v>
      </c>
      <c r="D27" s="2317"/>
      <c r="E27" s="1427"/>
      <c r="F27" s="1427"/>
      <c r="G27" s="2271"/>
      <c r="H27" s="2271"/>
      <c r="I27" s="2271"/>
      <c r="J27" s="2271"/>
      <c r="K27" s="168"/>
      <c r="L27" s="168">
        <f>'数据-基础表'!AL16</f>
        <v>7217.4</v>
      </c>
      <c r="M27" s="1581"/>
      <c r="N27" s="1581"/>
      <c r="O27" s="1581">
        <v>0</v>
      </c>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8.5">
      <c r="A28" s="2319" t="s">
        <v>2025</v>
      </c>
      <c r="B28" s="119">
        <v>220</v>
      </c>
      <c r="C28" s="2320"/>
      <c r="D28" s="2317"/>
      <c r="E28" s="1427"/>
      <c r="F28" s="1427"/>
      <c r="G28" s="2271"/>
      <c r="H28" s="2271"/>
      <c r="I28" s="2271"/>
      <c r="J28" s="2271"/>
      <c r="K28" s="168"/>
      <c r="L28" s="168">
        <f>L27+L26</f>
        <v>66011.92</v>
      </c>
      <c r="M28" s="1581"/>
      <c r="N28" s="1581"/>
      <c r="O28" s="1581">
        <f>O23*L23/L28</f>
        <v>0.19637362464233732</v>
      </c>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9" thickBot="1">
      <c r="A29" s="2321" t="s">
        <v>2026</v>
      </c>
      <c r="B29" s="121">
        <f>成本法!C10</f>
        <v>2162</v>
      </c>
      <c r="C29" s="1763" t="s">
        <v>2027</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8">
      <c r="A30" s="2322" t="s">
        <v>2028</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8">
      <c r="A31" s="2319" t="s">
        <v>2029</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8.5" thickBot="1">
      <c r="A32" s="2323" t="s">
        <v>2030</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
      <c r="A33" s="2316" t="s">
        <v>2031</v>
      </c>
      <c r="B33" s="726">
        <v>0.05</v>
      </c>
      <c r="C33" s="1762" t="s">
        <v>2032</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
      <c r="A34" s="2319" t="s">
        <v>2033</v>
      </c>
      <c r="B34" s="122">
        <v>0</v>
      </c>
      <c r="C34" s="1762" t="s">
        <v>2034</v>
      </c>
      <c r="D34" s="2272" t="s">
        <v>2035</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
      <c r="A35" s="2319" t="s">
        <v>2036</v>
      </c>
      <c r="B35" s="119">
        <v>200</v>
      </c>
      <c r="C35" s="1762" t="s">
        <v>2037</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1" t="s">
        <v>2038</v>
      </c>
      <c r="B36" s="123">
        <v>1.4999999999999999E-2</v>
      </c>
      <c r="C36" s="1762" t="s">
        <v>2039</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2" t="s">
        <v>2040</v>
      </c>
      <c r="B37" s="124">
        <v>0.03</v>
      </c>
      <c r="C37" s="1762" t="s">
        <v>2041</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19" t="s">
        <v>2042</v>
      </c>
      <c r="B38" s="122">
        <v>0.03</v>
      </c>
      <c r="C38" s="1762" t="s">
        <v>2041</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3" t="s">
        <v>2043</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3" t="s">
        <v>2044</v>
      </c>
      <c r="B40" s="1300">
        <f ca="1">存贷款利率!G1</f>
        <v>4.7500000000000001E-2</v>
      </c>
      <c r="C40" s="1762" t="s">
        <v>2045</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16" t="s">
        <v>2046</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24" t="s">
        <v>2047</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24" t="s">
        <v>2048</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26" t="s">
        <v>2049</v>
      </c>
      <c r="B44" s="128">
        <v>7.0000000000000007E-2</v>
      </c>
      <c r="C44" s="1762" t="s">
        <v>2050</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26" t="s">
        <v>2051</v>
      </c>
      <c r="B45" s="126">
        <v>0.03</v>
      </c>
      <c r="C45" s="1763" t="s">
        <v>2052</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26" t="s">
        <v>2053</v>
      </c>
      <c r="B46" s="126">
        <v>0.02</v>
      </c>
      <c r="C46" s="1763" t="s">
        <v>2054</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27" t="s">
        <v>2055</v>
      </c>
      <c r="B47" s="129">
        <v>0</v>
      </c>
      <c r="C47" s="1763" t="s">
        <v>2056</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28" t="s">
        <v>2057</v>
      </c>
      <c r="B48" s="130">
        <v>0.03</v>
      </c>
      <c r="C48" s="1770" t="s">
        <v>2058</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3" t="s">
        <v>2059</v>
      </c>
      <c r="B49" s="126">
        <v>5.0000000000000001E-4</v>
      </c>
      <c r="C49" s="1770" t="s">
        <v>2060</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29" t="s">
        <v>2061</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2062</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29" t="s">
        <v>2063</v>
      </c>
      <c r="B52" s="133">
        <f>SUMIF(A54:A63,B53,B54:B63)</f>
        <v>15</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19" t="s">
        <v>2064</v>
      </c>
      <c r="B53" s="2330" t="s">
        <v>269</v>
      </c>
      <c r="C53" s="1427" t="s">
        <v>2065</v>
      </c>
      <c r="D53" s="2331" t="s">
        <v>2066</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2" t="s">
        <v>2067</v>
      </c>
      <c r="B54" s="84">
        <v>18</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2" t="s">
        <v>2068</v>
      </c>
      <c r="B55" s="84">
        <v>15</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2" t="s">
        <v>2069</v>
      </c>
      <c r="B56" s="84">
        <v>12</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2" t="s">
        <v>2070</v>
      </c>
      <c r="B57" s="84">
        <v>9</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2" t="s">
        <v>2071</v>
      </c>
      <c r="B58" s="84">
        <v>6</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2" t="s">
        <v>2072</v>
      </c>
      <c r="B59" s="84">
        <v>2</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2" t="s">
        <v>2073</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2" t="s">
        <v>2074</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2" t="s">
        <v>2075</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34" t="s">
        <v>2076</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3" customWidth="1"/>
    <col min="2" max="2" width="24.453125" style="2411" customWidth="1"/>
    <col min="3" max="3" width="24.453125" style="2410" customWidth="1"/>
    <col min="4" max="4" width="2.6328125" style="2410" customWidth="1"/>
    <col min="5" max="5" width="5.90625" style="2410" customWidth="1"/>
    <col min="6" max="6" width="27" style="2411" customWidth="1"/>
    <col min="7" max="7" width="27" style="2412" customWidth="1"/>
    <col min="8" max="8" width="11.90625" style="2390" customWidth="1"/>
    <col min="9" max="9" width="16.7265625" style="2391" customWidth="1"/>
    <col min="10" max="10" width="2.6328125" style="2390" customWidth="1"/>
    <col min="11" max="11" width="11.90625" style="2390" customWidth="1"/>
    <col min="12" max="12" width="16.7265625" style="2391" customWidth="1"/>
    <col min="13" max="13" width="2.6328125" style="2390" customWidth="1"/>
    <col min="14" max="14" width="11.90625" style="2390" customWidth="1"/>
    <col min="15" max="15" width="16.7265625" style="2391" customWidth="1"/>
    <col min="16" max="16" width="2.6328125" style="2390" customWidth="1"/>
    <col min="17" max="17" width="11.90625" style="2390" customWidth="1"/>
    <col min="18" max="18" width="16.7265625" style="2392" customWidth="1"/>
    <col min="19" max="29" width="9" style="2362"/>
    <col min="30" max="16384" width="9" style="2363"/>
  </cols>
  <sheetData>
    <row r="1" spans="1:29" s="2356" customFormat="1" ht="18.5" thickBot="1">
      <c r="A1" s="3217" t="s">
        <v>2077</v>
      </c>
      <c r="B1" s="3218"/>
      <c r="C1" s="3218"/>
      <c r="D1" s="3218"/>
      <c r="E1" s="3218"/>
      <c r="F1" s="3218"/>
      <c r="G1" s="321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4.5" thickBot="1">
      <c r="A2" s="2357"/>
      <c r="B2" s="2358"/>
      <c r="C2" s="2359" t="s">
        <v>2078</v>
      </c>
      <c r="D2" s="2360"/>
      <c r="E2" s="2361"/>
      <c r="F2" s="2280"/>
      <c r="G2" s="2359" t="s">
        <v>2079</v>
      </c>
      <c r="H2" s="2362"/>
      <c r="I2" s="2362"/>
      <c r="J2" s="2362"/>
      <c r="K2" s="2362"/>
      <c r="L2" s="2362"/>
      <c r="M2" s="2362"/>
      <c r="N2" s="2362"/>
      <c r="O2" s="2362"/>
      <c r="P2" s="2362"/>
      <c r="Q2" s="2362"/>
      <c r="R2" s="2362"/>
    </row>
    <row r="3" spans="1:29" ht="56">
      <c r="A3" s="415" t="s">
        <v>2080</v>
      </c>
      <c r="B3" s="1268" t="s">
        <v>2081</v>
      </c>
      <c r="C3" s="2364" t="s">
        <v>2082</v>
      </c>
      <c r="D3" s="2365"/>
      <c r="E3" s="431" t="s">
        <v>2080</v>
      </c>
      <c r="F3" s="2366" t="s">
        <v>2083</v>
      </c>
      <c r="G3" s="2367" t="s">
        <v>2084</v>
      </c>
      <c r="H3" s="2362"/>
      <c r="I3" s="2362"/>
      <c r="J3" s="2362"/>
      <c r="K3" s="2362"/>
      <c r="L3" s="2362"/>
      <c r="M3" s="2362"/>
      <c r="N3" s="2362"/>
      <c r="O3" s="2362"/>
      <c r="P3" s="2362"/>
      <c r="Q3" s="2362"/>
      <c r="R3" s="2362"/>
    </row>
    <row r="4" spans="1:29" ht="42.5">
      <c r="A4" s="431"/>
      <c r="B4" s="1794" t="s">
        <v>2085</v>
      </c>
      <c r="C4" s="2368" t="s">
        <v>2086</v>
      </c>
      <c r="D4" s="2365"/>
      <c r="E4" s="2369"/>
      <c r="F4" s="42" t="s">
        <v>2087</v>
      </c>
      <c r="G4" s="2370" t="s">
        <v>2088</v>
      </c>
      <c r="H4" s="2362"/>
      <c r="I4" s="2362"/>
      <c r="J4" s="2362"/>
      <c r="K4" s="2362"/>
      <c r="L4" s="2362"/>
      <c r="M4" s="2362"/>
      <c r="N4" s="2362"/>
      <c r="O4" s="2362"/>
      <c r="P4" s="2362"/>
      <c r="Q4" s="2362"/>
      <c r="R4" s="2362"/>
    </row>
    <row r="5" spans="1:29" ht="42.5">
      <c r="A5" s="431"/>
      <c r="B5" s="1794" t="s">
        <v>2089</v>
      </c>
      <c r="C5" s="2368" t="s">
        <v>2090</v>
      </c>
      <c r="D5" s="2365"/>
      <c r="E5" s="2369"/>
      <c r="F5" s="1794" t="s">
        <v>2091</v>
      </c>
      <c r="G5" s="2370" t="s">
        <v>2092</v>
      </c>
      <c r="H5" s="2362"/>
      <c r="I5" s="2362"/>
      <c r="J5" s="2362"/>
      <c r="K5" s="2362"/>
      <c r="L5" s="2362"/>
      <c r="M5" s="2362"/>
      <c r="N5" s="2362"/>
      <c r="O5" s="2362"/>
      <c r="P5" s="2362"/>
      <c r="Q5" s="2362"/>
      <c r="R5" s="2362"/>
    </row>
    <row r="6" spans="1:29" ht="56">
      <c r="A6" s="431"/>
      <c r="B6" s="1794" t="s">
        <v>2093</v>
      </c>
      <c r="C6" s="2370" t="s">
        <v>2088</v>
      </c>
      <c r="D6" s="2365"/>
      <c r="E6" s="2369"/>
      <c r="F6" s="1794" t="s">
        <v>2094</v>
      </c>
      <c r="G6" s="2370" t="s">
        <v>2095</v>
      </c>
      <c r="H6" s="2362"/>
      <c r="I6" s="2362"/>
      <c r="J6" s="2362"/>
      <c r="K6" s="2362"/>
      <c r="L6" s="2362"/>
      <c r="M6" s="2362"/>
      <c r="N6" s="2362"/>
      <c r="O6" s="2362"/>
      <c r="P6" s="2362"/>
      <c r="Q6" s="2362"/>
      <c r="R6" s="2362"/>
    </row>
    <row r="7" spans="1:29" ht="42.5" thickBot="1">
      <c r="A7" s="431"/>
      <c r="B7" s="1794" t="s">
        <v>2091</v>
      </c>
      <c r="C7" s="2370" t="s">
        <v>2092</v>
      </c>
      <c r="D7" s="2371"/>
      <c r="E7" s="2372"/>
      <c r="F7" s="2373" t="s">
        <v>2096</v>
      </c>
      <c r="G7" s="2374" t="s">
        <v>2097</v>
      </c>
      <c r="H7" s="2362"/>
      <c r="I7" s="2362"/>
      <c r="J7" s="2362"/>
      <c r="K7" s="2362"/>
      <c r="L7" s="2362"/>
      <c r="M7" s="2362"/>
      <c r="N7" s="2362"/>
      <c r="O7" s="2362"/>
      <c r="P7" s="2362"/>
      <c r="Q7" s="2362"/>
      <c r="R7" s="2362"/>
    </row>
    <row r="8" spans="1:29" ht="28">
      <c r="A8" s="431"/>
      <c r="B8" s="1794" t="s">
        <v>2094</v>
      </c>
      <c r="C8" s="2370" t="s">
        <v>2095</v>
      </c>
      <c r="D8" s="2371"/>
      <c r="E8" s="2371"/>
      <c r="F8" s="1133"/>
      <c r="G8" s="1133"/>
      <c r="H8" s="2362"/>
      <c r="I8" s="2362"/>
      <c r="J8" s="2362"/>
      <c r="K8" s="2362"/>
      <c r="L8" s="2362"/>
      <c r="M8" s="2362"/>
      <c r="N8" s="2362"/>
      <c r="O8" s="2362"/>
      <c r="P8" s="2362"/>
      <c r="Q8" s="2362"/>
      <c r="R8" s="2362"/>
    </row>
    <row r="9" spans="1:29" ht="42">
      <c r="A9" s="431"/>
      <c r="B9" s="1794" t="s">
        <v>2098</v>
      </c>
      <c r="C9" s="2368" t="s">
        <v>2099</v>
      </c>
      <c r="D9" s="2365"/>
      <c r="E9" s="2371"/>
      <c r="F9" s="1133"/>
      <c r="G9" s="1133"/>
      <c r="H9" s="2362"/>
      <c r="I9" s="2362"/>
      <c r="J9" s="2362"/>
      <c r="K9" s="2362"/>
      <c r="L9" s="2362"/>
      <c r="M9" s="2362"/>
      <c r="N9" s="2362"/>
      <c r="O9" s="2362"/>
      <c r="P9" s="2362"/>
      <c r="Q9" s="2362"/>
      <c r="R9" s="2362"/>
    </row>
    <row r="10" spans="1:29" s="117" customFormat="1" ht="14.5" thickBot="1">
      <c r="A10" s="2375"/>
      <c r="B10" s="2376" t="s">
        <v>2100</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5" thickBot="1">
      <c r="A13" s="2388" t="s">
        <v>2101</v>
      </c>
      <c r="B13" s="2382"/>
      <c r="C13" s="2382"/>
      <c r="D13" s="2389"/>
      <c r="E13" s="2382"/>
      <c r="F13" s="2382"/>
      <c r="G13" s="2382"/>
    </row>
    <row r="14" spans="1:29" ht="14.5" thickBot="1">
      <c r="A14" s="2393"/>
      <c r="B14" s="2394"/>
      <c r="C14" s="2395" t="s">
        <v>2102</v>
      </c>
      <c r="D14" s="2365"/>
      <c r="E14" s="2396"/>
      <c r="F14" s="2396"/>
      <c r="G14" s="2359" t="s">
        <v>2103</v>
      </c>
    </row>
    <row r="15" spans="1:29" ht="56">
      <c r="A15" s="68" t="s">
        <v>2104</v>
      </c>
      <c r="B15" s="1267" t="s">
        <v>2081</v>
      </c>
      <c r="C15" s="2397" t="str">
        <f>C3</f>
        <v>估价对象周边居住用地比例、居住小区规模和社区发展完善程度，综合评价居住社区成熟度一般</v>
      </c>
      <c r="D15" s="2365"/>
      <c r="E15" s="2398" t="s">
        <v>2105</v>
      </c>
      <c r="F15" s="1267" t="s">
        <v>2106</v>
      </c>
      <c r="G15" s="135" t="str">
        <f>G3</f>
        <v>估价对象位于XX开发区，园区建设成熟度XX，产业集聚程度XX</v>
      </c>
    </row>
    <row r="16" spans="1:29" ht="42">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
      <c r="A17" s="645"/>
      <c r="B17" s="2399" t="s">
        <v>2089</v>
      </c>
      <c r="C17" s="2400" t="str">
        <f>C5</f>
        <v>估价对象位于XX商圈，周边办公楼项目较多，入驻率高，办公集聚程度较好</v>
      </c>
      <c r="D17" s="2371"/>
      <c r="E17" s="2401"/>
      <c r="F17" s="2402" t="s">
        <v>2107</v>
      </c>
      <c r="G17" s="1569"/>
    </row>
    <row r="18" spans="1:18" ht="56">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
      <c r="A19" s="645"/>
      <c r="B19" s="2402" t="s">
        <v>2108</v>
      </c>
      <c r="C19" s="1569"/>
      <c r="D19" s="2365"/>
      <c r="E19" s="2401"/>
      <c r="F19" s="1794" t="s">
        <v>2091</v>
      </c>
      <c r="G19" s="136" t="str">
        <f>G5</f>
        <v>估价对象所在区域公共配套设施齐备情况</v>
      </c>
    </row>
    <row r="20" spans="1:18" ht="42">
      <c r="A20" s="645"/>
      <c r="B20" s="2402" t="s">
        <v>2109</v>
      </c>
      <c r="C20" s="2400" t="str">
        <f>C9</f>
        <v>区域自然环境：；人文环境；综合评价环境状况一般</v>
      </c>
      <c r="D20" s="2371"/>
      <c r="E20" s="2401"/>
      <c r="F20" s="1794" t="s">
        <v>2110</v>
      </c>
      <c r="G20" s="136" t="str">
        <f>G6</f>
        <v>估价对象所在区域基础设施水平</v>
      </c>
    </row>
    <row r="21" spans="1:18" ht="28">
      <c r="A21" s="645"/>
      <c r="B21" s="1794" t="s">
        <v>2091</v>
      </c>
      <c r="C21" s="136" t="str">
        <f>C7</f>
        <v>估价对象所在区域公共配套设施齐备情况</v>
      </c>
      <c r="D21" s="2365"/>
      <c r="E21" s="2401"/>
      <c r="F21" s="2402" t="s">
        <v>2111</v>
      </c>
      <c r="G21" s="2403"/>
    </row>
    <row r="22" spans="1:18" ht="13.5" customHeight="1">
      <c r="A22" s="645"/>
      <c r="B22" s="1794" t="s">
        <v>2094</v>
      </c>
      <c r="C22" s="136" t="str">
        <f>C8</f>
        <v>估价对象所在区域基础设施水平</v>
      </c>
      <c r="D22" s="2365"/>
      <c r="E22" s="2401"/>
      <c r="F22" s="2402" t="s">
        <v>2100</v>
      </c>
      <c r="G22" s="1569"/>
    </row>
    <row r="23" spans="1:18" s="2362" customFormat="1" ht="14.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4.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3068" t="str">
        <f>项目基本情况!B1</f>
        <v>海南省三亚市海棠湾镇海棠湾旅游区出让国有建设用地使用权及在建建筑物房地产抵押价值预评估</v>
      </c>
      <c r="C37" s="3068"/>
      <c r="D37" s="3068"/>
      <c r="E37" s="3068"/>
      <c r="F37" s="3068"/>
      <c r="G37" s="3068"/>
      <c r="H37" s="3068"/>
      <c r="I37" s="3068"/>
    </row>
    <row r="38" spans="1:9">
      <c r="A38" s="1016"/>
      <c r="B38" s="1016"/>
    </row>
    <row r="39" spans="1:9">
      <c r="A39" s="1014" t="s">
        <v>818</v>
      </c>
      <c r="B39" s="1014" t="s">
        <v>820</v>
      </c>
    </row>
    <row r="40" spans="1:9">
      <c r="A40" s="1014"/>
      <c r="B40" s="1940" t="str">
        <f>项目基本情况!B5</f>
        <v>三亚市巨源旅业开发有限公司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3.5">
      <c r="B46" s="1940" t="str">
        <f ca="1">项目基本情况!K4</f>
        <v>吴薇（注册号：0)、崔锴（注册号：1120100036)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tabSelected="1" workbookViewId="0">
      <selection activeCell="D5" sqref="D5"/>
    </sheetView>
  </sheetViews>
  <sheetFormatPr defaultColWidth="9" defaultRowHeight="14"/>
  <cols>
    <col min="1" max="1" width="23.36328125" style="1738" customWidth="1"/>
    <col min="2" max="9" width="15.7265625" style="1738" customWidth="1"/>
    <col min="10" max="16384" width="9" style="1738"/>
  </cols>
  <sheetData>
    <row r="1" spans="1:10" ht="16.5">
      <c r="A1" s="1742" t="s">
        <v>1361</v>
      </c>
      <c r="B1" s="1742">
        <f>SUM(B14:B23)</f>
        <v>80948.100000000006</v>
      </c>
      <c r="C1" s="1741"/>
      <c r="D1" s="1741"/>
      <c r="E1" s="1741"/>
      <c r="F1" s="1741"/>
      <c r="G1" s="1739"/>
    </row>
    <row r="2" spans="1:10" ht="16.5">
      <c r="A2" s="1742" t="s">
        <v>1349</v>
      </c>
      <c r="B2" s="1742">
        <f>SUM(C14:C23)</f>
        <v>88343.87</v>
      </c>
      <c r="C2" s="1741"/>
      <c r="D2" s="1741"/>
      <c r="E2" s="1741"/>
      <c r="F2" s="1741"/>
      <c r="G2" s="1739"/>
    </row>
    <row r="3" spans="1:10" ht="16.5">
      <c r="A3" s="1742" t="s">
        <v>1358</v>
      </c>
      <c r="B3" s="1743">
        <f>项目基本情况!D3</f>
        <v>43913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181650</v>
      </c>
      <c r="C5" s="1742">
        <f ca="1">ROUND(B5*10000/$B$1,0)</f>
        <v>22440</v>
      </c>
      <c r="D5" s="1742">
        <f ca="1">ROUND(B5*10000/$B$2,0)</f>
        <v>20562</v>
      </c>
      <c r="E5" s="1741"/>
      <c r="F5" s="1739"/>
      <c r="G5" s="1739"/>
    </row>
    <row r="6" spans="1:10" ht="16.5">
      <c r="A6" s="1742" t="s">
        <v>1352</v>
      </c>
      <c r="B6" s="1742">
        <f ca="1">SUM(G14:G23)</f>
        <v>181650</v>
      </c>
      <c r="C6" s="1742">
        <f ca="1">ROUND(B6*10000/$B$1,0)</f>
        <v>22440</v>
      </c>
      <c r="D6" s="1742">
        <f ca="1">ROUND(B6*10000/$B$2,0)</f>
        <v>20562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3025" t="s">
        <v>1346</v>
      </c>
      <c r="B14" s="3026">
        <f>三期未售!I20</f>
        <v>80948.100000000006</v>
      </c>
      <c r="C14" s="3026">
        <f>结果表!C118</f>
        <v>88343.87</v>
      </c>
      <c r="D14" s="3026">
        <f ca="1">结果表!H118</f>
        <v>181650</v>
      </c>
      <c r="E14" s="3026">
        <f ca="1">ROUND(D14*10000/B14,0)</f>
        <v>22440</v>
      </c>
      <c r="F14" s="3026">
        <f ca="1">ROUND(D14*10000/C14,0)</f>
        <v>20562</v>
      </c>
      <c r="G14" s="3026">
        <f ca="1">结果表!D122</f>
        <v>181650</v>
      </c>
      <c r="H14" s="3026" t="str">
        <f>结果表!D124</f>
        <v>——</v>
      </c>
      <c r="I14" s="3026" t="str">
        <f>结果表!D126</f>
        <v>——</v>
      </c>
      <c r="J14" s="1739"/>
    </row>
    <row r="15" spans="1:10" ht="16.5">
      <c r="A15" s="3025" t="s">
        <v>1345</v>
      </c>
      <c r="B15" s="1745"/>
      <c r="C15" s="1745"/>
      <c r="D15" s="1745"/>
      <c r="E15" s="3026" t="e">
        <f t="shared" ref="E15:E23" si="0">ROUND(D15*10000/B15,0)</f>
        <v>#DIV/0!</v>
      </c>
      <c r="F15" s="3026" t="e">
        <f t="shared" ref="F15:F23" si="1">ROUND(D15*10000/C15,0)</f>
        <v>#DIV/0!</v>
      </c>
      <c r="G15" s="1746"/>
      <c r="H15" s="1746"/>
      <c r="I15" s="1745"/>
      <c r="J15" s="1739"/>
    </row>
    <row r="16" spans="1:10" ht="16.5">
      <c r="A16" s="3025" t="s">
        <v>1344</v>
      </c>
      <c r="B16" s="1745"/>
      <c r="C16" s="1745"/>
      <c r="D16" s="1745"/>
      <c r="E16" s="3026" t="e">
        <f t="shared" si="0"/>
        <v>#DIV/0!</v>
      </c>
      <c r="F16" s="3026" t="e">
        <f t="shared" si="1"/>
        <v>#DIV/0!</v>
      </c>
      <c r="G16" s="1746"/>
      <c r="H16" s="1746"/>
      <c r="I16" s="1745"/>
    </row>
    <row r="17" spans="1:9" ht="16.5">
      <c r="A17" s="3025" t="s">
        <v>1343</v>
      </c>
      <c r="B17" s="1745"/>
      <c r="C17" s="1745"/>
      <c r="D17" s="1745"/>
      <c r="E17" s="3026" t="e">
        <f t="shared" si="0"/>
        <v>#DIV/0!</v>
      </c>
      <c r="F17" s="3026" t="e">
        <f t="shared" si="1"/>
        <v>#DIV/0!</v>
      </c>
      <c r="G17" s="1746"/>
      <c r="H17" s="1746"/>
      <c r="I17" s="1745"/>
    </row>
    <row r="18" spans="1:9" ht="16.5">
      <c r="A18" s="3025" t="s">
        <v>1342</v>
      </c>
      <c r="B18" s="1745"/>
      <c r="C18" s="1745"/>
      <c r="D18" s="1745"/>
      <c r="E18" s="3026" t="e">
        <f t="shared" si="0"/>
        <v>#DIV/0!</v>
      </c>
      <c r="F18" s="3026" t="e">
        <f t="shared" si="1"/>
        <v>#DIV/0!</v>
      </c>
      <c r="G18" s="1745"/>
      <c r="H18" s="1745"/>
      <c r="I18" s="1745"/>
    </row>
    <row r="19" spans="1:9" ht="16.5">
      <c r="A19" s="3025" t="s">
        <v>1341</v>
      </c>
      <c r="B19" s="1745"/>
      <c r="C19" s="1745"/>
      <c r="D19" s="1745"/>
      <c r="E19" s="3026" t="e">
        <f t="shared" si="0"/>
        <v>#DIV/0!</v>
      </c>
      <c r="F19" s="3026" t="e">
        <f t="shared" si="1"/>
        <v>#DIV/0!</v>
      </c>
      <c r="G19" s="1745"/>
      <c r="H19" s="1745"/>
      <c r="I19" s="1745"/>
    </row>
    <row r="20" spans="1:9" ht="16.5">
      <c r="A20" s="3025" t="s">
        <v>1340</v>
      </c>
      <c r="B20" s="1745"/>
      <c r="C20" s="1745"/>
      <c r="D20" s="1745"/>
      <c r="E20" s="3026" t="e">
        <f t="shared" si="0"/>
        <v>#DIV/0!</v>
      </c>
      <c r="F20" s="3026" t="e">
        <f t="shared" si="1"/>
        <v>#DIV/0!</v>
      </c>
      <c r="G20" s="1745"/>
      <c r="H20" s="1745"/>
      <c r="I20" s="1745"/>
    </row>
    <row r="21" spans="1:9" ht="16.5">
      <c r="A21" s="3025" t="s">
        <v>1339</v>
      </c>
      <c r="B21" s="1745"/>
      <c r="C21" s="1745"/>
      <c r="D21" s="1745"/>
      <c r="E21" s="3026" t="e">
        <f t="shared" si="0"/>
        <v>#DIV/0!</v>
      </c>
      <c r="F21" s="3026" t="e">
        <f t="shared" si="1"/>
        <v>#DIV/0!</v>
      </c>
      <c r="G21" s="1745"/>
      <c r="H21" s="1745"/>
      <c r="I21" s="1745"/>
    </row>
    <row r="22" spans="1:9" ht="16.5">
      <c r="A22" s="3025" t="s">
        <v>1338</v>
      </c>
      <c r="B22" s="1745"/>
      <c r="C22" s="1745"/>
      <c r="D22" s="1745"/>
      <c r="E22" s="3026" t="e">
        <f t="shared" si="0"/>
        <v>#DIV/0!</v>
      </c>
      <c r="F22" s="3026" t="e">
        <f t="shared" si="1"/>
        <v>#DIV/0!</v>
      </c>
      <c r="G22" s="1745"/>
      <c r="H22" s="1745"/>
      <c r="I22" s="1745"/>
    </row>
    <row r="23" spans="1:9" ht="16.5">
      <c r="A23" s="3025" t="s">
        <v>1337</v>
      </c>
      <c r="B23" s="1745"/>
      <c r="C23" s="1745"/>
      <c r="D23" s="1745"/>
      <c r="E23" s="3027" t="e">
        <f t="shared" si="0"/>
        <v>#DIV/0!</v>
      </c>
      <c r="F23" s="3027" t="e">
        <f t="shared" si="1"/>
        <v>#DIV/0!</v>
      </c>
      <c r="G23" s="1745"/>
      <c r="H23" s="1745"/>
      <c r="I23" s="1745"/>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view="pageBreakPreview" topLeftCell="A7" zoomScaleNormal="100" zoomScaleSheetLayoutView="100" zoomScalePageLayoutView="80" workbookViewId="0">
      <selection activeCell="F26" sqref="F26"/>
    </sheetView>
  </sheetViews>
  <sheetFormatPr defaultColWidth="12.6328125" defaultRowHeight="21.75" customHeight="1"/>
  <cols>
    <col min="1" max="2" width="12.6328125" style="2419"/>
    <col min="3" max="4" width="12.6328125" style="2419" customWidth="1"/>
    <col min="5" max="9" width="12.6328125" style="2419"/>
    <col min="10" max="11" width="12.6328125" style="795" customWidth="1"/>
    <col min="12" max="12" width="12.6328125" style="795"/>
    <col min="13" max="13" width="14.08984375" style="795" bestFit="1" customWidth="1"/>
    <col min="14" max="26" width="12.6328125" style="795"/>
    <col min="27" max="35" width="12.6328125" style="2418"/>
    <col min="36" max="16384" width="12.6328125" style="2419"/>
  </cols>
  <sheetData>
    <row r="1" spans="1:12" ht="21.75" customHeight="1" thickBot="1">
      <c r="A1" s="2219" t="s">
        <v>2114</v>
      </c>
      <c r="B1" s="2413"/>
      <c r="C1" s="2414"/>
      <c r="D1" s="2413"/>
      <c r="E1" s="2413"/>
      <c r="F1" s="2415" t="s">
        <v>2115</v>
      </c>
      <c r="G1" s="2065" t="s">
        <v>2116</v>
      </c>
      <c r="H1" s="2416" t="str">
        <f>IF(G1="现房","——","估价对象范围")</f>
        <v>估价对象范围</v>
      </c>
      <c r="I1" s="2417" t="s">
        <v>3280</v>
      </c>
    </row>
    <row r="2" spans="1:12" ht="21.75" customHeight="1" thickBot="1">
      <c r="A2" s="3252" t="str">
        <f>项目基本情况!S2</f>
        <v>海南省三亚市海棠湾镇海棠湾旅游区出让国有建设用地使用权及在建建筑物房地产</v>
      </c>
      <c r="B2" s="3253"/>
      <c r="C2" s="3253"/>
      <c r="D2" s="3253"/>
      <c r="E2" s="3253"/>
      <c r="F2" s="3253"/>
      <c r="G2" s="3253"/>
      <c r="H2" s="3253"/>
      <c r="I2" s="3254"/>
    </row>
    <row r="3" spans="1:12" ht="13">
      <c r="A3" s="3256" t="s">
        <v>2117</v>
      </c>
      <c r="B3" s="3257"/>
      <c r="C3" s="3257"/>
      <c r="D3" s="3257"/>
      <c r="E3" s="3257"/>
      <c r="F3" s="3257"/>
      <c r="G3" s="3257"/>
      <c r="H3" s="3257"/>
      <c r="I3" s="3257"/>
    </row>
    <row r="4" spans="1:12" ht="14">
      <c r="A4" s="2420" t="s">
        <v>2118</v>
      </c>
      <c r="B4" s="2421" t="s">
        <v>2119</v>
      </c>
      <c r="C4" s="2422" t="s">
        <v>3281</v>
      </c>
      <c r="D4" s="2422" t="s">
        <v>3282</v>
      </c>
      <c r="E4" s="3249" t="s">
        <v>2120</v>
      </c>
      <c r="F4" s="3250"/>
      <c r="G4" s="3250"/>
      <c r="H4" s="3250"/>
      <c r="I4" s="325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
      <c r="A5" s="3232" t="s">
        <v>2121</v>
      </c>
      <c r="B5" s="3112">
        <v>25</v>
      </c>
      <c r="C5" s="3235"/>
      <c r="D5" s="3255"/>
      <c r="E5" s="140" t="s">
        <v>2122</v>
      </c>
      <c r="F5" s="2424"/>
      <c r="G5" s="2424"/>
      <c r="H5" s="2424"/>
      <c r="I5" s="1830"/>
    </row>
    <row r="6" spans="1:12" ht="13">
      <c r="A6" s="3232"/>
      <c r="B6" s="3112"/>
      <c r="C6" s="3236"/>
      <c r="D6" s="3255"/>
      <c r="E6" s="140" t="s">
        <v>2123</v>
      </c>
      <c r="F6" s="2424"/>
      <c r="G6" s="2424"/>
      <c r="H6" s="2424"/>
      <c r="I6" s="1830"/>
    </row>
    <row r="7" spans="1:12" ht="13">
      <c r="A7" s="3232"/>
      <c r="B7" s="3112"/>
      <c r="C7" s="3237"/>
      <c r="D7" s="3255"/>
      <c r="E7" s="140" t="s">
        <v>2124</v>
      </c>
      <c r="F7" s="2424"/>
      <c r="G7" s="2424"/>
      <c r="H7" s="2424"/>
      <c r="I7" s="1830"/>
    </row>
    <row r="8" spans="1:12" ht="13">
      <c r="A8" s="3232" t="s">
        <v>2125</v>
      </c>
      <c r="B8" s="3112">
        <v>15</v>
      </c>
      <c r="C8" s="3235"/>
      <c r="D8" s="3255"/>
      <c r="E8" s="140" t="s">
        <v>2126</v>
      </c>
      <c r="F8" s="2424"/>
      <c r="G8" s="2424"/>
      <c r="H8" s="2424"/>
      <c r="I8" s="1830"/>
    </row>
    <row r="9" spans="1:12" ht="13">
      <c r="A9" s="3232"/>
      <c r="B9" s="3112"/>
      <c r="C9" s="3237"/>
      <c r="D9" s="3255"/>
      <c r="E9" s="140" t="s">
        <v>2127</v>
      </c>
      <c r="F9" s="2424"/>
      <c r="G9" s="2424"/>
      <c r="H9" s="2424"/>
      <c r="I9" s="1830"/>
    </row>
    <row r="10" spans="1:12" ht="13">
      <c r="A10" s="3232" t="s">
        <v>2128</v>
      </c>
      <c r="B10" s="3112">
        <v>15</v>
      </c>
      <c r="C10" s="3235"/>
      <c r="D10" s="3255"/>
      <c r="E10" s="140" t="s">
        <v>2129</v>
      </c>
      <c r="F10" s="2424"/>
      <c r="G10" s="2424"/>
      <c r="H10" s="2424"/>
      <c r="I10" s="1830"/>
    </row>
    <row r="11" spans="1:12" ht="13">
      <c r="A11" s="3232"/>
      <c r="B11" s="3112"/>
      <c r="C11" s="3237"/>
      <c r="D11" s="3255"/>
      <c r="E11" s="140" t="s">
        <v>2130</v>
      </c>
      <c r="F11" s="2424"/>
      <c r="G11" s="2424"/>
      <c r="H11" s="2424"/>
      <c r="I11" s="1830"/>
    </row>
    <row r="12" spans="1:12" ht="13">
      <c r="A12" s="3232" t="s">
        <v>2131</v>
      </c>
      <c r="B12" s="3112">
        <v>15</v>
      </c>
      <c r="C12" s="3235"/>
      <c r="D12" s="3255"/>
      <c r="E12" s="140" t="s">
        <v>2132</v>
      </c>
      <c r="F12" s="2424"/>
      <c r="G12" s="2424"/>
      <c r="H12" s="2424"/>
      <c r="I12" s="1830"/>
    </row>
    <row r="13" spans="1:12" ht="13">
      <c r="A13" s="3232"/>
      <c r="B13" s="3112"/>
      <c r="C13" s="3237"/>
      <c r="D13" s="3255"/>
      <c r="E13" s="140" t="s">
        <v>2133</v>
      </c>
      <c r="F13" s="2424"/>
      <c r="G13" s="2424"/>
      <c r="H13" s="2424"/>
      <c r="I13" s="1830"/>
    </row>
    <row r="14" spans="1:12" ht="13">
      <c r="A14" s="3232" t="s">
        <v>2134</v>
      </c>
      <c r="B14" s="3112">
        <v>30</v>
      </c>
      <c r="C14" s="3235">
        <v>4</v>
      </c>
      <c r="D14" s="3255">
        <v>6</v>
      </c>
      <c r="E14" s="140" t="s">
        <v>2135</v>
      </c>
      <c r="F14" s="2424"/>
      <c r="G14" s="2424"/>
      <c r="H14" s="2424"/>
      <c r="I14" s="1830"/>
    </row>
    <row r="15" spans="1:12" ht="13">
      <c r="A15" s="3232"/>
      <c r="B15" s="3112"/>
      <c r="C15" s="3236"/>
      <c r="D15" s="3255"/>
      <c r="E15" s="140" t="s">
        <v>2136</v>
      </c>
      <c r="F15" s="2424"/>
      <c r="G15" s="2424"/>
      <c r="H15" s="2424"/>
      <c r="I15" s="1830"/>
    </row>
    <row r="16" spans="1:12" ht="13">
      <c r="A16" s="3232"/>
      <c r="B16" s="3112"/>
      <c r="C16" s="3237"/>
      <c r="D16" s="3255"/>
      <c r="E16" s="140" t="s">
        <v>2137</v>
      </c>
      <c r="F16" s="2424"/>
      <c r="G16" s="2424"/>
      <c r="H16" s="2424"/>
      <c r="I16" s="1830"/>
    </row>
    <row r="17" spans="1:35" ht="14">
      <c r="A17" s="2425" t="s">
        <v>2138</v>
      </c>
      <c r="B17" s="64"/>
      <c r="C17" s="141">
        <f>SUM(C5:C16)</f>
        <v>4</v>
      </c>
      <c r="D17" s="141">
        <f>SUM(D5:D16)</f>
        <v>6</v>
      </c>
      <c r="E17" s="138"/>
      <c r="F17" s="138"/>
      <c r="G17" s="138"/>
      <c r="H17" s="138"/>
      <c r="I17" s="138"/>
      <c r="K17" s="2423"/>
      <c r="L17" s="2426" t="s">
        <v>2139</v>
      </c>
      <c r="M17" s="2426" t="s">
        <v>2140</v>
      </c>
    </row>
    <row r="18" spans="1:35" ht="14.5" thickBot="1">
      <c r="A18" s="2427" t="s">
        <v>2141</v>
      </c>
      <c r="B18" s="2428"/>
      <c r="C18" s="142">
        <f>ROUND(C17/SUM(C17:D17),2)</f>
        <v>0.4</v>
      </c>
      <c r="D18" s="142">
        <f>1-C18</f>
        <v>0.6</v>
      </c>
      <c r="E18" s="138"/>
      <c r="F18" s="138"/>
      <c r="G18" s="138"/>
      <c r="H18" s="138"/>
      <c r="I18" s="138"/>
      <c r="K18" s="2423" t="s">
        <v>2142</v>
      </c>
      <c r="L18" s="2423">
        <f>三期未售!I20</f>
        <v>80948.100000000006</v>
      </c>
      <c r="M18" s="2423">
        <f>L18</f>
        <v>80948.100000000006</v>
      </c>
    </row>
    <row r="19" spans="1:35" ht="14">
      <c r="A19" s="2429" t="s">
        <v>2143</v>
      </c>
      <c r="B19" s="2430" t="s">
        <v>2144</v>
      </c>
      <c r="C19" s="143">
        <f ca="1">SUMIF(INDIRECT("'"&amp;C4&amp;"'"&amp;"!A:A"),结果表!B19,INDIRECT("'"&amp;C4&amp;"'"&amp;"!B:B"))</f>
        <v>93386</v>
      </c>
      <c r="D19" s="144">
        <f ca="1">SUMIF(INDIRECT("'"&amp;D4&amp;"'"&amp;"!A:A"),结果表!B19,INDIRECT("'"&amp;D4&amp;"'"&amp;"!B:B"))</f>
        <v>240492</v>
      </c>
      <c r="E19" s="2429" t="s">
        <v>2145</v>
      </c>
      <c r="F19" s="2430" t="s">
        <v>2144</v>
      </c>
      <c r="G19" s="145">
        <f ca="1">ROUND(C19*$C$18+D19*$D$18,0)</f>
        <v>181650</v>
      </c>
      <c r="H19" s="2431" t="s">
        <v>2146</v>
      </c>
      <c r="I19" s="138"/>
      <c r="K19" s="2423" t="s">
        <v>2147</v>
      </c>
      <c r="L19" s="2423">
        <f>IF(C1="",'数据-汇总表'!D3,SUMIF(项目类型,C1,'数据-汇总表'!D17:D26)+SUMIF(项目类型,C1,'数据-汇总表'!H17:H27))</f>
        <v>88343.87</v>
      </c>
      <c r="M19" s="2423">
        <f>IF(C1="",'数据-汇总表'!D3,SUMIF(项目类型,C1,'数据-汇总表'!D17:D26))</f>
        <v>88343.87</v>
      </c>
    </row>
    <row r="20" spans="1:35" ht="14">
      <c r="A20" s="2432"/>
      <c r="B20" s="1247" t="s">
        <v>2148</v>
      </c>
      <c r="C20" s="146">
        <f ca="1">SUMIF(INDIRECT("'"&amp;C4&amp;"'"&amp;"!A:A"),结果表!B20,INDIRECT("'"&amp;C4&amp;"'"&amp;"!B:B"))</f>
        <v>8738</v>
      </c>
      <c r="D20" s="147">
        <f ca="1">SUMIF(INDIRECT("'"&amp;D4&amp;"'"&amp;"!A:A"),结果表!B20,INDIRECT("'"&amp;D4&amp;"'"&amp;"!B:B"))</f>
        <v>22502</v>
      </c>
      <c r="E20" s="2432"/>
      <c r="F20" s="1247" t="s">
        <v>2148</v>
      </c>
      <c r="G20" s="148">
        <f ca="1">ROUND(C20*$C$18+D20*$D$18,0)</f>
        <v>16996</v>
      </c>
      <c r="H20" s="980" t="s">
        <v>2149</v>
      </c>
      <c r="I20" s="138"/>
    </row>
    <row r="21" spans="1:35" ht="15" customHeight="1" thickBot="1">
      <c r="A21" s="1000"/>
      <c r="B21" s="2433" t="s">
        <v>2150</v>
      </c>
      <c r="C21" s="789">
        <f ca="1">ROUND(C19*10000/L19,0)</f>
        <v>10571</v>
      </c>
      <c r="D21" s="790">
        <f ca="1">ROUND(D19*10000/L19,0)</f>
        <v>27222</v>
      </c>
      <c r="E21" s="1000"/>
      <c r="F21" s="2433" t="s">
        <v>2150</v>
      </c>
      <c r="G21" s="149">
        <f ca="1">ROUND(G19*10000/L19,0)</f>
        <v>20562</v>
      </c>
      <c r="H21" s="2434" t="s">
        <v>2149</v>
      </c>
      <c r="I21" s="138"/>
    </row>
    <row r="22" spans="1:35" ht="14.5" thickBot="1">
      <c r="A22" s="2275" t="s">
        <v>2151</v>
      </c>
      <c r="B22" s="2435"/>
      <c r="C22" s="2436"/>
      <c r="D22" s="791">
        <f ca="1">IF(C19&lt;D19,D19/C19-1,C19/D19-1)</f>
        <v>1.5752468250058898</v>
      </c>
      <c r="E22" s="138"/>
      <c r="F22" s="138"/>
      <c r="G22" s="138"/>
      <c r="H22" s="138"/>
      <c r="I22" s="138"/>
    </row>
    <row r="23" spans="1:35" ht="13" thickBot="1">
      <c r="A23" s="2413"/>
      <c r="B23" s="2413"/>
      <c r="C23" s="2413"/>
      <c r="D23" s="2413"/>
      <c r="E23" s="138"/>
      <c r="F23" s="138"/>
      <c r="G23" s="138"/>
      <c r="H23" s="138"/>
      <c r="I23" s="138"/>
    </row>
    <row r="24" spans="1:35" ht="14">
      <c r="A24" s="3226" t="s">
        <v>2152</v>
      </c>
      <c r="B24" s="2430" t="s">
        <v>2144</v>
      </c>
      <c r="C24" s="145">
        <f>IF(B30=0,0,D30)</f>
        <v>0</v>
      </c>
      <c r="D24" s="2437"/>
      <c r="E24" s="138"/>
      <c r="F24" s="138"/>
      <c r="G24" s="138"/>
      <c r="H24" s="138"/>
      <c r="I24" s="138"/>
    </row>
    <row r="25" spans="1:35" ht="14">
      <c r="A25" s="3227"/>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
      <c r="A27" s="2439"/>
      <c r="B27" s="151">
        <v>0</v>
      </c>
      <c r="C27" s="151">
        <v>0</v>
      </c>
      <c r="D27" s="152">
        <f>ROUND(C27*B27/10000,0)</f>
        <v>0</v>
      </c>
      <c r="E27" s="138"/>
      <c r="F27" s="138"/>
      <c r="G27" s="138"/>
      <c r="H27" s="138"/>
      <c r="I27" s="138"/>
    </row>
    <row r="28" spans="1:35" ht="14">
      <c r="A28" s="2439"/>
      <c r="B28" s="151"/>
      <c r="C28" s="151"/>
      <c r="D28" s="152"/>
      <c r="E28" s="138"/>
      <c r="F28" s="138"/>
      <c r="G28" s="138"/>
      <c r="H28" s="138"/>
      <c r="I28" s="138"/>
    </row>
    <row r="29" spans="1:35" ht="14">
      <c r="A29" s="2439"/>
      <c r="B29" s="151"/>
      <c r="C29" s="151"/>
      <c r="D29" s="152"/>
      <c r="E29" s="138"/>
      <c r="F29" s="138"/>
      <c r="G29" s="138"/>
      <c r="H29" s="138"/>
      <c r="I29" s="138"/>
    </row>
    <row r="30" spans="1:35" ht="14">
      <c r="A30" s="151" t="s">
        <v>2157</v>
      </c>
      <c r="B30" s="151"/>
      <c r="C30" s="151"/>
      <c r="D30" s="151"/>
      <c r="E30" s="2909" t="s">
        <v>3030</v>
      </c>
      <c r="F30" s="138"/>
      <c r="G30" s="138"/>
      <c r="H30" s="138"/>
      <c r="I30" s="138"/>
    </row>
    <row r="31" spans="1:35" s="2441" customFormat="1" ht="14.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4.5" thickBot="1">
      <c r="A32" s="2442" t="s">
        <v>2158</v>
      </c>
      <c r="B32" s="2443"/>
      <c r="C32" s="153">
        <f ca="1">IF(D32="总价",G19-C24,G20-C25)</f>
        <v>181650</v>
      </c>
      <c r="D32" s="2444" t="s">
        <v>2159</v>
      </c>
      <c r="E32" s="138"/>
      <c r="F32" s="138"/>
      <c r="G32" s="138"/>
      <c r="H32" s="138"/>
      <c r="I32" s="138"/>
    </row>
    <row r="33" spans="1:15" ht="14">
      <c r="A33" s="957" t="s">
        <v>2160</v>
      </c>
      <c r="B33" s="2445"/>
      <c r="C33" s="2446" t="s">
        <v>3367</v>
      </c>
      <c r="D33" s="2447" t="s">
        <v>3281</v>
      </c>
      <c r="E33" s="2448" t="s">
        <v>2161</v>
      </c>
      <c r="F33" s="2449" t="str">
        <f>IF(D32="楼面单价","取值（单价）","取值（总价）")</f>
        <v>取值（总价）</v>
      </c>
      <c r="G33" s="138"/>
      <c r="H33" s="138"/>
      <c r="I33" s="138"/>
    </row>
    <row r="34" spans="1:15" ht="14">
      <c r="A34" s="2450"/>
      <c r="B34" s="2451" t="s">
        <v>2162</v>
      </c>
      <c r="C34" s="157">
        <f ca="1">IF(C33="自定义",F34,C32-C35)</f>
        <v>147681</v>
      </c>
      <c r="D34" s="1055">
        <f ca="1">IF(C33="自定义",ROUND(C34/C32,3),IF(C33="收益比率",SUMIF(INDIRECT("'"&amp;D33&amp;"'"&amp;"!b:b"),"土地收益比率",INDIRECT("'"&amp;D33&amp;"'"&amp;"!c:c")),SUMIF(INDIRECT("'"&amp;D33&amp;"'"&amp;"!b:b"),"土地成本比率",INDIRECT("'"&amp;D33&amp;"'"&amp;"!c:c"))))</f>
        <v>0.81299999999999994</v>
      </c>
      <c r="E34" s="2452" t="s">
        <v>2163</v>
      </c>
      <c r="F34" s="1736"/>
      <c r="G34" s="138"/>
      <c r="H34" s="138"/>
      <c r="I34" s="138"/>
    </row>
    <row r="35" spans="1:15" ht="14.5" thickBot="1">
      <c r="A35" s="2453"/>
      <c r="B35" s="2454" t="s">
        <v>2164</v>
      </c>
      <c r="C35" s="1441">
        <f ca="1">IF(C33="自定义",F35,ROUND(C32*D35,0))</f>
        <v>33969</v>
      </c>
      <c r="D35" s="1442">
        <f ca="1">IF(C33="自定义",ROUND(C35/C32,3),IF(C33="收益比率",SUMIF(INDIRECT("'"&amp;D33&amp;"'"&amp;"!b:b"),"建筑物收益比率",INDIRECT("'"&amp;D33&amp;"'"&amp;"!c:c")),SUMIF(INDIRECT("'"&amp;D33&amp;"'"&amp;"!b:b"),"建筑物成本比率",INDIRECT("'"&amp;D33&amp;"'"&amp;"!c:c"))))</f>
        <v>0.187</v>
      </c>
      <c r="E35" s="2455" t="s">
        <v>2165</v>
      </c>
      <c r="F35" s="163"/>
      <c r="G35" s="138"/>
      <c r="H35" s="138"/>
      <c r="I35" s="138"/>
    </row>
    <row r="36" spans="1:15" ht="14.5" thickBot="1">
      <c r="A36" s="3244" t="s">
        <v>2166</v>
      </c>
      <c r="B36" s="2456" t="s">
        <v>2167</v>
      </c>
      <c r="C36" s="154"/>
      <c r="D36" s="2457"/>
      <c r="E36" s="2458"/>
      <c r="F36" s="2459"/>
      <c r="G36" s="138"/>
      <c r="H36" s="138"/>
      <c r="I36" s="138"/>
    </row>
    <row r="37" spans="1:15" ht="14.5" thickBot="1">
      <c r="A37" s="3245"/>
      <c r="B37" s="2261" t="s">
        <v>2168</v>
      </c>
      <c r="C37" s="156"/>
      <c r="D37" s="1392"/>
      <c r="E37" s="1392"/>
      <c r="F37" s="2459"/>
      <c r="G37" s="138"/>
      <c r="H37" s="138"/>
      <c r="I37" s="138"/>
    </row>
    <row r="38" spans="1:15" ht="14.5" thickBot="1">
      <c r="A38" s="3246"/>
      <c r="B38" s="2460" t="s">
        <v>2169</v>
      </c>
      <c r="C38" s="727"/>
      <c r="D38" s="2461" t="s">
        <v>2170</v>
      </c>
      <c r="E38" s="1392"/>
      <c r="F38" s="2459"/>
      <c r="G38" s="138"/>
      <c r="H38" s="138"/>
      <c r="I38" s="138"/>
    </row>
    <row r="39" spans="1:15" ht="14">
      <c r="A39" s="2432" t="s">
        <v>2171</v>
      </c>
      <c r="B39" s="2462" t="s">
        <v>2172</v>
      </c>
      <c r="C39" s="2463" t="s">
        <v>2173</v>
      </c>
      <c r="D39" s="2463" t="s">
        <v>2174</v>
      </c>
      <c r="E39" s="2464" t="s">
        <v>2175</v>
      </c>
      <c r="F39" s="2459"/>
      <c r="G39" s="138"/>
      <c r="H39" s="138"/>
      <c r="I39" s="138"/>
    </row>
    <row r="40" spans="1:15" ht="14">
      <c r="A40" s="2465" t="s">
        <v>2176</v>
      </c>
      <c r="B40" s="158"/>
      <c r="C40" s="159"/>
      <c r="D40" s="159"/>
      <c r="E40" s="160"/>
      <c r="F40" s="2459"/>
      <c r="G40" s="138"/>
      <c r="H40" s="138"/>
      <c r="I40" s="138"/>
    </row>
    <row r="41" spans="1:15" ht="14">
      <c r="A41" s="2465" t="s">
        <v>2177</v>
      </c>
      <c r="B41" s="158"/>
      <c r="C41" s="159"/>
      <c r="D41" s="159"/>
      <c r="E41" s="160"/>
      <c r="F41" s="2459"/>
      <c r="G41" s="138"/>
      <c r="H41" s="138"/>
      <c r="I41" s="138"/>
    </row>
    <row r="42" spans="1:15" ht="14.5" thickBot="1">
      <c r="A42" s="2466"/>
      <c r="B42" s="161"/>
      <c r="C42" s="162"/>
      <c r="D42" s="162"/>
      <c r="E42" s="163"/>
      <c r="F42" s="2459"/>
      <c r="G42" s="138"/>
      <c r="H42" s="138"/>
      <c r="I42" s="138"/>
    </row>
    <row r="43" spans="1:15" ht="12.5">
      <c r="A43" s="2159"/>
      <c r="B43" s="2159"/>
      <c r="C43" s="2159"/>
      <c r="D43" s="2159"/>
      <c r="E43" s="2159"/>
      <c r="F43" s="2467"/>
      <c r="G43" s="2467"/>
      <c r="H43" s="2467"/>
      <c r="I43" s="2468"/>
    </row>
    <row r="44" spans="1:15" ht="18">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223" t="s">
        <v>2180</v>
      </c>
      <c r="B45" s="3224"/>
      <c r="C45" s="3225"/>
      <c r="D45" s="164">
        <f ca="1">ROUND(H101*F45,0)</f>
        <v>181650</v>
      </c>
      <c r="E45" s="165" t="s">
        <v>2181</v>
      </c>
      <c r="F45" s="166">
        <v>1</v>
      </c>
      <c r="G45" s="167" t="s">
        <v>2182</v>
      </c>
      <c r="H45" s="138"/>
      <c r="I45" s="138"/>
      <c r="J45" s="3283" t="s">
        <v>2183</v>
      </c>
      <c r="K45" s="3283"/>
      <c r="L45" s="3283"/>
      <c r="M45" s="3283"/>
      <c r="N45" s="3283"/>
      <c r="O45" s="3283"/>
    </row>
    <row r="46" spans="1:15" ht="14.25" customHeight="1">
      <c r="A46" s="3220" t="s">
        <v>2184</v>
      </c>
      <c r="B46" s="3221"/>
      <c r="C46" s="3221"/>
      <c r="D46" s="3221"/>
      <c r="E46" s="3221"/>
      <c r="F46" s="3221"/>
      <c r="G46" s="3222"/>
      <c r="H46" s="2475"/>
      <c r="I46" s="168"/>
      <c r="J46" s="1808">
        <v>1</v>
      </c>
      <c r="K46" s="3283" t="s">
        <v>2185</v>
      </c>
      <c r="L46" s="3283"/>
      <c r="M46" s="3303"/>
      <c r="N46" s="3303"/>
      <c r="O46" s="3303"/>
    </row>
    <row r="47" spans="1:15" ht="12" customHeight="1">
      <c r="A47" s="169" t="s">
        <v>2186</v>
      </c>
      <c r="B47" s="170"/>
      <c r="C47" s="171"/>
      <c r="D47" s="172" t="s">
        <v>2187</v>
      </c>
      <c r="E47" s="24" t="s">
        <v>2188</v>
      </c>
      <c r="F47" s="173" t="s">
        <v>2189</v>
      </c>
      <c r="G47" s="174" t="s">
        <v>2190</v>
      </c>
      <c r="H47" s="2475"/>
      <c r="I47" s="168"/>
      <c r="J47" s="1808">
        <v>2</v>
      </c>
      <c r="K47" s="3283" t="s">
        <v>2191</v>
      </c>
      <c r="L47" s="3283"/>
      <c r="M47" s="3304">
        <f>'数据-取费表'!B2</f>
        <v>43913</v>
      </c>
      <c r="N47" s="3304"/>
      <c r="O47" s="3304"/>
    </row>
    <row r="48" spans="1:15" ht="26">
      <c r="A48" s="3251" t="s">
        <v>2192</v>
      </c>
      <c r="B48" s="3234"/>
      <c r="C48" s="3234"/>
      <c r="D48" s="140">
        <f>IF(H48="情况1",0,IF(H48="情况2",D52,IF(H48="情况3",D53,IF(H48="情况4",D54))))</f>
        <v>0</v>
      </c>
      <c r="E48" s="1797" t="str">
        <f>IF(H48="情况4","(销售额-原购置价)×税（费）率","销售额×税（费）率")</f>
        <v>销售额×税（费）率</v>
      </c>
      <c r="F48" s="175" t="str">
        <f>IF(H48="情况1","免征",'数据-取费表'!B41)</f>
        <v>免征</v>
      </c>
      <c r="G48" s="2476" t="s">
        <v>2193</v>
      </c>
      <c r="H48" s="2477" t="s">
        <v>2194</v>
      </c>
      <c r="I48" s="2475"/>
      <c r="J48" s="1808">
        <v>3</v>
      </c>
      <c r="K48" s="3283" t="s">
        <v>2195</v>
      </c>
      <c r="L48" s="3283"/>
      <c r="M48" s="3305">
        <f ca="1">H101</f>
        <v>181650</v>
      </c>
      <c r="N48" s="3305"/>
      <c r="O48" s="3305"/>
    </row>
    <row r="49" spans="1:35" ht="25.5" customHeight="1">
      <c r="A49" s="176" t="s">
        <v>2196</v>
      </c>
      <c r="B49" s="3219" t="s">
        <v>2197</v>
      </c>
      <c r="C49" s="3219"/>
      <c r="D49" s="177">
        <v>0</v>
      </c>
      <c r="E49" s="23" t="s">
        <v>2198</v>
      </c>
      <c r="F49" s="28" t="s">
        <v>34</v>
      </c>
      <c r="G49" s="3289"/>
      <c r="H49" s="138"/>
      <c r="I49" s="2478"/>
      <c r="J49" s="1808">
        <v>4</v>
      </c>
      <c r="K49" s="3283" t="str">
        <f>IF(项目基本情况!E8="房地产抵押价值","房地产抵押价值","抵押担保权已注销时的房地产抵押价值")</f>
        <v>房地产抵押价值</v>
      </c>
      <c r="L49" s="3283"/>
      <c r="M49" s="3305">
        <f ca="1">IF(项目基本情况!E8="房地产抵押价值",H107,H109)</f>
        <v>181650</v>
      </c>
      <c r="N49" s="3305"/>
      <c r="O49" s="3305"/>
    </row>
    <row r="50" spans="1:35" ht="25.5" customHeight="1">
      <c r="A50" s="178"/>
      <c r="B50" s="3219" t="s">
        <v>2199</v>
      </c>
      <c r="C50" s="3219"/>
      <c r="D50" s="179"/>
      <c r="E50" s="31"/>
      <c r="F50" s="180"/>
      <c r="G50" s="3290"/>
      <c r="H50" s="138"/>
      <c r="I50" s="2478"/>
      <c r="J50" s="3283" t="s">
        <v>2200</v>
      </c>
      <c r="K50" s="3283"/>
      <c r="L50" s="3283"/>
      <c r="M50" s="3283"/>
      <c r="N50" s="3283"/>
      <c r="O50" s="3283"/>
    </row>
    <row r="51" spans="1:35" ht="12" customHeight="1">
      <c r="A51" s="181"/>
      <c r="B51" s="3219" t="s">
        <v>2201</v>
      </c>
      <c r="C51" s="3219"/>
      <c r="D51" s="182"/>
      <c r="E51" s="30"/>
      <c r="F51" s="180"/>
      <c r="G51" s="3291"/>
      <c r="H51" s="138"/>
      <c r="I51" s="2478"/>
      <c r="J51" s="2479" t="s">
        <v>2202</v>
      </c>
      <c r="K51" s="3283" t="s">
        <v>2203</v>
      </c>
      <c r="L51" s="3283"/>
      <c r="M51" s="2479" t="s">
        <v>2204</v>
      </c>
      <c r="N51" s="2479" t="s">
        <v>2205</v>
      </c>
      <c r="O51" s="2479" t="s">
        <v>2206</v>
      </c>
    </row>
    <row r="52" spans="1:35" ht="24" customHeight="1">
      <c r="A52" s="183" t="s">
        <v>2207</v>
      </c>
      <c r="B52" s="3219" t="s">
        <v>2208</v>
      </c>
      <c r="C52" s="3219"/>
      <c r="D52" s="182">
        <f ca="1">ROUND(D45*'数据-取费表'!B41/(1+'数据-取费表'!C42),0)</f>
        <v>9688</v>
      </c>
      <c r="E52" s="11" t="s">
        <v>2209</v>
      </c>
      <c r="F52" s="184">
        <f>'数据-取费表'!B41</f>
        <v>5.6000000000000001E-2</v>
      </c>
      <c r="G52" s="2480"/>
      <c r="H52" s="138"/>
      <c r="I52" s="2478"/>
      <c r="J52" s="1808">
        <v>1</v>
      </c>
      <c r="K52" s="3284" t="s">
        <v>2210</v>
      </c>
      <c r="L52" s="3284"/>
      <c r="M52" s="1750">
        <f>D48</f>
        <v>0</v>
      </c>
      <c r="N52" s="1808" t="str">
        <f>E48</f>
        <v>销售额×税（费）率</v>
      </c>
      <c r="O52" s="1751" t="str">
        <f>F48</f>
        <v>免征</v>
      </c>
    </row>
    <row r="53" spans="1:35" ht="12" customHeight="1">
      <c r="A53" s="183" t="s">
        <v>2211</v>
      </c>
      <c r="B53" s="3242" t="s">
        <v>2212</v>
      </c>
      <c r="C53" s="3243"/>
      <c r="D53" s="182">
        <f ca="1">ROUND(D45*'数据-取费表'!B41/(1+'数据-取费表'!C42),0)</f>
        <v>9688</v>
      </c>
      <c r="E53" s="11" t="s">
        <v>2209</v>
      </c>
      <c r="F53" s="184">
        <f>'数据-取费表'!B41</f>
        <v>5.6000000000000001E-2</v>
      </c>
      <c r="G53" s="2480"/>
      <c r="H53" s="138"/>
      <c r="I53" s="2478"/>
      <c r="J53" s="1808">
        <v>2</v>
      </c>
      <c r="K53" s="3284" t="s">
        <v>2213</v>
      </c>
      <c r="L53" s="3284"/>
      <c r="M53" s="1750">
        <f t="shared" ref="M53:O54" ca="1" si="0">D55</f>
        <v>91</v>
      </c>
      <c r="N53" s="1808" t="str">
        <f t="shared" si="0"/>
        <v>销售额×税（费）率</v>
      </c>
      <c r="O53" s="1751">
        <f t="shared" si="0"/>
        <v>5.0000000000000001E-4</v>
      </c>
    </row>
    <row r="54" spans="1:35" ht="12" customHeight="1">
      <c r="A54" s="183" t="s">
        <v>2214</v>
      </c>
      <c r="B54" s="3242" t="s">
        <v>2215</v>
      </c>
      <c r="C54" s="3243"/>
      <c r="D54" s="182">
        <f ca="1">C68</f>
        <v>9688</v>
      </c>
      <c r="E54" s="30" t="s">
        <v>2216</v>
      </c>
      <c r="F54" s="184">
        <f>'数据-取费表'!B41</f>
        <v>5.6000000000000001E-2</v>
      </c>
      <c r="G54" s="2480"/>
      <c r="H54" s="2481"/>
      <c r="I54" s="2478"/>
      <c r="J54" s="1808">
        <v>3</v>
      </c>
      <c r="K54" s="3284" t="s">
        <v>2217</v>
      </c>
      <c r="L54" s="3284"/>
      <c r="M54" s="1750">
        <f t="shared" ca="1" si="0"/>
        <v>102814</v>
      </c>
      <c r="N54" s="1808" t="str">
        <f t="shared" si="0"/>
        <v>增值额×税（费）率</v>
      </c>
      <c r="O54" s="1752" t="str">
        <f t="shared" si="0"/>
        <v>——</v>
      </c>
    </row>
    <row r="55" spans="1:35" ht="24" customHeight="1">
      <c r="A55" s="3233" t="s">
        <v>2218</v>
      </c>
      <c r="B55" s="3234"/>
      <c r="C55" s="3234"/>
      <c r="D55" s="185">
        <f ca="1">IF(H55="个人住宅",0,ROUND(D45*I55,0))</f>
        <v>91</v>
      </c>
      <c r="E55" s="11" t="s">
        <v>2219</v>
      </c>
      <c r="F55" s="184">
        <f>IF(H55="正常",I55,"免征")</f>
        <v>5.0000000000000001E-4</v>
      </c>
      <c r="G55" s="2480"/>
      <c r="H55" s="2477" t="s">
        <v>2220</v>
      </c>
      <c r="I55" s="186">
        <f>'数据-取费表'!B49</f>
        <v>5.0000000000000001E-4</v>
      </c>
      <c r="J55" s="1808" t="str">
        <f>IF(H59="非个人房产","",4)</f>
        <v/>
      </c>
      <c r="K55" s="3284" t="str">
        <f>IF(H59="非个人房产","——","个人所得税")</f>
        <v>——</v>
      </c>
      <c r="L55" s="3284"/>
      <c r="M55" s="1753" t="str">
        <f>D59</f>
        <v>——</v>
      </c>
      <c r="N55" s="1806" t="str">
        <f>E59</f>
        <v>——</v>
      </c>
      <c r="O55" s="1754" t="str">
        <f>F59</f>
        <v>——</v>
      </c>
    </row>
    <row r="56" spans="1:35" ht="26">
      <c r="A56" s="3233" t="s">
        <v>2221</v>
      </c>
      <c r="B56" s="3234"/>
      <c r="C56" s="3234"/>
      <c r="D56" s="185">
        <f ca="1">IF(H56="个人住宅",D57,D58)</f>
        <v>102814</v>
      </c>
      <c r="E56" s="11" t="s">
        <v>2222</v>
      </c>
      <c r="F56" s="184" t="str">
        <f>IF(H56="正常",F58,"免征")</f>
        <v>——</v>
      </c>
      <c r="G56" s="2482" t="s">
        <v>2223</v>
      </c>
      <c r="H56" s="2483" t="s">
        <v>2220</v>
      </c>
      <c r="I56" s="2484"/>
      <c r="J56" s="1808" t="str">
        <f>IF(项目基本情况!K6="上海银行",IF(J55="",4,J55+1),"")</f>
        <v/>
      </c>
      <c r="K56" s="3307" t="str">
        <f>IF(项目基本情况!K6="上海银行","其他处置费用","")</f>
        <v/>
      </c>
      <c r="L56" s="3308"/>
      <c r="M56" s="1750" t="str">
        <f>IF(项目基本情况!K6="上海银行",M69,"")</f>
        <v/>
      </c>
      <c r="N56" s="3310" t="str">
        <f>IF(项目基本情况!K6="上海银行","包含处置中涉及的律师、诉讼、拍卖、评估等费用","")</f>
        <v/>
      </c>
      <c r="O56" s="3311"/>
    </row>
    <row r="57" spans="1:35" ht="13">
      <c r="A57" s="183" t="s">
        <v>2196</v>
      </c>
      <c r="B57" s="3249" t="s">
        <v>2224</v>
      </c>
      <c r="C57" s="3258"/>
      <c r="D57" s="187">
        <v>0</v>
      </c>
      <c r="E57" s="23" t="s">
        <v>2198</v>
      </c>
      <c r="F57" s="155"/>
      <c r="G57" s="2480"/>
      <c r="H57" s="2484"/>
      <c r="I57" s="2484"/>
      <c r="J57" s="3284">
        <f>IF(AND(J55="",J56=""),4,IF(项目基本情况!K6="上海银行",结果表!J56+1,结果表!J55+1))</f>
        <v>4</v>
      </c>
      <c r="K57" s="3284" t="s">
        <v>2225</v>
      </c>
      <c r="L57" s="2485" t="s">
        <v>2226</v>
      </c>
      <c r="M57" s="1755"/>
      <c r="N57" s="1756">
        <f ca="1">SUMIF(M52:M56,"&lt;9e307")</f>
        <v>102905</v>
      </c>
      <c r="O57" s="2486"/>
      <c r="P57" s="1749">
        <f ca="1">N57/M49</f>
        <v>0.56650151390035786</v>
      </c>
    </row>
    <row r="58" spans="1:35" ht="26">
      <c r="A58" s="183" t="s">
        <v>2207</v>
      </c>
      <c r="B58" s="3249" t="s">
        <v>2227</v>
      </c>
      <c r="C58" s="3250"/>
      <c r="D58" s="185">
        <f ca="1">IF(H58="转让取得",C81,C97)</f>
        <v>102814</v>
      </c>
      <c r="E58" s="11" t="s">
        <v>2222</v>
      </c>
      <c r="F58" s="24" t="s">
        <v>34</v>
      </c>
      <c r="G58" s="2480"/>
      <c r="H58" s="2483" t="s">
        <v>2228</v>
      </c>
      <c r="I58" s="2484"/>
      <c r="J58" s="3284"/>
      <c r="K58" s="3284"/>
      <c r="L58" s="2485" t="s">
        <v>2229</v>
      </c>
      <c r="M58" s="1757"/>
      <c r="N58" s="2487" t="str">
        <f ca="1">NUMBERSTRING(INT(N57*10000),2)&amp;"元整"</f>
        <v>壹拾亿贰仟玖佰零伍万元整</v>
      </c>
      <c r="O58" s="2488"/>
    </row>
    <row r="59" spans="1:35" ht="26.5" thickBot="1">
      <c r="A59" s="3287" t="s">
        <v>2230</v>
      </c>
      <c r="B59" s="3288"/>
      <c r="C59" s="3288"/>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285">
        <f>J57+1</f>
        <v>5</v>
      </c>
      <c r="K59" s="3284" t="s">
        <v>2232</v>
      </c>
      <c r="L59" s="1808" t="s">
        <v>2226</v>
      </c>
      <c r="M59" s="1758"/>
      <c r="N59" s="1759">
        <f ca="1">M49-N57</f>
        <v>78745</v>
      </c>
      <c r="O59" s="2490"/>
    </row>
    <row r="60" spans="1:35" ht="12" customHeight="1">
      <c r="A60" s="2491"/>
      <c r="B60" s="2413"/>
      <c r="C60" s="2413"/>
      <c r="D60" s="2413"/>
      <c r="E60" s="2160"/>
      <c r="F60" s="2484"/>
      <c r="G60" s="2484"/>
      <c r="H60" s="2492"/>
      <c r="I60" s="138"/>
      <c r="J60" s="3286"/>
      <c r="K60" s="3284"/>
      <c r="L60" s="2485" t="s">
        <v>2229</v>
      </c>
      <c r="M60" s="1757"/>
      <c r="N60" s="2487" t="str">
        <f ca="1">NUMBERSTRING(INT(N59*10000),2)&amp;"元整"</f>
        <v>柒亿捌仟柒佰肆拾伍万元整</v>
      </c>
      <c r="O60" s="2488"/>
    </row>
    <row r="61" spans="1:35" ht="13.5" thickBot="1">
      <c r="A61" s="3231" t="s">
        <v>2233</v>
      </c>
      <c r="B61" s="3231"/>
      <c r="C61" s="3231"/>
      <c r="D61" s="3231"/>
      <c r="E61" s="3231"/>
      <c r="F61" s="2484"/>
      <c r="G61" s="2484"/>
      <c r="H61" s="2492"/>
      <c r="I61" s="138"/>
      <c r="J61" s="1808">
        <f>J59+1</f>
        <v>6</v>
      </c>
      <c r="K61" s="3284" t="s">
        <v>2234</v>
      </c>
      <c r="L61" s="3284"/>
      <c r="M61" s="1760"/>
      <c r="N61" s="1761">
        <f ca="1">ROUND(N59*10000/'数据-汇总表'!E3,0)</f>
        <v>7368</v>
      </c>
      <c r="O61" s="2493"/>
    </row>
    <row r="62" spans="1:35" ht="13">
      <c r="A62" s="3247" t="s">
        <v>2235</v>
      </c>
      <c r="B62" s="3248"/>
      <c r="C62" s="1800"/>
      <c r="D62" s="1800" t="s">
        <v>2236</v>
      </c>
      <c r="E62" s="192" t="s">
        <v>2237</v>
      </c>
      <c r="F62" s="2484"/>
      <c r="G62" s="2484"/>
      <c r="H62" s="2492"/>
      <c r="I62" s="138"/>
    </row>
    <row r="63" spans="1:35" ht="13">
      <c r="A63" s="203" t="s">
        <v>775</v>
      </c>
      <c r="B63" s="193" t="s">
        <v>2238</v>
      </c>
      <c r="C63" s="194">
        <f ca="1">ROUND((C64+C65)/(1+'数据-取费表'!C42),0)</f>
        <v>173000</v>
      </c>
      <c r="D63" s="195"/>
      <c r="E63" s="196"/>
      <c r="F63" s="2484"/>
      <c r="G63" s="2484"/>
      <c r="H63" s="2492"/>
      <c r="I63" s="138"/>
      <c r="J63" s="3309" t="s">
        <v>2239</v>
      </c>
      <c r="K63" s="2494" t="s">
        <v>2240</v>
      </c>
      <c r="L63" s="1748">
        <f ca="1">IF(M49&gt;10000,M49*0.5%,IF(AND(M49&gt;1000,M49&lt;=10000),M49*1%,IF(AND(M49&gt;100,M49&lt;=1000),M49*3%,IF(AND(M49&gt;10,M49&lt;=100),M49*5%,M49*8%))))</f>
        <v>908.25</v>
      </c>
      <c r="M63" s="24">
        <f ca="1">ROUND(L63,1)</f>
        <v>908.3</v>
      </c>
      <c r="Z63" s="2418"/>
      <c r="AI63" s="2419"/>
    </row>
    <row r="64" spans="1:35" ht="14.25" customHeight="1">
      <c r="A64" s="197" t="s">
        <v>770</v>
      </c>
      <c r="B64" s="198" t="s">
        <v>2241</v>
      </c>
      <c r="C64" s="199">
        <f ca="1">D45</f>
        <v>181650</v>
      </c>
      <c r="D64" s="200" t="s">
        <v>32</v>
      </c>
      <c r="E64" s="201"/>
      <c r="F64" s="2484"/>
      <c r="G64" s="2484"/>
      <c r="H64" s="2492"/>
      <c r="I64" s="138"/>
      <c r="J64" s="3309"/>
      <c r="K64" s="2494" t="s">
        <v>2242</v>
      </c>
      <c r="L64" s="1748">
        <f ca="1">IF(M49&gt;2000,M49*0.5%,IF(AND(M49&gt;1000,M49&lt;=2000),M49*0.6%,IF(AND(M49&gt;500,M49&lt;=1000),M49*0.7%,IF(AND(M49&gt;200,M49&lt;=500),M49*0.8%,IF(AND(M49&gt;100,M49&lt;=200),M49*0.9%,IF(AND(M49&gt;50,M49&lt;=100),M49*1%,IF(AND(M49&gt;20,M49&lt;=50),M49*1.5%,IF(AND(M49&gt;10,M49&lt;=20),M49*2%,IF(AND(M49&gt;1,M49&lt;=10),M49*2.5%)))))))))</f>
        <v>908.25</v>
      </c>
      <c r="M64" s="24">
        <f t="shared" ref="M64:M65" ca="1" si="1">ROUND(L64,1)</f>
        <v>908.3</v>
      </c>
      <c r="N64" s="138" t="s">
        <v>2243</v>
      </c>
      <c r="Z64" s="2418"/>
      <c r="AI64" s="2419"/>
    </row>
    <row r="65" spans="1:35" ht="14.25" customHeight="1">
      <c r="A65" s="197" t="s">
        <v>771</v>
      </c>
      <c r="B65" s="198" t="s">
        <v>2244</v>
      </c>
      <c r="C65" s="202"/>
      <c r="D65" s="200"/>
      <c r="E65" s="201"/>
      <c r="F65" s="2484"/>
      <c r="G65" s="2484"/>
      <c r="H65" s="2492"/>
      <c r="I65" s="138"/>
      <c r="J65" s="3309"/>
      <c r="K65" s="2494" t="s">
        <v>2245</v>
      </c>
      <c r="L65" s="1748">
        <f ca="1">IF(M49&gt;1000,M49*0.1%,IF(AND(M49&gt;500,M49&lt;=1000),M49*0.5%,IF(AND(M49&gt;50,M49&lt;=500),M49*1%,IF(AND(M49&gt;1,M49&lt;=50),M49*1.5%))))</f>
        <v>181.65</v>
      </c>
      <c r="M65" s="24">
        <f t="shared" ca="1" si="1"/>
        <v>181.7</v>
      </c>
      <c r="N65" s="138" t="s">
        <v>2243</v>
      </c>
      <c r="Z65" s="2418"/>
      <c r="AI65" s="2419"/>
    </row>
    <row r="66" spans="1:35" ht="14.25" customHeight="1">
      <c r="A66" s="203" t="s">
        <v>772</v>
      </c>
      <c r="B66" s="204" t="s">
        <v>2246</v>
      </c>
      <c r="C66" s="205"/>
      <c r="D66" s="206" t="s">
        <v>32</v>
      </c>
      <c r="E66" s="1772" t="s">
        <v>1367</v>
      </c>
      <c r="F66" s="2484"/>
      <c r="G66" s="2484"/>
      <c r="H66" s="2492"/>
      <c r="I66" s="138"/>
      <c r="J66" s="3309"/>
      <c r="K66" s="2494" t="s">
        <v>2247</v>
      </c>
      <c r="L66" s="1748">
        <f ca="1">M49*0.5%</f>
        <v>908.25</v>
      </c>
      <c r="M66" s="24">
        <f ca="1">IF(L66&gt;0.5,0.5,ROUND(L66,0))</f>
        <v>0.5</v>
      </c>
      <c r="N66" s="138" t="s">
        <v>2248</v>
      </c>
      <c r="Z66" s="2418"/>
      <c r="AI66" s="2419"/>
    </row>
    <row r="67" spans="1:35" ht="14.25" customHeight="1">
      <c r="A67" s="203" t="s">
        <v>773</v>
      </c>
      <c r="B67" s="204" t="s">
        <v>2249</v>
      </c>
      <c r="C67" s="207">
        <f ca="1">C63-C66</f>
        <v>173000</v>
      </c>
      <c r="D67" s="200" t="s">
        <v>32</v>
      </c>
      <c r="E67" s="201"/>
      <c r="F67" s="2484"/>
      <c r="G67" s="2484"/>
      <c r="H67" s="2492"/>
      <c r="I67" s="138"/>
      <c r="J67" s="3309"/>
      <c r="K67" s="2494" t="s">
        <v>2250</v>
      </c>
      <c r="L67" s="1748">
        <f ca="1">IF(M49&gt;=10000,(8.25+(M49-10000)*0.01%),IF(AND(M49&gt;=8000,M49&lt;10000),(7.85+(M49-8000)*0.02%),IF(AND(M49&gt;=5000,M49&lt;8000),(6.65+(M49-5000)*0.04%),IF(AND(M49&gt;=2000,M49&lt;5000),(4.25+(PM49-2000)*0.08%),IF(AND(M49&gt;=1000,M49&lt;2000),(2.75+(M49-1000)*0.15%),IF(AND(M49&gt;=100,M49&lt;1000),(0.5+(M49-100)*0.25%),IF(AND(M49&gt;0,M49&lt;100),M49*0.5%)))))))</f>
        <v>25.414999999999999</v>
      </c>
      <c r="M67" s="24">
        <f ca="1">ROUND(L67*0.9,1)</f>
        <v>22.9</v>
      </c>
      <c r="Z67" s="2418"/>
      <c r="AI67" s="2419"/>
    </row>
    <row r="68" spans="1:35" ht="14.25" customHeight="1" thickBot="1">
      <c r="A68" s="208" t="s">
        <v>774</v>
      </c>
      <c r="B68" s="209" t="s">
        <v>2251</v>
      </c>
      <c r="C68" s="210">
        <f ca="1">IF(C67&lt;=0,0,ROUND(C67*D68,0))</f>
        <v>9688</v>
      </c>
      <c r="D68" s="211">
        <f>'数据-取费表'!B41</f>
        <v>5.6000000000000001E-2</v>
      </c>
      <c r="E68" s="212"/>
      <c r="F68" s="2484"/>
      <c r="G68" s="2484"/>
      <c r="H68" s="2492"/>
      <c r="I68" s="138"/>
      <c r="J68" s="3309"/>
      <c r="K68" s="2494" t="s">
        <v>2252</v>
      </c>
      <c r="L68" s="1748">
        <f ca="1">IF(M49&gt;10000,M49*0.5%,IF(AND(M49&gt;5000,M49&lt;=10000),M49*1%,IF(AND(M49&gt;1000,M49&lt;=5000),M49*2%,IF(AND(M49&gt;200,M49&lt;=1000),M49*3%,M49*5%))))</f>
        <v>908.25</v>
      </c>
      <c r="M68" s="24">
        <f ca="1">ROUND(L68,1)</f>
        <v>908.3</v>
      </c>
      <c r="Z68" s="2418"/>
      <c r="AI68" s="2419"/>
    </row>
    <row r="69" spans="1:35" s="2441" customFormat="1" ht="16.5" customHeight="1">
      <c r="A69" s="2495"/>
      <c r="B69" s="2496"/>
      <c r="C69" s="2497"/>
      <c r="D69" s="2498"/>
      <c r="E69" s="2499"/>
      <c r="F69" s="2160"/>
      <c r="G69" s="2160"/>
      <c r="H69" s="2159"/>
      <c r="I69" s="2413"/>
      <c r="J69" s="3309"/>
      <c r="K69" s="2494" t="s">
        <v>2253</v>
      </c>
      <c r="L69" s="2500"/>
      <c r="M69" s="24">
        <f ca="1">ROUND(SUM(M63:M68),0)</f>
        <v>2930</v>
      </c>
      <c r="N69" s="1749">
        <f ca="1">M69/M49</f>
        <v>1.6129920176162951E-2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4.5" thickBot="1">
      <c r="A70" s="3268" t="s">
        <v>2254</v>
      </c>
      <c r="B70" s="3269"/>
      <c r="C70" s="3269"/>
      <c r="D70" s="3269"/>
      <c r="E70" s="3269"/>
      <c r="F70" s="3269"/>
      <c r="G70" s="3269"/>
      <c r="H70" s="326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
      <c r="A71" s="3247" t="s">
        <v>2235</v>
      </c>
      <c r="B71" s="3248"/>
      <c r="C71" s="1800"/>
      <c r="D71" s="1800"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
      <c r="A72" s="203" t="s">
        <v>775</v>
      </c>
      <c r="B72" s="204" t="s">
        <v>2255</v>
      </c>
      <c r="C72" s="207">
        <f ca="1">ROUND(D45/(1+'数据-取费表'!C42),0)</f>
        <v>173000</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
      <c r="A73" s="203" t="s">
        <v>772</v>
      </c>
      <c r="B73" s="173" t="s">
        <v>2256</v>
      </c>
      <c r="C73" s="207">
        <f ca="1">C74+C78</f>
        <v>1038</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6">
      <c r="A74" s="217" t="s">
        <v>770</v>
      </c>
      <c r="B74" s="198" t="s">
        <v>2257</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242" t="s">
        <v>2263</v>
      </c>
      <c r="F76" s="3219"/>
      <c r="G76" s="3219"/>
      <c r="H76" s="326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1038</v>
      </c>
      <c r="D78" s="226">
        <f>'数据-取费表'!B43</f>
        <v>6.000000000000001E-3</v>
      </c>
      <c r="E78" s="3228" t="s">
        <v>2268</v>
      </c>
      <c r="F78" s="3229"/>
      <c r="G78" s="3229"/>
      <c r="H78" s="323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
      <c r="A79" s="2510" t="s">
        <v>779</v>
      </c>
      <c r="B79" s="204" t="s">
        <v>2269</v>
      </c>
      <c r="C79" s="207">
        <f ca="1">C72-C73</f>
        <v>171962</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6">
      <c r="A80" s="2510" t="s">
        <v>780</v>
      </c>
      <c r="B80" s="204" t="s">
        <v>2270</v>
      </c>
      <c r="C80" s="227">
        <f ca="1">IF(C79&lt;=0,0,C79/C73)</f>
        <v>165.66666666666666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6.5" thickBot="1">
      <c r="A81" s="2511" t="s">
        <v>781</v>
      </c>
      <c r="B81" s="209" t="s">
        <v>2271</v>
      </c>
      <c r="C81" s="228">
        <f ca="1">ROUND(IF(C79&lt;=0,0,IF(C80&gt;=200%,C79*60%-C73*35%,IF(C80&gt;=100%,C79*50%-C73*15%,IF(C80&gt;=50%,C79*40%-C73*5%,IF(C80&lt;50%,C79*30%,0))))),0)</f>
        <v>102814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5" thickBot="1">
      <c r="A83" s="3268" t="s">
        <v>2272</v>
      </c>
      <c r="B83" s="3269"/>
      <c r="C83" s="3269"/>
      <c r="D83" s="3269"/>
      <c r="E83" s="3269"/>
      <c r="F83" s="3269"/>
      <c r="G83" s="3269"/>
      <c r="H83" s="326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
      <c r="A84" s="3247" t="s">
        <v>2235</v>
      </c>
      <c r="B84" s="3248"/>
      <c r="C84" s="1800"/>
      <c r="D84" s="1800"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
      <c r="A85" s="203" t="s">
        <v>775</v>
      </c>
      <c r="B85" s="204" t="s">
        <v>2255</v>
      </c>
      <c r="C85" s="207">
        <f ca="1">ROUND(D45/(1+'数据-取费表'!C42),0)</f>
        <v>173000</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
      <c r="A86" s="203" t="s">
        <v>772</v>
      </c>
      <c r="B86" s="173" t="s">
        <v>2256</v>
      </c>
      <c r="C86" s="207">
        <f ca="1">IF(H88="仅含出让金",C87+C90+C91+C92+C93+C94,C87+C91+C92+C93+C94)</f>
        <v>1038</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
      <c r="A87" s="217" t="s">
        <v>770</v>
      </c>
      <c r="B87" s="198" t="s">
        <v>2273</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
      <c r="A88" s="217" t="s">
        <v>776</v>
      </c>
      <c r="B88" s="198" t="s">
        <v>2274</v>
      </c>
      <c r="C88" s="236"/>
      <c r="D88" s="226"/>
      <c r="E88" s="237" t="s">
        <v>2275</v>
      </c>
      <c r="F88" s="1796"/>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
      <c r="A89" s="217" t="s">
        <v>777</v>
      </c>
      <c r="B89" s="198" t="s">
        <v>2264</v>
      </c>
      <c r="C89" s="225">
        <f>ROUND(C88*D89,0)</f>
        <v>0</v>
      </c>
      <c r="D89" s="226">
        <f>'数据-取费表'!B48+'数据-取费表'!B49</f>
        <v>3.0499999999999999E-2</v>
      </c>
      <c r="E89" s="237" t="s">
        <v>2277</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
      <c r="A90" s="217" t="s">
        <v>771</v>
      </c>
      <c r="B90" s="198" t="s">
        <v>2278</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228" t="s">
        <v>2281</v>
      </c>
      <c r="F91" s="3229"/>
      <c r="G91" s="3229"/>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228" t="s">
        <v>2285</v>
      </c>
      <c r="F92" s="3229"/>
      <c r="G92" s="3229"/>
      <c r="H92" s="323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1038</v>
      </c>
      <c r="D93" s="226">
        <f>'数据-取费表'!B43</f>
        <v>6.000000000000001E-3</v>
      </c>
      <c r="E93" s="3228" t="s">
        <v>2268</v>
      </c>
      <c r="F93" s="3229"/>
      <c r="G93" s="3229"/>
      <c r="H93" s="323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239" t="s">
        <v>2289</v>
      </c>
      <c r="F94" s="3240"/>
      <c r="G94" s="3240"/>
      <c r="H94" s="324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
      <c r="A95" s="2510" t="s">
        <v>779</v>
      </c>
      <c r="B95" s="204" t="s">
        <v>2269</v>
      </c>
      <c r="C95" s="207">
        <f ca="1">ROUND(C85-C86,0)</f>
        <v>171962</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6">
      <c r="A96" s="2510" t="s">
        <v>780</v>
      </c>
      <c r="B96" s="204" t="s">
        <v>2270</v>
      </c>
      <c r="C96" s="227">
        <f ca="1">IF(C95&lt;=0,0,C95/C86)</f>
        <v>165.66666666666666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6.5" thickBot="1">
      <c r="A97" s="2511" t="s">
        <v>781</v>
      </c>
      <c r="B97" s="209" t="s">
        <v>2271</v>
      </c>
      <c r="C97" s="228">
        <f ca="1">ROUND(IF(C95&lt;=0,0,IF(C96&gt;=200%,C95*60%-C86*35%,IF(C96&gt;=100%,C95*50%-C86*15%,IF(C96&gt;=50%,C95*40%-C86*5%,IF(C96&lt;50%,C95*30%,0))))),0)</f>
        <v>102814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213" t="s">
        <v>2291</v>
      </c>
      <c r="B100" s="3214"/>
      <c r="C100" s="3214"/>
      <c r="D100" s="3230"/>
      <c r="E100" s="3214" t="s">
        <v>2292</v>
      </c>
      <c r="F100" s="3214"/>
      <c r="G100" s="3214"/>
      <c r="H100" s="3230"/>
      <c r="I100" s="138"/>
    </row>
    <row r="101" spans="1:35" ht="18.75" customHeight="1">
      <c r="A101" s="3292" t="s">
        <v>2293</v>
      </c>
      <c r="B101" s="3293"/>
      <c r="C101" s="736" t="str">
        <f>C4</f>
        <v>成本法</v>
      </c>
      <c r="D101" s="737" t="str">
        <f>D4</f>
        <v>假设开发法</v>
      </c>
      <c r="E101" s="3306" t="s">
        <v>2294</v>
      </c>
      <c r="F101" s="3260"/>
      <c r="G101" s="2515" t="s">
        <v>2295</v>
      </c>
      <c r="H101" s="1045">
        <f ca="1">H118</f>
        <v>181650</v>
      </c>
      <c r="I101" s="138"/>
    </row>
    <row r="102" spans="1:35" ht="18.75" customHeight="1">
      <c r="A102" s="3262" t="s">
        <v>2296</v>
      </c>
      <c r="B102" s="2515" t="s">
        <v>2295</v>
      </c>
      <c r="C102" s="736">
        <f ca="1">C19</f>
        <v>93386</v>
      </c>
      <c r="D102" s="737">
        <f ca="1">D19</f>
        <v>240492</v>
      </c>
      <c r="E102" s="3306"/>
      <c r="F102" s="3260"/>
      <c r="G102" s="2515" t="s">
        <v>2297</v>
      </c>
      <c r="H102" s="371">
        <f ca="1">I118</f>
        <v>22440</v>
      </c>
      <c r="I102" s="138"/>
    </row>
    <row r="103" spans="1:35" ht="42.75" customHeight="1">
      <c r="A103" s="3262"/>
      <c r="B103" s="2515" t="s">
        <v>2297</v>
      </c>
      <c r="C103" s="738">
        <f ca="1">C20</f>
        <v>8738</v>
      </c>
      <c r="D103" s="739">
        <f ca="1">D20</f>
        <v>22502</v>
      </c>
      <c r="E103" s="3301" t="s">
        <v>2298</v>
      </c>
      <c r="F103" s="3302"/>
      <c r="G103" s="2516" t="s">
        <v>2299</v>
      </c>
      <c r="H103" s="1045">
        <f>IF(D36="正常操作",H104+H105+H106,H105+H106)</f>
        <v>0</v>
      </c>
      <c r="I103" s="138"/>
    </row>
    <row r="104" spans="1:35" ht="18.75" customHeight="1">
      <c r="A104" s="3262" t="s">
        <v>2300</v>
      </c>
      <c r="B104" s="2517" t="s">
        <v>2295</v>
      </c>
      <c r="C104" s="740">
        <f ca="1">H118</f>
        <v>181650</v>
      </c>
      <c r="D104" s="741"/>
      <c r="E104" s="2261" t="s">
        <v>2301</v>
      </c>
      <c r="F104" s="2252"/>
      <c r="G104" s="2516" t="s">
        <v>2299</v>
      </c>
      <c r="H104" s="1046">
        <f>IF(D36="同一抵押权人同一抵押物续贷",C36&amp;"（未扣减，详见特别提示）",C36)</f>
        <v>0</v>
      </c>
      <c r="I104" s="138"/>
    </row>
    <row r="105" spans="1:35" ht="18.75" customHeight="1" thickBot="1">
      <c r="A105" s="3263"/>
      <c r="B105" s="2518" t="s">
        <v>2297</v>
      </c>
      <c r="C105" s="742">
        <f ca="1">I118</f>
        <v>22440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259" t="str">
        <f>IF(项目基本情况!E8="已注销","——","3.房地产抵押价值")</f>
        <v>3.房地产抵押价值</v>
      </c>
      <c r="F107" s="3260"/>
      <c r="G107" s="2515" t="s">
        <v>2295</v>
      </c>
      <c r="H107" s="1045">
        <f ca="1">IF(E107="——","——",H101-H103)</f>
        <v>181650</v>
      </c>
      <c r="I107" s="138"/>
    </row>
    <row r="108" spans="1:35" ht="18.75" customHeight="1">
      <c r="A108" s="138"/>
      <c r="B108" s="138"/>
      <c r="C108" s="138"/>
      <c r="D108" s="138"/>
      <c r="E108" s="3259"/>
      <c r="F108" s="3260"/>
      <c r="G108" s="2515" t="s">
        <v>2297</v>
      </c>
      <c r="H108" s="371">
        <f ca="1">ROUND(H107*10000/'数据-汇总表'!E3,0)</f>
        <v>16997</v>
      </c>
      <c r="I108" s="138"/>
    </row>
    <row r="109" spans="1:35" ht="18.75" customHeight="1">
      <c r="A109" s="138"/>
      <c r="B109" s="138"/>
      <c r="C109" s="138"/>
      <c r="D109" s="138"/>
      <c r="E109" s="3259" t="str">
        <f>IF(项目基本情况!E8="已注销及未注销","4.抵押担保权已注销时的房地产抵押价值",IF(项目基本情况!E8="已注销","3.抵押担保权已注销时的房地产抵押价值","——"))</f>
        <v>——</v>
      </c>
      <c r="F109" s="3260"/>
      <c r="G109" s="2515" t="s">
        <v>2295</v>
      </c>
      <c r="H109" s="348" t="str">
        <f>IF(E109="——","——",H101-H105-H106)</f>
        <v>——</v>
      </c>
      <c r="I109" s="138"/>
    </row>
    <row r="110" spans="1:35" ht="18.75" customHeight="1">
      <c r="A110" s="138"/>
      <c r="B110" s="138"/>
      <c r="C110" s="138"/>
      <c r="D110" s="138"/>
      <c r="E110" s="3259"/>
      <c r="F110" s="3260"/>
      <c r="G110" s="2515" t="s">
        <v>2297</v>
      </c>
      <c r="H110" s="371" t="str">
        <f>IF(H109="——","——",ROUND(H109*10000/'数据-汇总表'!E3,0))</f>
        <v>——</v>
      </c>
      <c r="I110" s="138"/>
    </row>
    <row r="111" spans="1:35" ht="18.75" customHeight="1">
      <c r="A111" s="138"/>
      <c r="B111" s="138"/>
      <c r="C111" s="138"/>
      <c r="D111" s="138"/>
      <c r="E111" s="3294" t="str">
        <f>IF(项目基本情况!E9="抵押净值",IF(OR(项目基本情况!E8="已注销",项目基本情况!E8="房地产抵押价值"),"4.抵押净值","5.抵押净值"),"——")</f>
        <v>——</v>
      </c>
      <c r="F111" s="3295"/>
      <c r="G111" s="2515" t="s">
        <v>2295</v>
      </c>
      <c r="H111" s="1045" t="str">
        <f>IF(E111="——","——",N59)</f>
        <v>——</v>
      </c>
      <c r="I111" s="138"/>
    </row>
    <row r="112" spans="1:35" ht="18.75" customHeight="1" thickBot="1">
      <c r="A112" s="138"/>
      <c r="B112" s="138"/>
      <c r="C112" s="138"/>
      <c r="D112" s="138"/>
      <c r="E112" s="3296"/>
      <c r="F112" s="3297"/>
      <c r="G112" s="2520" t="s">
        <v>2297</v>
      </c>
      <c r="H112" s="790" t="str">
        <f>IF(E111="——","——",N61)</f>
        <v>——</v>
      </c>
      <c r="I112" s="138"/>
    </row>
    <row r="113" spans="1:11" ht="18.75" customHeight="1">
      <c r="A113" s="138"/>
      <c r="B113" s="138"/>
      <c r="C113" s="138"/>
      <c r="D113" s="138"/>
      <c r="E113" s="3264" t="s">
        <v>2303</v>
      </c>
      <c r="F113" s="3264"/>
      <c r="G113" s="3264"/>
      <c r="H113" s="3264"/>
      <c r="I113" s="138"/>
    </row>
    <row r="114" spans="1:11" ht="3.75" customHeight="1">
      <c r="A114" s="2413"/>
      <c r="B114" s="2413"/>
      <c r="C114" s="2413"/>
      <c r="D114" s="2413"/>
      <c r="E114" s="2491"/>
      <c r="F114" s="2491"/>
      <c r="G114" s="2491"/>
      <c r="H114" s="2491"/>
      <c r="I114" s="2413"/>
    </row>
    <row r="115" spans="1:11" ht="18.75" customHeight="1">
      <c r="A115" s="3277" t="s">
        <v>2305</v>
      </c>
      <c r="B115" s="3278"/>
      <c r="C115" s="3278"/>
      <c r="D115" s="3278"/>
      <c r="E115" s="3278"/>
      <c r="F115" s="3278"/>
      <c r="G115" s="3278"/>
      <c r="H115" s="3278"/>
      <c r="I115" s="3279"/>
    </row>
    <row r="116" spans="1:11" ht="27" customHeight="1">
      <c r="A116" s="3112" t="s">
        <v>2306</v>
      </c>
      <c r="B116" s="3265" t="s">
        <v>2307</v>
      </c>
      <c r="C116" s="3265" t="s">
        <v>2308</v>
      </c>
      <c r="D116" s="3281" t="s">
        <v>2309</v>
      </c>
      <c r="E116" s="3282"/>
      <c r="F116" s="3273" t="s">
        <v>2310</v>
      </c>
      <c r="G116" s="3273"/>
      <c r="H116" s="3112" t="s">
        <v>2311</v>
      </c>
      <c r="I116" s="3112"/>
    </row>
    <row r="117" spans="1:11" ht="18.75" customHeight="1">
      <c r="A117" s="3112"/>
      <c r="B117" s="3266"/>
      <c r="C117" s="3266"/>
      <c r="D117" s="1794" t="s">
        <v>2312</v>
      </c>
      <c r="E117" s="1794" t="s">
        <v>2313</v>
      </c>
      <c r="F117" s="1794" t="s">
        <v>2312</v>
      </c>
      <c r="G117" s="1794" t="s">
        <v>2314</v>
      </c>
      <c r="H117" s="1794" t="s">
        <v>2312</v>
      </c>
      <c r="I117" s="1794" t="s">
        <v>2314</v>
      </c>
    </row>
    <row r="118" spans="1:11" ht="24.75" customHeight="1">
      <c r="A118" s="2521" t="str">
        <f>项目基本情况!S2</f>
        <v>海南省三亚市海棠湾镇海棠湾旅游区出让国有建设用地使用权及在建建筑物房地产</v>
      </c>
      <c r="B118" s="1794">
        <f>M18</f>
        <v>80948.100000000006</v>
      </c>
      <c r="C118" s="1794">
        <f>M19</f>
        <v>88343.87</v>
      </c>
      <c r="D118" s="1794">
        <f ca="1">ROUND(IF(D32="总价",C34,E118*B118/10000),0)</f>
        <v>147681</v>
      </c>
      <c r="E118" s="1794">
        <f ca="1">ROUND(IF(C33="自定义",IF(D32="楼面单价",C34,D118*10000/B118),I118-G118),0)</f>
        <v>18244</v>
      </c>
      <c r="F118" s="1794">
        <f ca="1">ROUND(IF(D32="总价",C35,G118*B118/10000),0)</f>
        <v>33969</v>
      </c>
      <c r="G118" s="1794">
        <f ca="1">ROUND(IF(D32="楼面单价",C35,F118*10000/B118),0)</f>
        <v>4196</v>
      </c>
      <c r="H118" s="1794">
        <f ca="1">ROUND(IF(D32="总价",C32,I118*B118/10000),0)</f>
        <v>181650</v>
      </c>
      <c r="I118" s="1794">
        <f ca="1">ROUND(IF(D32="楼面单价",C32,H118*10000/B118),0)</f>
        <v>22440</v>
      </c>
    </row>
    <row r="119" spans="1:11" ht="18.75" customHeight="1">
      <c r="A119" s="3112" t="s">
        <v>2315</v>
      </c>
      <c r="B119" s="3112"/>
      <c r="C119" s="3112"/>
      <c r="D119" s="3270" t="str">
        <f ca="1">NUMBERSTRING(INT(D118*10000),2)&amp;"元整"</f>
        <v>壹拾肆亿柒仟陆佰捌拾壹万元整</v>
      </c>
      <c r="E119" s="3272"/>
      <c r="F119" s="3270" t="str">
        <f ca="1">NUMBERSTRING(INT(F118*10000),2)&amp;"元整"</f>
        <v>叁亿叁仟玖佰陆拾玖万元整</v>
      </c>
      <c r="G119" s="3272"/>
      <c r="H119" s="3270" t="str">
        <f ca="1">NUMBERSTRING(INT(H118*10000),2)&amp;"元整"</f>
        <v>壹拾捌亿壹仟陆佰伍拾万元整</v>
      </c>
      <c r="I119" s="3272"/>
    </row>
    <row r="120" spans="1:11" ht="18.75" customHeight="1">
      <c r="A120" s="3298" t="str">
        <f>IF(项目基本情况!B9="房地产市场价值","",MID(E103,3,LEN(E103)-2))</f>
        <v>估价师知悉的法定优先受偿款</v>
      </c>
      <c r="B120" s="3299"/>
      <c r="C120" s="3300"/>
      <c r="D120" s="3298">
        <f>H103</f>
        <v>0</v>
      </c>
      <c r="E120" s="3299"/>
      <c r="F120" s="3299"/>
      <c r="G120" s="3299"/>
      <c r="H120" s="3299"/>
      <c r="I120" s="3300"/>
      <c r="K120" s="2418" t="str">
        <f>IF(D120=0,"故，本次评估不存在"&amp;A120,"故，本次评估"&amp;A120&amp;"为人民币"&amp;D120&amp;"万元整。")</f>
        <v>故，本次评估不存在估价师知悉的法定优先受偿款</v>
      </c>
    </row>
    <row r="121" spans="1:11" ht="18.75" customHeight="1">
      <c r="A121" s="3274" t="s">
        <v>2315</v>
      </c>
      <c r="B121" s="3275"/>
      <c r="C121" s="3276"/>
      <c r="D121" s="3270" t="str">
        <f>IF(D120=0,"零元整",NUMBERSTRING(INT(D120*10000),2)&amp;"元整")</f>
        <v>零元整</v>
      </c>
      <c r="E121" s="3271"/>
      <c r="F121" s="3271"/>
      <c r="G121" s="3271"/>
      <c r="H121" s="3271"/>
      <c r="I121" s="3272"/>
    </row>
    <row r="122" spans="1:11" ht="18.75" customHeight="1">
      <c r="A122" s="3261" t="str">
        <f>IF(项目基本情况!B9="房地产市场价值","",MID(E107,3,LEN(E107)-2))</f>
        <v>房地产抵押价值</v>
      </c>
      <c r="B122" s="3261"/>
      <c r="C122" s="3261"/>
      <c r="D122" s="3298">
        <f ca="1">H107</f>
        <v>181650</v>
      </c>
      <c r="E122" s="3299"/>
      <c r="F122" s="3299"/>
      <c r="G122" s="3299"/>
      <c r="H122" s="3299"/>
      <c r="I122" s="3300"/>
    </row>
    <row r="123" spans="1:11" ht="18.75" customHeight="1">
      <c r="A123" s="3112" t="s">
        <v>2315</v>
      </c>
      <c r="B123" s="3112"/>
      <c r="C123" s="3112"/>
      <c r="D123" s="3270" t="str">
        <f ca="1">NUMBERSTRING(INT(D122*10000),2)&amp;"元整"</f>
        <v>壹拾捌亿壹仟陆佰伍拾万元整</v>
      </c>
      <c r="E123" s="3271"/>
      <c r="F123" s="3271"/>
      <c r="G123" s="3271"/>
      <c r="H123" s="3271"/>
      <c r="I123" s="3272"/>
    </row>
    <row r="124" spans="1:11" ht="18.75" customHeight="1">
      <c r="A124" s="3261" t="str">
        <f>IF(项目基本情况!B9="房地产市场价值","",MID(E109,3,LEN(E109)-2))</f>
        <v/>
      </c>
      <c r="B124" s="3261"/>
      <c r="C124" s="3261"/>
      <c r="D124" s="3298" t="str">
        <f>H109</f>
        <v>——</v>
      </c>
      <c r="E124" s="3299"/>
      <c r="F124" s="3299"/>
      <c r="G124" s="3299"/>
      <c r="H124" s="3299"/>
      <c r="I124" s="3300"/>
    </row>
    <row r="125" spans="1:11" ht="18.75" customHeight="1">
      <c r="A125" s="3112" t="s">
        <v>2315</v>
      </c>
      <c r="B125" s="3112"/>
      <c r="C125" s="3112"/>
      <c r="D125" s="3270" t="e">
        <f>NUMBERSTRING(INT(D124*10000),2)&amp;"元整"</f>
        <v>#VALUE!</v>
      </c>
      <c r="E125" s="3271"/>
      <c r="F125" s="3271"/>
      <c r="G125" s="3271"/>
      <c r="H125" s="3271"/>
      <c r="I125" s="3272"/>
    </row>
    <row r="126" spans="1:11" ht="18.75" customHeight="1">
      <c r="A126" s="3261" t="str">
        <f>IF(项目基本情况!B9="房地产市场价值","",MID(E111,3,LEN(E111)-2))</f>
        <v/>
      </c>
      <c r="B126" s="3261"/>
      <c r="C126" s="3261"/>
      <c r="D126" s="3298" t="str">
        <f>H111</f>
        <v>——</v>
      </c>
      <c r="E126" s="3299"/>
      <c r="F126" s="3299"/>
      <c r="G126" s="3299"/>
      <c r="H126" s="3299"/>
      <c r="I126" s="3300"/>
    </row>
    <row r="127" spans="1:11" ht="18.75" customHeight="1">
      <c r="A127" s="3112" t="s">
        <v>2315</v>
      </c>
      <c r="B127" s="3112"/>
      <c r="C127" s="3112"/>
      <c r="D127" s="3270" t="e">
        <f>NUMBERSTRING(INT(D126*10000),2)&amp;"元整"</f>
        <v>#VALUE!</v>
      </c>
      <c r="E127" s="3271"/>
      <c r="F127" s="3271"/>
      <c r="G127" s="3271"/>
      <c r="H127" s="3271"/>
      <c r="I127" s="3272"/>
    </row>
    <row r="128" spans="1:11" ht="21.75" customHeight="1">
      <c r="A128" s="3280" t="s">
        <v>2316</v>
      </c>
      <c r="B128" s="3280"/>
      <c r="C128" s="3280"/>
      <c r="D128" s="3280"/>
      <c r="E128" s="3280"/>
      <c r="F128" s="3280"/>
      <c r="G128" s="3280"/>
      <c r="H128" s="3280"/>
      <c r="I128" s="328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topLeftCell="A34" workbookViewId="0">
      <selection activeCell="D10" sqref="D10"/>
    </sheetView>
  </sheetViews>
  <sheetFormatPr defaultColWidth="8.36328125" defaultRowHeight="12.5"/>
  <cols>
    <col min="1" max="1" width="10.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2324</v>
      </c>
      <c r="B1" s="1935"/>
      <c r="C1" s="242"/>
      <c r="D1" s="242"/>
      <c r="E1" s="242"/>
      <c r="F1" s="242"/>
      <c r="G1" s="1379">
        <f>MATCH(B1,'数据-取费表'!A6:A16,0)+5</f>
        <v>8</v>
      </c>
    </row>
    <row r="2" spans="1:9" s="244" customFormat="1" ht="18" customHeight="1">
      <c r="A2" s="245" t="s">
        <v>2325</v>
      </c>
      <c r="B2" s="246">
        <f ca="1">IF(D2="——",C52,C52-E2)</f>
        <v>93386</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8738</v>
      </c>
      <c r="C3" s="243" t="s">
        <v>2328</v>
      </c>
      <c r="D3" s="243"/>
      <c r="E3" s="243"/>
      <c r="F3" s="243"/>
      <c r="G3" s="243"/>
    </row>
    <row r="4" spans="1:9" s="252" customFormat="1" ht="16">
      <c r="A4" s="249" t="s">
        <v>2329</v>
      </c>
      <c r="B4" s="250"/>
      <c r="C4" s="250"/>
      <c r="D4" s="250"/>
      <c r="E4" s="250"/>
      <c r="F4" s="250"/>
      <c r="G4" s="251"/>
    </row>
    <row r="5" spans="1:9" s="258" customFormat="1" ht="13.5" customHeight="1">
      <c r="A5" s="299" t="s">
        <v>2330</v>
      </c>
      <c r="B5" s="254" t="s">
        <v>2331</v>
      </c>
      <c r="C5" s="255">
        <f>C6+C7+C8</f>
        <v>63285</v>
      </c>
      <c r="D5" s="255" t="s">
        <v>2332</v>
      </c>
      <c r="E5" s="256" t="s">
        <v>2333</v>
      </c>
      <c r="F5" s="256" t="s">
        <v>2334</v>
      </c>
      <c r="G5" s="257"/>
    </row>
    <row r="6" spans="1:9" s="258" customFormat="1" ht="13.5" customHeight="1">
      <c r="A6" s="949" t="s">
        <v>2335</v>
      </c>
      <c r="B6" s="259" t="s">
        <v>2336</v>
      </c>
      <c r="C6" s="260">
        <f>'土地比较法-住宅、综合'!B2</f>
        <v>59314</v>
      </c>
      <c r="D6" s="261"/>
      <c r="E6" s="262"/>
      <c r="F6" s="262"/>
      <c r="G6" s="263"/>
    </row>
    <row r="7" spans="1:9" s="258" customFormat="1" ht="13.5" customHeight="1">
      <c r="A7" s="949" t="s">
        <v>2337</v>
      </c>
      <c r="B7" s="259" t="s">
        <v>2338</v>
      </c>
      <c r="C7" s="264">
        <f>ROUND(C6*F7,0)</f>
        <v>1809</v>
      </c>
      <c r="D7" s="264"/>
      <c r="E7" s="262"/>
      <c r="F7" s="265">
        <f>IF(项目基本情况!B8="出让",0,'数据-取费表'!B48+'数据-取费表'!B49)</f>
        <v>3.0499999999999999E-2</v>
      </c>
      <c r="G7" s="263"/>
    </row>
    <row r="8" spans="1:9" s="267" customFormat="1" ht="13">
      <c r="A8" s="949" t="s">
        <v>2339</v>
      </c>
      <c r="B8" s="259" t="s">
        <v>2340</v>
      </c>
      <c r="C8" s="264">
        <f>IF(G8="已包含在土地购买价格中","0",IF(B1="",'数据-取费表'!B29,IF(G9="全部缴纳",C9+C10,H9)))</f>
        <v>2162</v>
      </c>
      <c r="D8" s="266"/>
      <c r="E8" s="264"/>
      <c r="F8" s="265"/>
      <c r="G8" s="2547" t="s">
        <v>3276</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220</v>
      </c>
      <c r="F9" s="265"/>
      <c r="G9" s="2548" t="s">
        <v>3277</v>
      </c>
      <c r="H9" s="1390"/>
      <c r="I9" s="2549" t="s">
        <v>2342</v>
      </c>
    </row>
    <row r="10" spans="1:9" s="258" customFormat="1" ht="13.5" customHeight="1">
      <c r="A10" s="950" t="s">
        <v>801</v>
      </c>
      <c r="B10" s="268" t="s">
        <v>2343</v>
      </c>
      <c r="C10" s="269">
        <f>ROUND(D10*E10/10000,0)</f>
        <v>2162</v>
      </c>
      <c r="D10" s="3024">
        <f>'未售3.23'!S21</f>
        <v>98274.1</v>
      </c>
      <c r="E10" s="269">
        <f>'数据-取费表'!B28</f>
        <v>220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3028">
        <f ca="1">D9+D10</f>
        <v>98274.1</v>
      </c>
      <c r="E19" s="255">
        <f>'数据-取费表'!B31</f>
        <v>200</v>
      </c>
      <c r="F19" s="275"/>
      <c r="G19" s="2547" t="s">
        <v>3278</v>
      </c>
    </row>
    <row r="20" spans="1:7" s="258" customFormat="1" ht="13.5" customHeight="1">
      <c r="A20" s="299" t="s">
        <v>2356</v>
      </c>
      <c r="B20" s="254" t="s">
        <v>2357</v>
      </c>
      <c r="C20" s="276">
        <f>ROUND((C5+C19)*F20,0)</f>
        <v>1899</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1364</v>
      </c>
      <c r="D22" s="279">
        <f ca="1">C26</f>
        <v>2.9999999999999997E-4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1344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6">
      <c r="A25" s="951" t="s">
        <v>2371</v>
      </c>
      <c r="B25" s="259" t="s">
        <v>2372</v>
      </c>
      <c r="C25" s="1355">
        <f ca="1">ROUND(IF('数据-取费表'!B22&lt;=1,C20*F22*'数据-取费表'!B23/2,C20*(POWER((1+F22),'数据-取费表'!B23/2)-1)),0)</f>
        <v>20</v>
      </c>
      <c r="D25" s="282"/>
      <c r="E25" s="285"/>
      <c r="F25" s="283"/>
      <c r="G25" s="286" t="s">
        <v>2373</v>
      </c>
    </row>
    <row r="26" spans="1:7" s="258" customFormat="1" ht="13">
      <c r="A26" s="951" t="s">
        <v>795</v>
      </c>
      <c r="B26" s="259" t="s">
        <v>2374</v>
      </c>
      <c r="C26" s="282">
        <f ca="1">ROUND(IF('数据-取费表'!B22&lt;=1,F21*F22*'数据-取费表'!B23/2,F21*(POWER((1+F22),'数据-取费表'!B23/2)-1)),4)</f>
        <v>2.9999999999999997E-4</v>
      </c>
      <c r="D26" s="282"/>
      <c r="E26" s="285"/>
      <c r="F26" s="283"/>
      <c r="G26" s="287"/>
    </row>
    <row r="27" spans="1:7" s="258" customFormat="1" ht="27">
      <c r="A27" s="299" t="s">
        <v>2375</v>
      </c>
      <c r="B27" s="288" t="s">
        <v>2376</v>
      </c>
      <c r="C27" s="289">
        <f ca="1">C28</f>
        <v>2953</v>
      </c>
      <c r="D27" s="279">
        <f ca="1">C29</f>
        <v>1.4E-3</v>
      </c>
      <c r="E27" s="280" t="s">
        <v>2377</v>
      </c>
      <c r="F27" s="290">
        <f ca="1">IF(B1="",'数据-取费表'!Q16,INDIRECT("'数据-取费表'!q"&amp;$G$1))</f>
        <v>0.3</v>
      </c>
      <c r="G27" s="291" t="s">
        <v>2378</v>
      </c>
    </row>
    <row r="28" spans="1:7" s="258" customFormat="1" ht="13.5" customHeight="1">
      <c r="A28" s="951" t="s">
        <v>791</v>
      </c>
      <c r="B28" s="292" t="s">
        <v>2379</v>
      </c>
      <c r="C28" s="293">
        <f ca="1">ROUND((C5+C19+C20)*F27*'数据-取费表'!B21/'数据-取费表'!B20,0)</f>
        <v>2953</v>
      </c>
      <c r="D28" s="279"/>
      <c r="E28" s="280"/>
      <c r="F28" s="290"/>
      <c r="G28" s="291"/>
    </row>
    <row r="29" spans="1:7" s="258" customFormat="1" ht="13.5" customHeight="1">
      <c r="A29" s="951" t="s">
        <v>792</v>
      </c>
      <c r="B29" s="292" t="s">
        <v>2380</v>
      </c>
      <c r="C29" s="282">
        <f ca="1">ROUND(C21*F27*'数据-取费表'!B21/'数据-取费表'!B20,4)</f>
        <v>1.4E-3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75957</v>
      </c>
      <c r="D31" s="274"/>
      <c r="E31" s="255"/>
      <c r="F31" s="294"/>
      <c r="G31" s="278" t="s">
        <v>2385</v>
      </c>
    </row>
    <row r="32" spans="1:7" s="252" customFormat="1" ht="16">
      <c r="A32" s="296" t="s">
        <v>2386</v>
      </c>
      <c r="B32" s="297"/>
      <c r="C32" s="297"/>
      <c r="D32" s="297"/>
      <c r="E32" s="297"/>
      <c r="F32" s="297"/>
      <c r="G32" s="298"/>
    </row>
    <row r="33" spans="1:7" s="258" customFormat="1" ht="13.5" customHeight="1">
      <c r="A33" s="299" t="s">
        <v>782</v>
      </c>
      <c r="B33" s="254" t="s">
        <v>2387</v>
      </c>
      <c r="C33" s="300">
        <f ca="1">SUM(C34:C38)</f>
        <v>11716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10722</v>
      </c>
      <c r="D34" s="261"/>
      <c r="E34" s="264"/>
      <c r="F34" s="301">
        <f ca="1">IF('数据-取费表'!B24=0,1,IF(B1="",'数据-取费表'!N16,INDIRECT("'数据-取费表'!n"&amp;$G$1)))</f>
        <v>0.151</v>
      </c>
      <c r="G34" s="263" t="s">
        <v>2389</v>
      </c>
    </row>
    <row r="35" spans="1:7" ht="13.5" customHeight="1">
      <c r="A35" s="951" t="s">
        <v>796</v>
      </c>
      <c r="B35" s="259" t="s">
        <v>2390</v>
      </c>
      <c r="C35" s="264">
        <f ca="1">ROUND(C34*F35,0)</f>
        <v>536</v>
      </c>
      <c r="D35" s="264"/>
      <c r="E35" s="264"/>
      <c r="F35" s="303">
        <f>'数据-取费表'!B33</f>
        <v>0.05</v>
      </c>
      <c r="G35" s="263" t="s">
        <v>2391</v>
      </c>
    </row>
    <row r="36" spans="1:7" ht="26">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297</v>
      </c>
      <c r="D37" s="3029">
        <f ca="1">D19</f>
        <v>98274.1</v>
      </c>
      <c r="E37" s="293">
        <f>'数据-取费表'!B35</f>
        <v>200</v>
      </c>
      <c r="F37" s="303"/>
      <c r="G37" s="305" t="s">
        <v>2395</v>
      </c>
    </row>
    <row r="38" spans="1:7" ht="13.5" customHeight="1">
      <c r="A38" s="951" t="s">
        <v>799</v>
      </c>
      <c r="B38" s="259" t="s">
        <v>2396</v>
      </c>
      <c r="C38" s="264">
        <f ca="1">ROUND(C34*F38,0)</f>
        <v>161</v>
      </c>
      <c r="D38" s="264"/>
      <c r="E38" s="264"/>
      <c r="F38" s="303">
        <f>'数据-取费表'!B36</f>
        <v>1.4999999999999999E-2</v>
      </c>
      <c r="G38" s="263" t="s">
        <v>2391</v>
      </c>
    </row>
    <row r="39" spans="1:7" s="258" customFormat="1" ht="13.5" customHeight="1">
      <c r="A39" s="299" t="s">
        <v>2397</v>
      </c>
      <c r="B39" s="254" t="s">
        <v>2398</v>
      </c>
      <c r="C39" s="276">
        <f ca="1">ROUND(C33*F20,0)</f>
        <v>351</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128</v>
      </c>
      <c r="D41" s="279">
        <f ca="1">C44</f>
        <v>2.9999999999999997E-4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124</v>
      </c>
      <c r="D42" s="282"/>
      <c r="E42" s="282"/>
      <c r="F42" s="283"/>
      <c r="G42" s="3312" t="s">
        <v>2407</v>
      </c>
    </row>
    <row r="43" spans="1:7" ht="13.5" customHeight="1">
      <c r="A43" s="951" t="s">
        <v>792</v>
      </c>
      <c r="B43" s="259" t="s">
        <v>2408</v>
      </c>
      <c r="C43" s="282">
        <f ca="1">ROUND(IF('数据-取费表'!B22&lt;=1,C39*F22*'数据-取费表'!B21/2,C39*(POWER((1+F22),'数据-取费表'!B21/2)-1)),0)</f>
        <v>4</v>
      </c>
      <c r="D43" s="282"/>
      <c r="E43" s="282"/>
      <c r="F43" s="283"/>
      <c r="G43" s="3313"/>
    </row>
    <row r="44" spans="1:7" ht="13.5" customHeight="1">
      <c r="A44" s="951" t="s">
        <v>793</v>
      </c>
      <c r="B44" s="259" t="s">
        <v>2409</v>
      </c>
      <c r="C44" s="282">
        <f ca="1">ROUND(IF('数据-取费表'!B22&lt;=1,C40*F22*'数据-取费表'!B21/2,C40*(POWER((1+F22),'数据-取费表'!B21/2)-1)),4)</f>
        <v>2.9999999999999997E-4</v>
      </c>
      <c r="D44" s="282"/>
      <c r="E44" s="282"/>
      <c r="F44" s="283"/>
      <c r="G44" s="3314"/>
    </row>
    <row r="45" spans="1:7" s="258" customFormat="1" ht="13.5" customHeight="1">
      <c r="A45" s="299" t="s">
        <v>2410</v>
      </c>
      <c r="B45" s="288" t="s">
        <v>2376</v>
      </c>
      <c r="C45" s="289">
        <f ca="1">C46</f>
        <v>3620</v>
      </c>
      <c r="D45" s="279">
        <f ca="1">C47</f>
        <v>8.9999999999999993E-3</v>
      </c>
      <c r="E45" s="280" t="s">
        <v>2402</v>
      </c>
      <c r="F45" s="290"/>
      <c r="G45" s="291" t="s">
        <v>2411</v>
      </c>
    </row>
    <row r="46" spans="1:7" s="258" customFormat="1" ht="13.5" customHeight="1">
      <c r="A46" s="951" t="s">
        <v>791</v>
      </c>
      <c r="B46" s="292" t="s">
        <v>2412</v>
      </c>
      <c r="C46" s="293">
        <f ca="1">ROUND((C33+C39)*F27,0)</f>
        <v>3620</v>
      </c>
      <c r="D46" s="307"/>
      <c r="E46" s="280"/>
      <c r="F46" s="290"/>
      <c r="G46" s="291"/>
    </row>
    <row r="47" spans="1:7" s="258" customFormat="1" ht="13.5" customHeight="1">
      <c r="A47" s="951" t="s">
        <v>792</v>
      </c>
      <c r="B47" s="292" t="s">
        <v>2413</v>
      </c>
      <c r="C47" s="282">
        <f ca="1">ROUND(C40*F27,4)</f>
        <v>8.9999999999999993E-3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17429</v>
      </c>
      <c r="D49" s="276"/>
      <c r="E49" s="276"/>
      <c r="F49" s="308"/>
      <c r="G49" s="278" t="s">
        <v>2417</v>
      </c>
    </row>
    <row r="50" spans="1:7" s="302" customFormat="1" ht="26">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17429</v>
      </c>
      <c r="D51" s="276"/>
      <c r="E51" s="276"/>
      <c r="F51" s="308"/>
      <c r="G51" s="278" t="s">
        <v>2423</v>
      </c>
    </row>
    <row r="52" spans="1:7" s="252" customFormat="1" ht="16.5" thickBot="1">
      <c r="A52" s="309" t="s">
        <v>2424</v>
      </c>
      <c r="B52" s="310"/>
      <c r="C52" s="311">
        <f ca="1">C31+C51</f>
        <v>93386</v>
      </c>
      <c r="D52" s="310"/>
      <c r="E52" s="310"/>
      <c r="F52" s="310"/>
      <c r="G52" s="312"/>
    </row>
    <row r="55" spans="1:7" ht="15.5">
      <c r="B55" s="314" t="s">
        <v>2425</v>
      </c>
      <c r="C55" s="315"/>
    </row>
    <row r="56" spans="1:7" ht="13">
      <c r="B56" s="317" t="s">
        <v>1508</v>
      </c>
      <c r="C56" s="319">
        <f ca="1">1-C57</f>
        <v>0.81299999999999994</v>
      </c>
    </row>
    <row r="57" spans="1:7" ht="13">
      <c r="B57" s="317" t="s">
        <v>1509</v>
      </c>
      <c r="C57" s="318">
        <f ca="1">ROUND(C51/C52,3)</f>
        <v>0.187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6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topLeftCell="A24" zoomScale="80" zoomScaleNormal="80" workbookViewId="0">
      <selection activeCell="L47" sqref="L47"/>
    </sheetView>
  </sheetViews>
  <sheetFormatPr defaultColWidth="9" defaultRowHeight="14"/>
  <cols>
    <col min="1" max="1" width="14.36328125" style="403" customWidth="1"/>
    <col min="2" max="2" width="15.7265625" style="403" customWidth="1"/>
    <col min="3" max="3" width="14.36328125" style="403" customWidth="1"/>
    <col min="4" max="4" width="14.0898437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59314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5550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30" t="s">
        <v>2643</v>
      </c>
      <c r="AC4" s="3329" t="s">
        <v>2644</v>
      </c>
    </row>
    <row r="5" spans="1:30">
      <c r="A5" s="404"/>
      <c r="B5" s="405"/>
      <c r="C5" s="3349" t="s">
        <v>2537</v>
      </c>
      <c r="D5" s="3350"/>
      <c r="E5" s="3356" t="str">
        <f>Sheet1!A3</f>
        <v>三亚市海棠湾C2片区控规D-01地块</v>
      </c>
      <c r="F5" s="3357"/>
      <c r="G5" s="3349" t="str">
        <f>Sheet1!A5</f>
        <v>海棠湾林旺片区控规F-1-1地块和F-2-1地块</v>
      </c>
      <c r="H5" s="3350"/>
      <c r="I5" s="3349" t="str">
        <f>Sheet4!A4</f>
        <v>海棠湾B1片区控规B1-C3-8地块</v>
      </c>
      <c r="J5" s="3350"/>
      <c r="K5" s="610"/>
      <c r="L5" s="1130"/>
      <c r="M5" s="1131"/>
      <c r="N5" s="1131"/>
      <c r="O5" s="1131"/>
      <c r="P5" s="3337"/>
      <c r="Q5" s="3338"/>
      <c r="R5" s="3343"/>
      <c r="S5" s="3344"/>
      <c r="T5" s="3343"/>
      <c r="U5" s="3344"/>
      <c r="V5" s="3328"/>
      <c r="W5" s="3328"/>
      <c r="X5" s="1812"/>
      <c r="Y5" s="3343"/>
      <c r="Z5" s="3344"/>
      <c r="AA5" s="3330"/>
      <c r="AB5" s="3330"/>
      <c r="AC5" s="3330"/>
    </row>
    <row r="6" spans="1:30" ht="15" thickBot="1">
      <c r="A6" s="406"/>
      <c r="B6" s="407"/>
      <c r="C6" s="3347" t="s">
        <v>2541</v>
      </c>
      <c r="D6" s="3348"/>
      <c r="E6" s="3354" t="s">
        <v>2541</v>
      </c>
      <c r="F6" s="3355"/>
      <c r="G6" s="3347" t="s">
        <v>2541</v>
      </c>
      <c r="H6" s="3348"/>
      <c r="I6" s="3347" t="s">
        <v>2541</v>
      </c>
      <c r="J6" s="3348"/>
      <c r="K6" s="610" t="s">
        <v>2542</v>
      </c>
      <c r="L6" s="1130"/>
      <c r="M6" s="1131"/>
      <c r="N6" s="1131"/>
      <c r="O6" s="1131"/>
      <c r="P6" s="3339"/>
      <c r="Q6" s="3340"/>
      <c r="R6" s="3343"/>
      <c r="S6" s="3344"/>
      <c r="T6" s="3345"/>
      <c r="U6" s="3346"/>
      <c r="V6" s="3328"/>
      <c r="W6" s="3328"/>
      <c r="X6" s="1812"/>
      <c r="Y6" s="3345"/>
      <c r="Z6" s="3346"/>
      <c r="AA6" s="3331"/>
      <c r="AB6" s="3331"/>
      <c r="AC6" s="3331"/>
    </row>
    <row r="7" spans="1:30" s="117" customFormat="1" ht="14.5" thickBot="1">
      <c r="A7" s="408" t="s">
        <v>2543</v>
      </c>
      <c r="B7" s="409"/>
      <c r="C7" s="410">
        <f>'数据-取费表'!B2</f>
        <v>43913</v>
      </c>
      <c r="D7" s="411">
        <v>100</v>
      </c>
      <c r="E7" s="412" t="str">
        <f>Sheet1!H3</f>
        <v>2019-01-30</v>
      </c>
      <c r="F7" s="413">
        <f>SUMIF(70:70,YEAR(E7)&amp;"-"&amp;INT((MONTH(E7)+2)/3),71:71)</f>
        <v>96</v>
      </c>
      <c r="G7" s="2690" t="str">
        <f>Sheet1!H4</f>
        <v>2018-10-19</v>
      </c>
      <c r="H7" s="411">
        <f>SUMIF(70:70,YEAR(G7)&amp;"-"&amp;INT((MONTH(G7)+2)/3),71:71)</f>
        <v>95</v>
      </c>
      <c r="I7" s="2690" t="str">
        <f>Sheet4!H4</f>
        <v>2019-12-03</v>
      </c>
      <c r="J7" s="411">
        <f>SUMIF(70:70,YEAR(I7)&amp;"-"&amp;INT((MONTH(I7)+2)/3),71:71)</f>
        <v>99</v>
      </c>
      <c r="K7" s="611"/>
      <c r="L7" s="1132"/>
      <c r="M7" s="1133"/>
      <c r="N7" s="1133"/>
      <c r="O7" s="1133"/>
      <c r="P7" s="3351" t="s">
        <v>2544</v>
      </c>
      <c r="Q7" s="3353"/>
      <c r="R7" s="770" t="s">
        <v>17</v>
      </c>
      <c r="S7" s="771">
        <f t="shared" ref="S7:S15" si="0">F7</f>
        <v>96</v>
      </c>
      <c r="T7" s="770" t="s">
        <v>17</v>
      </c>
      <c r="U7" s="771">
        <f t="shared" ref="U7:U15" si="1">H7</f>
        <v>95</v>
      </c>
      <c r="V7" s="770" t="s">
        <v>17</v>
      </c>
      <c r="W7" s="771">
        <f t="shared" ref="W7:W15" si="2">J7</f>
        <v>99</v>
      </c>
      <c r="X7" s="772"/>
      <c r="Y7" s="3351" t="s">
        <v>2544</v>
      </c>
      <c r="Z7" s="3352"/>
      <c r="AA7" s="773">
        <f>D7/F7</f>
        <v>1.0416666666666667</v>
      </c>
      <c r="AB7" s="773">
        <f>D7/H7</f>
        <v>1.0526315789473684</v>
      </c>
      <c r="AC7" s="773">
        <f>D7/J7</f>
        <v>1.0101010101010102</v>
      </c>
    </row>
    <row r="8" spans="1:30" s="117" customFormat="1" ht="14.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351" t="s">
        <v>2547</v>
      </c>
      <c r="Q8" s="3352"/>
      <c r="R8" s="770" t="s">
        <v>17</v>
      </c>
      <c r="S8" s="771">
        <f t="shared" si="0"/>
        <v>100</v>
      </c>
      <c r="T8" s="770" t="s">
        <v>17</v>
      </c>
      <c r="U8" s="771">
        <f t="shared" si="1"/>
        <v>100</v>
      </c>
      <c r="V8" s="770" t="s">
        <v>17</v>
      </c>
      <c r="W8" s="771">
        <f t="shared" si="2"/>
        <v>100</v>
      </c>
      <c r="X8" s="772"/>
      <c r="Y8" s="3351" t="s">
        <v>2547</v>
      </c>
      <c r="Z8" s="3352"/>
      <c r="AA8" s="773">
        <f t="shared" ref="AA8:AA45" si="3">D8/F8</f>
        <v>1</v>
      </c>
      <c r="AB8" s="773">
        <f t="shared" ref="AB8:AB45" si="4">D8/H8</f>
        <v>1</v>
      </c>
      <c r="AC8" s="773">
        <f t="shared" ref="AC8:AC45" si="5">D8/J8</f>
        <v>1</v>
      </c>
    </row>
    <row r="9" spans="1:30" s="117" customFormat="1">
      <c r="A9" s="415" t="s">
        <v>2548</v>
      </c>
      <c r="B9" s="71" t="s">
        <v>2549</v>
      </c>
      <c r="C9" s="2693" t="s">
        <v>1373</v>
      </c>
      <c r="D9" s="135">
        <v>100</v>
      </c>
      <c r="E9" s="2693" t="s">
        <v>1373</v>
      </c>
      <c r="F9" s="135">
        <f>SUMIF(75:75,E9,76:76)-SUMIF(75:75,C9,76:76)+100</f>
        <v>100</v>
      </c>
      <c r="G9" s="2693" t="s">
        <v>1373</v>
      </c>
      <c r="H9" s="135">
        <f>SUMIF(75:75,G9,76:76)-SUMIF(75:75,C9,76:76)+100</f>
        <v>100</v>
      </c>
      <c r="I9" s="2693" t="s">
        <v>1373</v>
      </c>
      <c r="J9" s="135">
        <f>SUMIF(75:75,I9,76:76)-SUMIF(75:75,C9,76:76)+100</f>
        <v>100</v>
      </c>
      <c r="K9" s="611"/>
      <c r="L9" s="1132"/>
      <c r="M9" s="1133"/>
      <c r="N9" s="1133"/>
      <c r="O9" s="1134"/>
      <c r="P9" s="3322"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773">
        <f t="shared" si="5"/>
        <v>1</v>
      </c>
    </row>
    <row r="10" spans="1:30" s="427" customFormat="1" ht="28">
      <c r="A10" s="421"/>
      <c r="B10" s="422" t="s">
        <v>2552</v>
      </c>
      <c r="C10" s="432">
        <f>项目基本情况!E15</f>
        <v>27.28</v>
      </c>
      <c r="D10" s="136">
        <v>100</v>
      </c>
      <c r="E10" s="465" t="s">
        <v>3309</v>
      </c>
      <c r="F10" s="136">
        <f>ROUND(100/'数据-取费表'!G16,0)</f>
        <v>117</v>
      </c>
      <c r="G10" s="463" t="s">
        <v>3309</v>
      </c>
      <c r="H10" s="136">
        <f>ROUND(100/'数据-取费表'!G16,0)</f>
        <v>117</v>
      </c>
      <c r="I10" s="463" t="s">
        <v>3309</v>
      </c>
      <c r="J10" s="136">
        <f>ROUND(100/'数据-取费表'!G16,0)</f>
        <v>117</v>
      </c>
      <c r="K10" s="672"/>
      <c r="L10" s="1135"/>
      <c r="M10" s="1136"/>
      <c r="N10" s="1136"/>
      <c r="O10" s="1137"/>
      <c r="P10" s="3322"/>
      <c r="Q10" s="1794" t="str">
        <f t="shared" si="6"/>
        <v>土地使用年限（年）</v>
      </c>
      <c r="R10" s="770" t="s">
        <v>17</v>
      </c>
      <c r="S10" s="771">
        <f t="shared" si="0"/>
        <v>117</v>
      </c>
      <c r="T10" s="770" t="s">
        <v>17</v>
      </c>
      <c r="U10" s="771">
        <f t="shared" si="1"/>
        <v>117</v>
      </c>
      <c r="V10" s="770" t="s">
        <v>17</v>
      </c>
      <c r="W10" s="771">
        <f t="shared" si="2"/>
        <v>117</v>
      </c>
      <c r="X10" s="772"/>
      <c r="Y10" s="3112"/>
      <c r="Z10" s="55" t="str">
        <f t="shared" si="7"/>
        <v>土地使用年限（年）</v>
      </c>
      <c r="AA10" s="773">
        <f t="shared" si="3"/>
        <v>0.85470085470085466</v>
      </c>
      <c r="AB10" s="773">
        <f t="shared" si="4"/>
        <v>0.85470085470085466</v>
      </c>
      <c r="AC10" s="773">
        <f t="shared" si="5"/>
        <v>0.85470085470085466</v>
      </c>
    </row>
    <row r="11" spans="1:30" ht="16" thickBot="1">
      <c r="A11" s="428"/>
      <c r="B11" s="422" t="s">
        <v>2553</v>
      </c>
      <c r="C11" s="429">
        <f>'数据-汇总表'!I4</f>
        <v>0.41</v>
      </c>
      <c r="D11" s="136">
        <v>100</v>
      </c>
      <c r="E11" s="429">
        <v>0.66</v>
      </c>
      <c r="F11" s="136">
        <f>LOOKUP(E11,80:80,81:81)-LOOKUP(C11,80:80,81:81)+100</f>
        <v>100</v>
      </c>
      <c r="G11" s="430">
        <v>0.7</v>
      </c>
      <c r="H11" s="136">
        <f>LOOKUP(G11,80:80,81:81)-LOOKUP(C11,80:80,81:81)+100</f>
        <v>100</v>
      </c>
      <c r="I11" s="429">
        <v>0.3</v>
      </c>
      <c r="J11" s="136">
        <f>LOOKUP(I11,80:80,81:81)-LOOKUP(C11,80:80,81:81)+100</f>
        <v>100</v>
      </c>
      <c r="K11" s="673">
        <v>2</v>
      </c>
      <c r="L11" s="1138"/>
      <c r="M11" s="1131"/>
      <c r="N11" s="1131"/>
      <c r="O11" s="1139"/>
      <c r="P11" s="3322"/>
      <c r="Q11" s="1794" t="str">
        <f t="shared" si="6"/>
        <v>容积率</v>
      </c>
      <c r="R11" s="770" t="s">
        <v>17</v>
      </c>
      <c r="S11" s="771">
        <f t="shared" si="0"/>
        <v>100</v>
      </c>
      <c r="T11" s="770" t="s">
        <v>17</v>
      </c>
      <c r="U11" s="771">
        <f t="shared" si="1"/>
        <v>100</v>
      </c>
      <c r="V11" s="770" t="s">
        <v>17</v>
      </c>
      <c r="W11" s="771">
        <f t="shared" si="2"/>
        <v>100</v>
      </c>
      <c r="X11" s="772"/>
      <c r="Y11" s="3112"/>
      <c r="Z11" s="55" t="str">
        <f t="shared" si="7"/>
        <v>容积率</v>
      </c>
      <c r="AA11" s="773">
        <f t="shared" si="3"/>
        <v>1</v>
      </c>
      <c r="AB11" s="773">
        <f t="shared" si="4"/>
        <v>1</v>
      </c>
      <c r="AC11" s="773">
        <f t="shared" si="5"/>
        <v>1</v>
      </c>
    </row>
    <row r="12" spans="1:30" s="117" customFormat="1" ht="15.5" hidden="1">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22"/>
      <c r="Q12" s="1794" t="str">
        <f t="shared" si="6"/>
        <v>配建</v>
      </c>
      <c r="R12" s="770" t="s">
        <v>17</v>
      </c>
      <c r="S12" s="771">
        <f t="shared" si="0"/>
        <v>100</v>
      </c>
      <c r="T12" s="770" t="s">
        <v>17</v>
      </c>
      <c r="U12" s="771">
        <f t="shared" si="1"/>
        <v>100</v>
      </c>
      <c r="V12" s="770" t="s">
        <v>17</v>
      </c>
      <c r="W12" s="771">
        <f t="shared" si="2"/>
        <v>100</v>
      </c>
      <c r="X12" s="772"/>
      <c r="Y12" s="3112"/>
      <c r="Z12" s="55" t="str">
        <f t="shared" si="7"/>
        <v>配建</v>
      </c>
      <c r="AA12" s="773">
        <f>D12/F12</f>
        <v>1</v>
      </c>
      <c r="AB12" s="773">
        <f>D12/H12</f>
        <v>1</v>
      </c>
      <c r="AC12" s="773">
        <f>D12/J12</f>
        <v>1</v>
      </c>
    </row>
    <row r="13" spans="1:30" ht="15.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22"/>
      <c r="Q13" s="1794">
        <f t="shared" si="6"/>
        <v>111</v>
      </c>
      <c r="R13" s="770" t="s">
        <v>17</v>
      </c>
      <c r="S13" s="771">
        <f t="shared" si="0"/>
        <v>100</v>
      </c>
      <c r="T13" s="770" t="s">
        <v>17</v>
      </c>
      <c r="U13" s="771">
        <f t="shared" si="1"/>
        <v>100</v>
      </c>
      <c r="V13" s="770" t="s">
        <v>17</v>
      </c>
      <c r="W13" s="771">
        <f t="shared" si="2"/>
        <v>100</v>
      </c>
      <c r="X13" s="772"/>
      <c r="Y13" s="3112"/>
      <c r="Z13" s="55">
        <f t="shared" si="7"/>
        <v>111</v>
      </c>
      <c r="AA13" s="773">
        <f>D13/F13</f>
        <v>1</v>
      </c>
      <c r="AB13" s="773">
        <f>D13/H13</f>
        <v>1</v>
      </c>
      <c r="AC13" s="773">
        <f>D13/J13</f>
        <v>1</v>
      </c>
    </row>
    <row r="14" spans="1:30" ht="16"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22"/>
      <c r="Q14" s="1794">
        <f t="shared" si="6"/>
        <v>111</v>
      </c>
      <c r="R14" s="770" t="s">
        <v>17</v>
      </c>
      <c r="S14" s="771">
        <f t="shared" si="0"/>
        <v>100</v>
      </c>
      <c r="T14" s="770" t="s">
        <v>17</v>
      </c>
      <c r="U14" s="771">
        <f t="shared" si="1"/>
        <v>100</v>
      </c>
      <c r="V14" s="770" t="s">
        <v>17</v>
      </c>
      <c r="W14" s="771">
        <f t="shared" si="2"/>
        <v>100</v>
      </c>
      <c r="X14" s="772"/>
      <c r="Y14" s="3112"/>
      <c r="Z14" s="55">
        <f t="shared" si="7"/>
        <v>111</v>
      </c>
      <c r="AA14" s="773">
        <f>D14/F14</f>
        <v>1</v>
      </c>
      <c r="AB14" s="773">
        <f>D14/H14</f>
        <v>1</v>
      </c>
      <c r="AC14" s="773">
        <f>D14/J14</f>
        <v>1</v>
      </c>
    </row>
    <row r="15" spans="1:30" ht="98">
      <c r="A15" s="440" t="s">
        <v>2554</v>
      </c>
      <c r="B15" s="69" t="s">
        <v>2081</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24" t="s">
        <v>2555</v>
      </c>
      <c r="Q15" s="1809" t="str">
        <f t="shared" si="6"/>
        <v>居住社区成熟度</v>
      </c>
      <c r="R15" s="774" t="s">
        <v>17</v>
      </c>
      <c r="S15" s="775">
        <f t="shared" si="0"/>
        <v>100</v>
      </c>
      <c r="T15" s="774" t="s">
        <v>17</v>
      </c>
      <c r="U15" s="775">
        <f t="shared" si="1"/>
        <v>100</v>
      </c>
      <c r="V15" s="774" t="s">
        <v>17</v>
      </c>
      <c r="W15" s="775">
        <f t="shared" si="2"/>
        <v>100</v>
      </c>
      <c r="X15" s="1812"/>
      <c r="Y15" s="3324" t="s">
        <v>2555</v>
      </c>
      <c r="Z15" s="1813" t="str">
        <f t="shared" si="7"/>
        <v>居住社区成熟度</v>
      </c>
      <c r="AA15" s="1810">
        <f t="shared" si="3"/>
        <v>1</v>
      </c>
      <c r="AB15" s="1810">
        <f t="shared" si="4"/>
        <v>1</v>
      </c>
      <c r="AC15" s="1810">
        <f t="shared" si="5"/>
        <v>1</v>
      </c>
    </row>
    <row r="16" spans="1:30" ht="15.5">
      <c r="A16" s="428"/>
      <c r="B16" s="446"/>
      <c r="C16" s="447"/>
      <c r="D16" s="448"/>
      <c r="E16" s="2601"/>
      <c r="F16" s="448"/>
      <c r="G16" s="2601"/>
      <c r="H16" s="450"/>
      <c r="I16" s="2600"/>
      <c r="J16" s="448"/>
      <c r="K16" s="672"/>
      <c r="L16" s="1140"/>
      <c r="M16" s="1131"/>
      <c r="N16" s="1131"/>
      <c r="O16" s="1139"/>
      <c r="P16" s="3325"/>
      <c r="Q16" s="1809"/>
      <c r="R16" s="774"/>
      <c r="S16" s="775"/>
      <c r="T16" s="774"/>
      <c r="U16" s="775"/>
      <c r="V16" s="774"/>
      <c r="W16" s="775"/>
      <c r="X16" s="1812"/>
      <c r="Y16" s="3325"/>
      <c r="Z16" s="1813"/>
      <c r="AA16" s="1810">
        <v>1</v>
      </c>
      <c r="AB16" s="1810">
        <v>1</v>
      </c>
      <c r="AC16" s="1810">
        <v>1</v>
      </c>
    </row>
    <row r="17" spans="1:29" ht="84">
      <c r="A17" s="428"/>
      <c r="B17" s="451" t="s">
        <v>2648</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325"/>
      <c r="Q17" s="1809" t="str">
        <f>B17</f>
        <v>商业繁华度</v>
      </c>
      <c r="R17" s="774" t="s">
        <v>17</v>
      </c>
      <c r="S17" s="775">
        <f>F17</f>
        <v>100</v>
      </c>
      <c r="T17" s="774" t="s">
        <v>17</v>
      </c>
      <c r="U17" s="775">
        <f>H17</f>
        <v>100</v>
      </c>
      <c r="V17" s="774" t="s">
        <v>17</v>
      </c>
      <c r="W17" s="775">
        <f>J17</f>
        <v>100</v>
      </c>
      <c r="X17" s="1812"/>
      <c r="Y17" s="3325"/>
      <c r="Z17" s="1813" t="str">
        <f>Q17</f>
        <v>商业繁华度</v>
      </c>
      <c r="AA17" s="1810">
        <f t="shared" si="3"/>
        <v>1</v>
      </c>
      <c r="AB17" s="1810">
        <f t="shared" si="4"/>
        <v>1</v>
      </c>
      <c r="AC17" s="1810">
        <f t="shared" si="5"/>
        <v>1</v>
      </c>
    </row>
    <row r="18" spans="1:29" ht="15.5">
      <c r="A18" s="428"/>
      <c r="B18" s="456"/>
      <c r="C18" s="2604" t="s">
        <v>3320</v>
      </c>
      <c r="D18" s="450"/>
      <c r="E18" s="2604" t="s">
        <v>3320</v>
      </c>
      <c r="F18" s="450"/>
      <c r="G18" s="2604" t="s">
        <v>3320</v>
      </c>
      <c r="H18" s="448"/>
      <c r="I18" s="2604" t="s">
        <v>3320</v>
      </c>
      <c r="J18" s="448"/>
      <c r="K18" s="672"/>
      <c r="L18" s="1140"/>
      <c r="M18" s="1131"/>
      <c r="N18" s="1131"/>
      <c r="O18" s="1139"/>
      <c r="P18" s="3325"/>
      <c r="Q18" s="1809"/>
      <c r="R18" s="774"/>
      <c r="S18" s="775"/>
      <c r="T18" s="774"/>
      <c r="U18" s="775"/>
      <c r="V18" s="774"/>
      <c r="W18" s="775"/>
      <c r="X18" s="1812"/>
      <c r="Y18" s="3325"/>
      <c r="Z18" s="1813"/>
      <c r="AA18" s="1810">
        <v>1</v>
      </c>
      <c r="AB18" s="1810">
        <v>1</v>
      </c>
      <c r="AC18" s="1810">
        <v>1</v>
      </c>
    </row>
    <row r="19" spans="1:29" ht="84" hidden="1">
      <c r="A19" s="428"/>
      <c r="B19" s="451" t="s">
        <v>2682</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25"/>
      <c r="Q19" s="1809" t="str">
        <f>B19</f>
        <v>办公集聚程度</v>
      </c>
      <c r="R19" s="774" t="s">
        <v>17</v>
      </c>
      <c r="S19" s="775">
        <f>F19</f>
        <v>100</v>
      </c>
      <c r="T19" s="774" t="s">
        <v>17</v>
      </c>
      <c r="U19" s="775">
        <f>H19</f>
        <v>100</v>
      </c>
      <c r="V19" s="774" t="s">
        <v>17</v>
      </c>
      <c r="W19" s="775">
        <f>J19</f>
        <v>100</v>
      </c>
      <c r="X19" s="1812"/>
      <c r="Y19" s="3325"/>
      <c r="Z19" s="1813" t="str">
        <f>Q19</f>
        <v>办公集聚程度</v>
      </c>
      <c r="AA19" s="1810">
        <f t="shared" si="3"/>
        <v>1</v>
      </c>
      <c r="AB19" s="1810">
        <f t="shared" si="4"/>
        <v>1</v>
      </c>
      <c r="AC19" s="1810">
        <f t="shared" si="5"/>
        <v>1</v>
      </c>
    </row>
    <row r="20" spans="1:29" ht="15.5" hidden="1">
      <c r="A20" s="428"/>
      <c r="B20" s="456"/>
      <c r="C20" s="447"/>
      <c r="D20" s="448"/>
      <c r="E20" s="2601"/>
      <c r="F20" s="448"/>
      <c r="G20" s="2601"/>
      <c r="H20" s="448"/>
      <c r="I20" s="2600"/>
      <c r="J20" s="448"/>
      <c r="K20" s="672"/>
      <c r="L20" s="1140"/>
      <c r="M20" s="1131"/>
      <c r="N20" s="1131"/>
      <c r="O20" s="1139"/>
      <c r="P20" s="3325"/>
      <c r="Q20" s="1809"/>
      <c r="R20" s="774"/>
      <c r="S20" s="775"/>
      <c r="T20" s="774"/>
      <c r="U20" s="775"/>
      <c r="V20" s="774"/>
      <c r="W20" s="775"/>
      <c r="X20" s="1812"/>
      <c r="Y20" s="3325"/>
      <c r="Z20" s="1813"/>
      <c r="AA20" s="1810">
        <v>1</v>
      </c>
      <c r="AB20" s="1810">
        <v>1</v>
      </c>
      <c r="AC20" s="1810">
        <v>1</v>
      </c>
    </row>
    <row r="21" spans="1:29" ht="98">
      <c r="A21" s="428"/>
      <c r="B21" s="451" t="s">
        <v>2704</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325"/>
      <c r="Q21" s="1809" t="str">
        <f>B21</f>
        <v>交通便捷度</v>
      </c>
      <c r="R21" s="774" t="s">
        <v>17</v>
      </c>
      <c r="S21" s="775">
        <f>F21</f>
        <v>100</v>
      </c>
      <c r="T21" s="774" t="s">
        <v>17</v>
      </c>
      <c r="U21" s="775">
        <f>H21</f>
        <v>100</v>
      </c>
      <c r="V21" s="774" t="s">
        <v>17</v>
      </c>
      <c r="W21" s="775">
        <f>J21</f>
        <v>100</v>
      </c>
      <c r="X21" s="1812"/>
      <c r="Y21" s="3325"/>
      <c r="Z21" s="1813" t="str">
        <f>Q21</f>
        <v>交通便捷度</v>
      </c>
      <c r="AA21" s="1810">
        <f t="shared" si="3"/>
        <v>1</v>
      </c>
      <c r="AB21" s="1810">
        <f t="shared" si="4"/>
        <v>1</v>
      </c>
      <c r="AC21" s="1810">
        <f t="shared" si="5"/>
        <v>1</v>
      </c>
    </row>
    <row r="22" spans="1:29" ht="15.5">
      <c r="A22" s="428"/>
      <c r="B22" s="1384"/>
      <c r="C22" s="447" t="s">
        <v>3320</v>
      </c>
      <c r="D22" s="450"/>
      <c r="E22" s="447" t="s">
        <v>3320</v>
      </c>
      <c r="F22" s="448"/>
      <c r="G22" s="447" t="s">
        <v>3320</v>
      </c>
      <c r="H22" s="448"/>
      <c r="I22" s="447" t="s">
        <v>3320</v>
      </c>
      <c r="J22" s="448"/>
      <c r="K22" s="672"/>
      <c r="L22" s="1140"/>
      <c r="M22" s="1131"/>
      <c r="N22" s="1131"/>
      <c r="O22" s="1139"/>
      <c r="P22" s="3325"/>
      <c r="Q22" s="1809"/>
      <c r="R22" s="774"/>
      <c r="S22" s="775"/>
      <c r="T22" s="774"/>
      <c r="U22" s="775"/>
      <c r="V22" s="774"/>
      <c r="W22" s="775"/>
      <c r="X22" s="1812"/>
      <c r="Y22" s="3325"/>
      <c r="Z22" s="1813"/>
      <c r="AA22" s="1810">
        <v>1</v>
      </c>
      <c r="AB22" s="1810">
        <v>1</v>
      </c>
      <c r="AC22" s="1810">
        <v>1</v>
      </c>
    </row>
    <row r="23" spans="1:29" ht="28">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325"/>
      <c r="Q23" s="1809" t="str">
        <f t="shared" ref="Q23:Q37" si="8">B23</f>
        <v>区域土地利用方向</v>
      </c>
      <c r="R23" s="774" t="s">
        <v>17</v>
      </c>
      <c r="S23" s="775">
        <f>F23</f>
        <v>100</v>
      </c>
      <c r="T23" s="774" t="s">
        <v>17</v>
      </c>
      <c r="U23" s="775">
        <f>H23</f>
        <v>100</v>
      </c>
      <c r="V23" s="774" t="s">
        <v>17</v>
      </c>
      <c r="W23" s="775">
        <f>J23</f>
        <v>100</v>
      </c>
      <c r="X23" s="1812"/>
      <c r="Y23" s="3325"/>
      <c r="Z23" s="1813" t="str">
        <f>Q23</f>
        <v>区域土地利用方向</v>
      </c>
      <c r="AA23" s="1810">
        <f t="shared" si="3"/>
        <v>1</v>
      </c>
      <c r="AB23" s="1810">
        <f t="shared" si="4"/>
        <v>1</v>
      </c>
      <c r="AC23" s="1810">
        <f t="shared" si="5"/>
        <v>1</v>
      </c>
    </row>
    <row r="24" spans="1:29" ht="15.5">
      <c r="A24" s="404"/>
      <c r="B24" s="456"/>
      <c r="C24" s="616" t="s">
        <v>3321</v>
      </c>
      <c r="D24" s="448"/>
      <c r="E24" s="616" t="s">
        <v>3321</v>
      </c>
      <c r="F24" s="448"/>
      <c r="G24" s="616" t="s">
        <v>3321</v>
      </c>
      <c r="H24" s="448"/>
      <c r="I24" s="616" t="s">
        <v>3321</v>
      </c>
      <c r="J24" s="448"/>
      <c r="K24" s="812"/>
      <c r="L24" s="1140"/>
      <c r="M24" s="1131"/>
      <c r="N24" s="1131"/>
      <c r="O24" s="1139"/>
      <c r="P24" s="3325"/>
      <c r="Q24" s="1809"/>
      <c r="R24" s="774"/>
      <c r="S24" s="775"/>
      <c r="T24" s="774"/>
      <c r="U24" s="775"/>
      <c r="V24" s="774"/>
      <c r="W24" s="775"/>
      <c r="X24" s="1812"/>
      <c r="Y24" s="3325"/>
      <c r="Z24" s="1813"/>
      <c r="AA24" s="1810"/>
      <c r="AB24" s="1810"/>
      <c r="AC24" s="1810"/>
    </row>
    <row r="25" spans="1:29" ht="56">
      <c r="A25" s="404"/>
      <c r="B25" s="1384" t="s">
        <v>2744</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3017">
        <v>0</v>
      </c>
      <c r="L25" s="1140"/>
      <c r="M25" s="1131"/>
      <c r="N25" s="1131"/>
      <c r="O25" s="1139"/>
      <c r="P25" s="3325"/>
      <c r="Q25" s="1809" t="str">
        <f t="shared" si="8"/>
        <v>自然及人文环境状况</v>
      </c>
      <c r="R25" s="774" t="s">
        <v>17</v>
      </c>
      <c r="S25" s="775">
        <f>F25</f>
        <v>100</v>
      </c>
      <c r="T25" s="774" t="s">
        <v>17</v>
      </c>
      <c r="U25" s="775">
        <f>H25</f>
        <v>100</v>
      </c>
      <c r="V25" s="774" t="s">
        <v>17</v>
      </c>
      <c r="W25" s="775">
        <f>J25</f>
        <v>100</v>
      </c>
      <c r="X25" s="1812"/>
      <c r="Y25" s="3325"/>
      <c r="Z25" s="1813" t="str">
        <f>Q25</f>
        <v>自然及人文环境状况</v>
      </c>
      <c r="AA25" s="1810">
        <f t="shared" si="3"/>
        <v>1</v>
      </c>
      <c r="AB25" s="1810">
        <f t="shared" si="4"/>
        <v>1</v>
      </c>
      <c r="AC25" s="1810">
        <f t="shared" si="5"/>
        <v>1</v>
      </c>
    </row>
    <row r="26" spans="1:29" ht="15.5">
      <c r="A26" s="404"/>
      <c r="B26" s="456"/>
      <c r="C26" s="447" t="s">
        <v>3321</v>
      </c>
      <c r="D26" s="448"/>
      <c r="E26" s="447" t="s">
        <v>3320</v>
      </c>
      <c r="F26" s="448"/>
      <c r="G26" s="447" t="s">
        <v>3320</v>
      </c>
      <c r="H26" s="448"/>
      <c r="I26" s="447" t="s">
        <v>3320</v>
      </c>
      <c r="J26" s="448"/>
      <c r="K26" s="672"/>
      <c r="L26" s="1140"/>
      <c r="M26" s="1131"/>
      <c r="N26" s="1131"/>
      <c r="O26" s="1139"/>
      <c r="P26" s="3325"/>
      <c r="Q26" s="1809"/>
      <c r="R26" s="774"/>
      <c r="S26" s="775"/>
      <c r="T26" s="774"/>
      <c r="U26" s="775"/>
      <c r="V26" s="774"/>
      <c r="W26" s="775"/>
      <c r="X26" s="1812"/>
      <c r="Y26" s="3325"/>
      <c r="Z26" s="1813"/>
      <c r="AA26" s="1810">
        <v>1</v>
      </c>
      <c r="AB26" s="1810">
        <v>1</v>
      </c>
      <c r="AC26" s="1810">
        <v>1</v>
      </c>
    </row>
    <row r="27" spans="1:29" s="117" customFormat="1" ht="42">
      <c r="A27" s="649"/>
      <c r="B27" s="1384" t="s">
        <v>2649</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325"/>
      <c r="Q27" s="1794" t="str">
        <f t="shared" si="8"/>
        <v>公共配套设施</v>
      </c>
      <c r="R27" s="770" t="s">
        <v>17</v>
      </c>
      <c r="S27" s="771">
        <f>F27</f>
        <v>100</v>
      </c>
      <c r="T27" s="770" t="s">
        <v>17</v>
      </c>
      <c r="U27" s="771">
        <f>H27</f>
        <v>100</v>
      </c>
      <c r="V27" s="770" t="s">
        <v>17</v>
      </c>
      <c r="W27" s="771">
        <f>J27</f>
        <v>100</v>
      </c>
      <c r="X27" s="772"/>
      <c r="Y27" s="3325"/>
      <c r="Z27" s="55" t="str">
        <f>Q27</f>
        <v>公共配套设施</v>
      </c>
      <c r="AA27" s="1810">
        <f>D27/F27</f>
        <v>1</v>
      </c>
      <c r="AB27" s="1810">
        <f>D27/H27</f>
        <v>1</v>
      </c>
      <c r="AC27" s="1810">
        <f>D27/J27</f>
        <v>1</v>
      </c>
    </row>
    <row r="28" spans="1:29" s="117" customFormat="1" ht="15.5">
      <c r="A28" s="649"/>
      <c r="B28" s="456"/>
      <c r="C28" s="2694" t="s">
        <v>3320</v>
      </c>
      <c r="D28" s="448"/>
      <c r="E28" s="2694" t="s">
        <v>3320</v>
      </c>
      <c r="F28" s="448"/>
      <c r="G28" s="2694" t="s">
        <v>3320</v>
      </c>
      <c r="H28" s="448"/>
      <c r="I28" s="2694" t="s">
        <v>3320</v>
      </c>
      <c r="J28" s="448"/>
      <c r="K28" s="672"/>
      <c r="L28" s="1132"/>
      <c r="M28" s="1133"/>
      <c r="N28" s="1133"/>
      <c r="O28" s="1134"/>
      <c r="P28" s="3325"/>
      <c r="Q28" s="1794"/>
      <c r="R28" s="770"/>
      <c r="S28" s="771"/>
      <c r="T28" s="770"/>
      <c r="U28" s="771"/>
      <c r="V28" s="770"/>
      <c r="W28" s="771"/>
      <c r="X28" s="772"/>
      <c r="Y28" s="3325"/>
      <c r="Z28" s="55"/>
      <c r="AA28" s="1810">
        <v>1</v>
      </c>
      <c r="AB28" s="1810">
        <v>1</v>
      </c>
      <c r="AC28" s="1810">
        <v>1</v>
      </c>
    </row>
    <row r="29" spans="1:29" s="117" customFormat="1" ht="42">
      <c r="A29" s="649"/>
      <c r="B29" s="1384" t="s">
        <v>2650</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325"/>
      <c r="Q29" s="1794" t="str">
        <f t="shared" ref="Q29" si="9">B29</f>
        <v>基础设施水平</v>
      </c>
      <c r="R29" s="770" t="s">
        <v>17</v>
      </c>
      <c r="S29" s="771">
        <f>F29</f>
        <v>100</v>
      </c>
      <c r="T29" s="770" t="s">
        <v>17</v>
      </c>
      <c r="U29" s="771">
        <f>H29</f>
        <v>100</v>
      </c>
      <c r="V29" s="770" t="s">
        <v>17</v>
      </c>
      <c r="W29" s="771">
        <f>J29</f>
        <v>100</v>
      </c>
      <c r="X29" s="772"/>
      <c r="Y29" s="3325"/>
      <c r="Z29" s="55" t="str">
        <f>Q29</f>
        <v>基础设施水平</v>
      </c>
      <c r="AA29" s="1810">
        <f>D29/F29</f>
        <v>1</v>
      </c>
      <c r="AB29" s="1810">
        <f>D29/H29</f>
        <v>1</v>
      </c>
      <c r="AC29" s="1810">
        <f>D29/J29</f>
        <v>1</v>
      </c>
    </row>
    <row r="30" spans="1:29" s="117" customFormat="1" ht="16" thickBot="1">
      <c r="A30" s="649"/>
      <c r="B30" s="456"/>
      <c r="C30" s="2694" t="s">
        <v>3316</v>
      </c>
      <c r="D30" s="448"/>
      <c r="E30" s="2694" t="s">
        <v>3316</v>
      </c>
      <c r="F30" s="448"/>
      <c r="G30" s="2694" t="s">
        <v>3316</v>
      </c>
      <c r="H30" s="448"/>
      <c r="I30" s="2694" t="s">
        <v>3316</v>
      </c>
      <c r="J30" s="448"/>
      <c r="K30" s="672"/>
      <c r="L30" s="1132"/>
      <c r="M30" s="1133"/>
      <c r="N30" s="1133"/>
      <c r="O30" s="1134"/>
      <c r="P30" s="3325"/>
      <c r="Q30" s="1794"/>
      <c r="R30" s="770"/>
      <c r="S30" s="771"/>
      <c r="T30" s="770"/>
      <c r="U30" s="771"/>
      <c r="V30" s="770"/>
      <c r="W30" s="771"/>
      <c r="X30" s="772"/>
      <c r="Y30" s="3325"/>
      <c r="Z30" s="55"/>
      <c r="AA30" s="1810">
        <v>1</v>
      </c>
      <c r="AB30" s="1810">
        <v>1</v>
      </c>
      <c r="AC30" s="1810">
        <v>1</v>
      </c>
    </row>
    <row r="31" spans="1:29" ht="15.5" hidden="1">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2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325"/>
      <c r="Z31" s="1813" t="str">
        <f t="shared" ref="Z31:Z45" si="13">Q31</f>
        <v>临街状况</v>
      </c>
      <c r="AA31" s="1810">
        <f t="shared" si="3"/>
        <v>1</v>
      </c>
      <c r="AB31" s="1810">
        <f t="shared" si="4"/>
        <v>1</v>
      </c>
      <c r="AC31" s="1810">
        <f t="shared" si="5"/>
        <v>1</v>
      </c>
    </row>
    <row r="32" spans="1:29" ht="28" hidden="1">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25"/>
      <c r="Q32" s="1809" t="str">
        <f t="shared" si="8"/>
        <v>毗邻道路的类型与等级</v>
      </c>
      <c r="R32" s="774" t="s">
        <v>17</v>
      </c>
      <c r="S32" s="775">
        <f t="shared" si="10"/>
        <v>100</v>
      </c>
      <c r="T32" s="774" t="s">
        <v>17</v>
      </c>
      <c r="U32" s="775">
        <f t="shared" si="11"/>
        <v>100</v>
      </c>
      <c r="V32" s="774" t="s">
        <v>17</v>
      </c>
      <c r="W32" s="775">
        <f t="shared" si="12"/>
        <v>100</v>
      </c>
      <c r="X32" s="1812"/>
      <c r="Y32" s="3325"/>
      <c r="Z32" s="1813" t="str">
        <f t="shared" si="13"/>
        <v>毗邻道路的类型与等级</v>
      </c>
      <c r="AA32" s="1810">
        <f t="shared" si="3"/>
        <v>1</v>
      </c>
      <c r="AB32" s="1810">
        <f t="shared" si="4"/>
        <v>1</v>
      </c>
      <c r="AC32" s="1810">
        <f t="shared" si="5"/>
        <v>1</v>
      </c>
    </row>
    <row r="33" spans="1:29" ht="15.5" hidden="1">
      <c r="A33" s="428"/>
      <c r="B33" s="456"/>
      <c r="C33" s="447"/>
      <c r="D33" s="448"/>
      <c r="E33" s="2607"/>
      <c r="F33" s="448"/>
      <c r="G33" s="2607"/>
      <c r="H33" s="448"/>
      <c r="I33" s="447"/>
      <c r="J33" s="448"/>
      <c r="K33" s="613"/>
      <c r="L33" s="1140"/>
      <c r="M33" s="1131"/>
      <c r="N33" s="1131"/>
      <c r="O33" s="1139"/>
      <c r="P33" s="3325"/>
      <c r="Q33" s="1809"/>
      <c r="R33" s="774"/>
      <c r="S33" s="775"/>
      <c r="T33" s="774"/>
      <c r="U33" s="775"/>
      <c r="V33" s="774"/>
      <c r="W33" s="775"/>
      <c r="X33" s="1812"/>
      <c r="Y33" s="3325"/>
      <c r="Z33" s="1813"/>
      <c r="AA33" s="1810">
        <v>1</v>
      </c>
      <c r="AB33" s="1810">
        <v>1</v>
      </c>
      <c r="AC33" s="1810">
        <v>1</v>
      </c>
    </row>
    <row r="34" spans="1:29" ht="15.5" hidden="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25"/>
      <c r="Q34" s="1809" t="str">
        <f t="shared" si="8"/>
        <v>土地级别</v>
      </c>
      <c r="R34" s="774" t="s">
        <v>17</v>
      </c>
      <c r="S34" s="775">
        <f t="shared" si="10"/>
        <v>100</v>
      </c>
      <c r="T34" s="774" t="s">
        <v>17</v>
      </c>
      <c r="U34" s="775">
        <f t="shared" si="11"/>
        <v>100</v>
      </c>
      <c r="V34" s="774" t="s">
        <v>17</v>
      </c>
      <c r="W34" s="775">
        <f t="shared" si="12"/>
        <v>100</v>
      </c>
      <c r="X34" s="1812"/>
      <c r="Y34" s="3325"/>
      <c r="Z34" s="1813" t="str">
        <f t="shared" si="13"/>
        <v>土地级别</v>
      </c>
      <c r="AA34" s="1810">
        <f t="shared" si="3"/>
        <v>1</v>
      </c>
      <c r="AB34" s="1810">
        <f t="shared" si="4"/>
        <v>1</v>
      </c>
      <c r="AC34" s="1810">
        <f t="shared" si="5"/>
        <v>1</v>
      </c>
    </row>
    <row r="35" spans="1:29" ht="16" hidden="1" thickBot="1">
      <c r="A35" s="404"/>
      <c r="B35" s="3007"/>
      <c r="C35" s="3009"/>
      <c r="D35" s="435">
        <v>100</v>
      </c>
      <c r="E35" s="3010"/>
      <c r="F35" s="435">
        <f>SUMIF(110:110,E35,111:111)-SUMIF(110:110,C35,111:111)+100</f>
        <v>100</v>
      </c>
      <c r="G35" s="3010"/>
      <c r="H35" s="435">
        <f>SUMIF(110:110,G35,111:111)-SUMIF(110:110,C35,111:111)+100</f>
        <v>100</v>
      </c>
      <c r="I35" s="3010"/>
      <c r="J35" s="435">
        <f>SUMIF(110:110,I35,111:111)-SUMIF(110:110,C35,111:111)+100</f>
        <v>100</v>
      </c>
      <c r="K35" s="613"/>
      <c r="L35" s="1140"/>
      <c r="M35" s="1131"/>
      <c r="N35" s="1131"/>
      <c r="O35" s="1139"/>
      <c r="P35" s="3325"/>
      <c r="Q35" s="1809">
        <f t="shared" si="8"/>
        <v>0</v>
      </c>
      <c r="R35" s="774" t="s">
        <v>17</v>
      </c>
      <c r="S35" s="775">
        <f t="shared" si="10"/>
        <v>100</v>
      </c>
      <c r="T35" s="774" t="s">
        <v>17</v>
      </c>
      <c r="U35" s="775">
        <f t="shared" si="11"/>
        <v>100</v>
      </c>
      <c r="V35" s="774" t="s">
        <v>17</v>
      </c>
      <c r="W35" s="775">
        <f t="shared" si="12"/>
        <v>100</v>
      </c>
      <c r="X35" s="1812"/>
      <c r="Y35" s="3325"/>
      <c r="Z35" s="1813">
        <f t="shared" si="13"/>
        <v>0</v>
      </c>
      <c r="AA35" s="1810">
        <f t="shared" si="3"/>
        <v>1</v>
      </c>
      <c r="AB35" s="1810">
        <f t="shared" si="4"/>
        <v>1</v>
      </c>
      <c r="AC35" s="1810">
        <f t="shared" si="5"/>
        <v>1</v>
      </c>
    </row>
    <row r="36" spans="1:29" ht="15.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6" t="s">
        <v>2560</v>
      </c>
      <c r="Q36" s="1809">
        <f t="shared" si="8"/>
        <v>111</v>
      </c>
      <c r="R36" s="774" t="s">
        <v>17</v>
      </c>
      <c r="S36" s="775">
        <f t="shared" si="10"/>
        <v>100</v>
      </c>
      <c r="T36" s="774" t="s">
        <v>17</v>
      </c>
      <c r="U36" s="775">
        <f t="shared" si="11"/>
        <v>100</v>
      </c>
      <c r="V36" s="774" t="s">
        <v>17</v>
      </c>
      <c r="W36" s="775">
        <f t="shared" si="12"/>
        <v>100</v>
      </c>
      <c r="X36" s="1812"/>
      <c r="Y36" s="3327" t="s">
        <v>2560</v>
      </c>
      <c r="Z36" s="1813">
        <f t="shared" si="13"/>
        <v>111</v>
      </c>
      <c r="AA36" s="1810">
        <f t="shared" si="3"/>
        <v>1</v>
      </c>
      <c r="AB36" s="1810">
        <f t="shared" si="4"/>
        <v>1</v>
      </c>
      <c r="AC36" s="1810">
        <f t="shared" si="5"/>
        <v>1</v>
      </c>
    </row>
    <row r="37" spans="1:29" s="471" customFormat="1" ht="1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27"/>
      <c r="Q37" s="1809">
        <f t="shared" si="8"/>
        <v>111</v>
      </c>
      <c r="R37" s="777" t="s">
        <v>17</v>
      </c>
      <c r="S37" s="778">
        <f t="shared" si="10"/>
        <v>100</v>
      </c>
      <c r="T37" s="777" t="s">
        <v>17</v>
      </c>
      <c r="U37" s="778">
        <f t="shared" si="11"/>
        <v>100</v>
      </c>
      <c r="V37" s="777" t="s">
        <v>17</v>
      </c>
      <c r="W37" s="778">
        <f t="shared" si="12"/>
        <v>100</v>
      </c>
      <c r="X37" s="779"/>
      <c r="Y37" s="3327"/>
      <c r="Z37" s="780">
        <f t="shared" si="13"/>
        <v>111</v>
      </c>
      <c r="AA37" s="1810">
        <f t="shared" si="3"/>
        <v>1</v>
      </c>
      <c r="AB37" s="1810">
        <f t="shared" si="4"/>
        <v>1</v>
      </c>
      <c r="AC37" s="1810">
        <f t="shared" si="5"/>
        <v>1</v>
      </c>
    </row>
    <row r="38" spans="1:29" ht="15.5">
      <c r="A38" s="472" t="s">
        <v>2558</v>
      </c>
      <c r="B38" s="456" t="s">
        <v>2746</v>
      </c>
      <c r="C38" s="679">
        <f>面积表!C10</f>
        <v>131452.39000000001</v>
      </c>
      <c r="D38" s="467">
        <v>100</v>
      </c>
      <c r="E38" s="679">
        <f>Sheet1!D3</f>
        <v>8481.24</v>
      </c>
      <c r="F38" s="467">
        <f>LOOKUP(E38,117:117,118:118)-LOOKUP(C38,117:117,118:118)+100</f>
        <v>94</v>
      </c>
      <c r="G38" s="679">
        <f>Sheet1!D5</f>
        <v>143540.9</v>
      </c>
      <c r="H38" s="467">
        <f>LOOKUP(G38,117:117,118:118)-LOOKUP(C38,117:117,118:118)+100</f>
        <v>100</v>
      </c>
      <c r="I38" s="530">
        <f>Sheet4!D4</f>
        <v>74324.13</v>
      </c>
      <c r="J38" s="467">
        <f>LOOKUP(I38,117:117,118:118)-LOOKUP(C38,117:117,118:118)+100</f>
        <v>98</v>
      </c>
      <c r="K38" s="613"/>
      <c r="L38" s="1140"/>
      <c r="M38" s="1131"/>
      <c r="N38" s="1131"/>
      <c r="O38" s="1139"/>
      <c r="P38" s="3327"/>
      <c r="Q38" s="1809" t="str">
        <f>B38</f>
        <v>宗地面积</v>
      </c>
      <c r="R38" s="774" t="s">
        <v>17</v>
      </c>
      <c r="S38" s="775">
        <f t="shared" si="10"/>
        <v>94</v>
      </c>
      <c r="T38" s="774" t="s">
        <v>17</v>
      </c>
      <c r="U38" s="775">
        <f t="shared" si="11"/>
        <v>100</v>
      </c>
      <c r="V38" s="774" t="s">
        <v>17</v>
      </c>
      <c r="W38" s="775">
        <f t="shared" si="12"/>
        <v>98</v>
      </c>
      <c r="X38" s="1812"/>
      <c r="Y38" s="3327"/>
      <c r="Z38" s="1813" t="str">
        <f t="shared" si="13"/>
        <v>宗地面积</v>
      </c>
      <c r="AA38" s="1810">
        <f t="shared" si="3"/>
        <v>1.0638297872340425</v>
      </c>
      <c r="AB38" s="1810">
        <f t="shared" si="4"/>
        <v>1</v>
      </c>
      <c r="AC38" s="1810">
        <f t="shared" si="5"/>
        <v>1.0204081632653061</v>
      </c>
    </row>
    <row r="39" spans="1:29" ht="15.5">
      <c r="A39" s="472"/>
      <c r="B39" s="422" t="s">
        <v>2747</v>
      </c>
      <c r="C39" s="2609" t="s">
        <v>3312</v>
      </c>
      <c r="D39" s="435">
        <v>100</v>
      </c>
      <c r="E39" s="2609" t="s">
        <v>3312</v>
      </c>
      <c r="F39" s="435">
        <f>SUMIF(119:119,E39,120:120)-SUMIF(119:119,C39,120:120)+100</f>
        <v>100</v>
      </c>
      <c r="G39" s="2609" t="s">
        <v>3312</v>
      </c>
      <c r="H39" s="435">
        <f>SUMIF(119:119,G39,120:120)-SUMIF(119:119,C39,120:120)+100</f>
        <v>100</v>
      </c>
      <c r="I39" s="2609" t="s">
        <v>3312</v>
      </c>
      <c r="J39" s="435">
        <f>SUMIF(119:119,I39,120:120)-SUMIF(119:119,C39,120:120)+100</f>
        <v>100</v>
      </c>
      <c r="K39" s="612">
        <v>2</v>
      </c>
      <c r="L39" s="1140"/>
      <c r="M39" s="1131"/>
      <c r="N39" s="1131"/>
      <c r="O39" s="1139"/>
      <c r="P39" s="3327"/>
      <c r="Q39" s="1809" t="str">
        <f t="shared" ref="Q39:Q45" si="14">B39</f>
        <v>宗地形状</v>
      </c>
      <c r="R39" s="774" t="s">
        <v>17</v>
      </c>
      <c r="S39" s="775">
        <f t="shared" si="10"/>
        <v>100</v>
      </c>
      <c r="T39" s="774" t="s">
        <v>17</v>
      </c>
      <c r="U39" s="775">
        <f t="shared" si="11"/>
        <v>100</v>
      </c>
      <c r="V39" s="774" t="s">
        <v>17</v>
      </c>
      <c r="W39" s="775">
        <f t="shared" si="12"/>
        <v>100</v>
      </c>
      <c r="X39" s="1812"/>
      <c r="Y39" s="3327"/>
      <c r="Z39" s="1813" t="str">
        <f t="shared" si="13"/>
        <v>宗地形状</v>
      </c>
      <c r="AA39" s="1810">
        <f t="shared" si="3"/>
        <v>1</v>
      </c>
      <c r="AB39" s="1810">
        <f t="shared" si="4"/>
        <v>1</v>
      </c>
      <c r="AC39" s="1810">
        <f t="shared" si="5"/>
        <v>1</v>
      </c>
    </row>
    <row r="40" spans="1:29" ht="15.5">
      <c r="A40" s="472"/>
      <c r="B40" s="422" t="s">
        <v>2748</v>
      </c>
      <c r="C40" s="2609" t="s">
        <v>3314</v>
      </c>
      <c r="D40" s="435">
        <v>100</v>
      </c>
      <c r="E40" s="2609" t="s">
        <v>3314</v>
      </c>
      <c r="F40" s="435">
        <f>SUMIF(121:121,E40,122:122)-SUMIF(121:121,C40,122:122)+100</f>
        <v>100</v>
      </c>
      <c r="G40" s="2609" t="s">
        <v>3314</v>
      </c>
      <c r="H40" s="435">
        <f>SUMIF(121:121,G40,122:122)-SUMIF(121:121,C40,122:122)+100</f>
        <v>100</v>
      </c>
      <c r="I40" s="2609" t="s">
        <v>3314</v>
      </c>
      <c r="J40" s="435">
        <f>SUMIF(121:121,I40,122:122)-SUMIF(121:121,C40,122:122)+100</f>
        <v>100</v>
      </c>
      <c r="K40" s="612">
        <v>2</v>
      </c>
      <c r="L40" s="1140"/>
      <c r="M40" s="1131"/>
      <c r="N40" s="1131"/>
      <c r="O40" s="1139"/>
      <c r="P40" s="3327"/>
      <c r="Q40" s="1809" t="str">
        <f t="shared" si="14"/>
        <v>临街宽度及深度</v>
      </c>
      <c r="R40" s="774" t="s">
        <v>17</v>
      </c>
      <c r="S40" s="775">
        <f t="shared" si="10"/>
        <v>100</v>
      </c>
      <c r="T40" s="774" t="s">
        <v>17</v>
      </c>
      <c r="U40" s="775">
        <f t="shared" si="11"/>
        <v>100</v>
      </c>
      <c r="V40" s="774" t="s">
        <v>17</v>
      </c>
      <c r="W40" s="775">
        <f t="shared" si="12"/>
        <v>100</v>
      </c>
      <c r="X40" s="1812"/>
      <c r="Y40" s="3327"/>
      <c r="Z40" s="1813" t="str">
        <f t="shared" si="13"/>
        <v>临街宽度及深度</v>
      </c>
      <c r="AA40" s="1810">
        <f t="shared" si="3"/>
        <v>1</v>
      </c>
      <c r="AB40" s="1810">
        <f t="shared" si="4"/>
        <v>1</v>
      </c>
      <c r="AC40" s="1810">
        <f t="shared" si="5"/>
        <v>1</v>
      </c>
    </row>
    <row r="41" spans="1:29" s="117" customFormat="1" ht="15.5">
      <c r="A41" s="473"/>
      <c r="B41" s="422" t="s">
        <v>2749</v>
      </c>
      <c r="C41" s="2696" t="s">
        <v>3316</v>
      </c>
      <c r="D41" s="136">
        <v>100</v>
      </c>
      <c r="E41" s="2696" t="s">
        <v>3316</v>
      </c>
      <c r="F41" s="435">
        <f>SUMIF(123:123,E41,124:124)-SUMIF(123:123,C41,124:124)+100</f>
        <v>100</v>
      </c>
      <c r="G41" s="2696" t="s">
        <v>3316</v>
      </c>
      <c r="H41" s="435">
        <f>SUMIF(123:123,G41,124:124)-SUMIF(123:123,C41,124:124)+100</f>
        <v>100</v>
      </c>
      <c r="I41" s="2696" t="s">
        <v>3316</v>
      </c>
      <c r="J41" s="435">
        <f>SUMIF(123:123,I41,124:124)-SUMIF(123:123,C41,124:124)+100</f>
        <v>100</v>
      </c>
      <c r="K41" s="612">
        <v>1</v>
      </c>
      <c r="L41" s="1132"/>
      <c r="M41" s="1133"/>
      <c r="N41" s="1133"/>
      <c r="O41" s="1134"/>
      <c r="P41" s="3327"/>
      <c r="Q41" s="1809" t="str">
        <f t="shared" si="14"/>
        <v>宗地开发程度</v>
      </c>
      <c r="R41" s="770" t="s">
        <v>17</v>
      </c>
      <c r="S41" s="771">
        <f t="shared" si="10"/>
        <v>100</v>
      </c>
      <c r="T41" s="770" t="s">
        <v>17</v>
      </c>
      <c r="U41" s="771">
        <f t="shared" si="11"/>
        <v>100</v>
      </c>
      <c r="V41" s="770" t="s">
        <v>17</v>
      </c>
      <c r="W41" s="771">
        <f t="shared" si="12"/>
        <v>100</v>
      </c>
      <c r="X41" s="772"/>
      <c r="Y41" s="3327"/>
      <c r="Z41" s="55" t="str">
        <f t="shared" si="13"/>
        <v>宗地开发程度</v>
      </c>
      <c r="AA41" s="773">
        <f t="shared" si="3"/>
        <v>1</v>
      </c>
      <c r="AB41" s="773">
        <f t="shared" si="4"/>
        <v>1</v>
      </c>
      <c r="AC41" s="773">
        <f t="shared" si="5"/>
        <v>1</v>
      </c>
    </row>
    <row r="42" spans="1:29" ht="16" thickBot="1">
      <c r="A42" s="472"/>
      <c r="B42" s="422" t="s">
        <v>2750</v>
      </c>
      <c r="C42" s="2609" t="s">
        <v>3318</v>
      </c>
      <c r="D42" s="435">
        <v>100</v>
      </c>
      <c r="E42" s="2609" t="s">
        <v>3318</v>
      </c>
      <c r="F42" s="435">
        <f>SUMIF(125:125,E42,126:126)-SUMIF(125:125,C42,126:126)+100</f>
        <v>100</v>
      </c>
      <c r="G42" s="2609" t="s">
        <v>3318</v>
      </c>
      <c r="H42" s="435">
        <f>SUMIF(125:125,G42,126:126)-SUMIF(125:125,C42,126:126)+100</f>
        <v>100</v>
      </c>
      <c r="I42" s="2609" t="s">
        <v>3318</v>
      </c>
      <c r="J42" s="435">
        <f>SUMIF(125:125,I42,126:126)-SUMIF(125:125,C42,126:126)+100</f>
        <v>100</v>
      </c>
      <c r="K42" s="612">
        <v>2</v>
      </c>
      <c r="L42" s="1140"/>
      <c r="M42" s="1131"/>
      <c r="N42" s="1131"/>
      <c r="O42" s="1139"/>
      <c r="P42" s="3327" t="s">
        <v>2560</v>
      </c>
      <c r="Q42" s="1809" t="str">
        <f t="shared" si="14"/>
        <v>工程地质条件</v>
      </c>
      <c r="R42" s="774" t="s">
        <v>17</v>
      </c>
      <c r="S42" s="775">
        <f t="shared" si="10"/>
        <v>100</v>
      </c>
      <c r="T42" s="774" t="s">
        <v>17</v>
      </c>
      <c r="U42" s="775">
        <f t="shared" si="11"/>
        <v>100</v>
      </c>
      <c r="V42" s="774" t="s">
        <v>17</v>
      </c>
      <c r="W42" s="775">
        <f t="shared" si="12"/>
        <v>100</v>
      </c>
      <c r="X42" s="1812"/>
      <c r="Y42" s="3327" t="s">
        <v>2560</v>
      </c>
      <c r="Z42" s="1813" t="str">
        <f t="shared" si="13"/>
        <v>工程地质条件</v>
      </c>
      <c r="AA42" s="1810">
        <f t="shared" si="3"/>
        <v>1</v>
      </c>
      <c r="AB42" s="1810">
        <f t="shared" si="4"/>
        <v>1</v>
      </c>
      <c r="AC42" s="1810">
        <f t="shared" si="5"/>
        <v>1</v>
      </c>
    </row>
    <row r="43" spans="1:29" ht="15.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27"/>
      <c r="Q43" s="1809">
        <f t="shared" si="14"/>
        <v>111</v>
      </c>
      <c r="R43" s="774" t="s">
        <v>17</v>
      </c>
      <c r="S43" s="775">
        <f t="shared" si="10"/>
        <v>100</v>
      </c>
      <c r="T43" s="774" t="s">
        <v>17</v>
      </c>
      <c r="U43" s="775">
        <f t="shared" si="11"/>
        <v>100</v>
      </c>
      <c r="V43" s="774" t="s">
        <v>17</v>
      </c>
      <c r="W43" s="775">
        <f t="shared" si="12"/>
        <v>100</v>
      </c>
      <c r="X43" s="1812"/>
      <c r="Y43" s="3327"/>
      <c r="Z43" s="1813">
        <f t="shared" si="13"/>
        <v>111</v>
      </c>
      <c r="AA43" s="1810">
        <f t="shared" si="3"/>
        <v>1</v>
      </c>
      <c r="AB43" s="1810">
        <f t="shared" si="4"/>
        <v>1</v>
      </c>
      <c r="AC43" s="1810">
        <f t="shared" si="5"/>
        <v>1</v>
      </c>
    </row>
    <row r="44" spans="1:29" ht="15.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27"/>
      <c r="Q44" s="1809">
        <f t="shared" si="14"/>
        <v>111</v>
      </c>
      <c r="R44" s="774" t="s">
        <v>17</v>
      </c>
      <c r="S44" s="775">
        <f t="shared" si="10"/>
        <v>100</v>
      </c>
      <c r="T44" s="774" t="s">
        <v>17</v>
      </c>
      <c r="U44" s="775">
        <f t="shared" si="11"/>
        <v>100</v>
      </c>
      <c r="V44" s="774" t="s">
        <v>17</v>
      </c>
      <c r="W44" s="775">
        <f t="shared" si="12"/>
        <v>100</v>
      </c>
      <c r="X44" s="1812"/>
      <c r="Y44" s="3327"/>
      <c r="Z44" s="1813">
        <f t="shared" si="13"/>
        <v>111</v>
      </c>
      <c r="AA44" s="1810">
        <f t="shared" si="3"/>
        <v>1</v>
      </c>
      <c r="AB44" s="1810">
        <f t="shared" si="4"/>
        <v>1</v>
      </c>
      <c r="AC44" s="1810">
        <f t="shared" si="5"/>
        <v>1</v>
      </c>
    </row>
    <row r="45" spans="1:29" s="471" customFormat="1" ht="16"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27"/>
      <c r="Q45" s="1809">
        <f t="shared" si="14"/>
        <v>111</v>
      </c>
      <c r="R45" s="777" t="s">
        <v>17</v>
      </c>
      <c r="S45" s="778">
        <f t="shared" si="10"/>
        <v>100</v>
      </c>
      <c r="T45" s="777" t="s">
        <v>17</v>
      </c>
      <c r="U45" s="778">
        <f t="shared" si="11"/>
        <v>100</v>
      </c>
      <c r="V45" s="777" t="s">
        <v>17</v>
      </c>
      <c r="W45" s="778">
        <f t="shared" si="12"/>
        <v>100</v>
      </c>
      <c r="X45" s="779"/>
      <c r="Y45" s="3327"/>
      <c r="Z45" s="780">
        <f t="shared" si="13"/>
        <v>111</v>
      </c>
      <c r="AA45" s="1810">
        <f t="shared" si="3"/>
        <v>1</v>
      </c>
      <c r="AB45" s="1810">
        <f t="shared" si="4"/>
        <v>1</v>
      </c>
      <c r="AC45" s="1810">
        <f t="shared" si="5"/>
        <v>1</v>
      </c>
    </row>
    <row r="46" spans="1:29">
      <c r="A46" s="479" t="s">
        <v>2715</v>
      </c>
      <c r="B46" s="2698" t="s">
        <v>3287</v>
      </c>
      <c r="C46" s="682" t="s">
        <v>1</v>
      </c>
      <c r="D46" s="481"/>
      <c r="E46" s="482">
        <f>ROUND(Sheet1!N3*L46,0)</f>
        <v>6924</v>
      </c>
      <c r="F46" s="483"/>
      <c r="G46" s="484">
        <f>ROUND(Sheet1!N5*L46,0)</f>
        <v>7943</v>
      </c>
      <c r="H46" s="485"/>
      <c r="I46" s="482">
        <f>ROUND(Sheet4!N4*L46,0)</f>
        <v>7309</v>
      </c>
      <c r="J46" s="485"/>
      <c r="K46" s="783"/>
      <c r="L46" s="1143">
        <v>1.35</v>
      </c>
      <c r="M46" s="1144"/>
      <c r="N46" s="1131"/>
      <c r="O46" s="1144"/>
      <c r="P46" s="3322" t="str">
        <f>A46</f>
        <v>成交单价</v>
      </c>
      <c r="Q46" s="3322"/>
      <c r="R46" s="3328">
        <f>E46</f>
        <v>6924</v>
      </c>
      <c r="S46" s="3328"/>
      <c r="T46" s="3328">
        <f>G46</f>
        <v>7943</v>
      </c>
      <c r="U46" s="3328"/>
      <c r="V46" s="3328">
        <f>I46</f>
        <v>7309</v>
      </c>
      <c r="W46" s="3328"/>
      <c r="X46" s="759"/>
      <c r="Y46" s="781"/>
      <c r="Z46" s="759"/>
      <c r="AA46" s="759"/>
      <c r="AB46" s="759"/>
      <c r="AC46" s="759"/>
    </row>
    <row r="47" spans="1:29" ht="14.5" thickBot="1">
      <c r="A47" s="486" t="s">
        <v>2664</v>
      </c>
      <c r="B47" s="683"/>
      <c r="C47" s="490">
        <f>R48</f>
        <v>6714</v>
      </c>
      <c r="D47" s="489"/>
      <c r="E47" s="490">
        <f>R47</f>
        <v>6558</v>
      </c>
      <c r="F47" s="491"/>
      <c r="G47" s="488">
        <f>T47</f>
        <v>7146</v>
      </c>
      <c r="H47" s="489"/>
      <c r="I47" s="490">
        <f>V47</f>
        <v>6439</v>
      </c>
      <c r="J47" s="489"/>
      <c r="K47" s="784"/>
      <c r="L47" s="1143"/>
      <c r="M47" s="1144"/>
      <c r="N47" s="1144"/>
      <c r="O47" s="1144"/>
      <c r="P47" s="3322" t="str">
        <f>A47</f>
        <v>比较价值（元/平方米）</v>
      </c>
      <c r="Q47" s="3322"/>
      <c r="R47" s="3315">
        <f>ROUND(PRODUCT(R46,AA7:AA45),0)</f>
        <v>6558</v>
      </c>
      <c r="S47" s="3315"/>
      <c r="T47" s="3315">
        <f>ROUND(PRODUCT(T46,AB7:AB45),0)</f>
        <v>7146</v>
      </c>
      <c r="U47" s="3315"/>
      <c r="V47" s="3315">
        <f>ROUND(PRODUCT(V46,AC7:AC45),0)</f>
        <v>6439</v>
      </c>
      <c r="W47" s="3315"/>
      <c r="X47" s="759"/>
      <c r="Y47" s="759"/>
      <c r="Z47" s="759"/>
      <c r="AA47" s="759"/>
      <c r="AB47" s="759"/>
      <c r="AC47" s="759"/>
    </row>
    <row r="48" spans="1:29" ht="14.5" thickBot="1">
      <c r="A48" s="492" t="s">
        <v>2751</v>
      </c>
      <c r="B48" s="493"/>
      <c r="C48" s="494">
        <f>R48</f>
        <v>6714</v>
      </c>
      <c r="D48" s="494"/>
      <c r="E48" s="494"/>
      <c r="F48" s="494"/>
      <c r="G48" s="494"/>
      <c r="H48" s="494"/>
      <c r="I48" s="494"/>
      <c r="J48" s="494"/>
      <c r="K48" s="785"/>
      <c r="L48" s="1143"/>
      <c r="M48" s="1144"/>
      <c r="N48" s="1144"/>
      <c r="O48" s="1144"/>
      <c r="P48" s="3316" t="str">
        <f>A48</f>
        <v>估价对象XX用房的比较价值（楼面单价，元/平方米）</v>
      </c>
      <c r="Q48" s="3317"/>
      <c r="R48" s="3318">
        <f>ROUND(AVERAGE(R47:V47),0)</f>
        <v>6714</v>
      </c>
      <c r="S48" s="3318"/>
      <c r="T48" s="3318"/>
      <c r="U48" s="3318"/>
      <c r="V48" s="3318"/>
      <c r="W48" s="331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5.5809698078682635E-2</v>
      </c>
      <c r="F51" s="500" t="str">
        <f>IF(OR(E51&gt;=0.3,E51&lt;=-0.3),"超过30%","")</f>
        <v/>
      </c>
      <c r="G51" s="499">
        <f>IF(G46&lt;G47,G47/G46-1,G46/G47-1)</f>
        <v>0.11153092639238738</v>
      </c>
      <c r="H51" s="500" t="str">
        <f>IF(OR(G51&gt;=0.3,G51&lt;=-0.3),"超过30%","")</f>
        <v/>
      </c>
      <c r="I51" s="499">
        <f>IF(I46&lt;I47,I47/I46-1,I46/I47-1)</f>
        <v>0.13511414815965206</v>
      </c>
      <c r="J51" s="500" t="str">
        <f>IF(OR(I51&gt;=0.3,I51&lt;=-0.3),"超过30%","")</f>
        <v/>
      </c>
      <c r="K51" s="1105"/>
      <c r="L51" s="1106"/>
      <c r="M51" s="1144"/>
      <c r="N51" s="1144"/>
      <c r="O51" s="1144"/>
    </row>
    <row r="52" spans="1:15" ht="13.5" customHeight="1">
      <c r="A52" s="1144"/>
      <c r="B52" s="1144"/>
      <c r="C52" s="497" t="s">
        <v>2667</v>
      </c>
      <c r="D52" s="501"/>
      <c r="E52" s="499">
        <f>IF(E47&lt;G47,G47/E47-1,E47/G47-1)</f>
        <v>8.9661482159194783E-2</v>
      </c>
      <c r="F52" s="500" t="str">
        <f>IF(OR(E52&gt;=0.2,E52&lt;=-0.2),"超过20%","")</f>
        <v/>
      </c>
      <c r="G52" s="499">
        <f>IF(G47&lt;I47,I47/G47-1,G47/I47-1)</f>
        <v>0.10979965833203909</v>
      </c>
      <c r="H52" s="500" t="str">
        <f>IF(OR(G52&gt;=0.2,G52&lt;=-0.2),"超过20%","")</f>
        <v/>
      </c>
      <c r="I52" s="499">
        <f>IF(I47&lt;E47,E47/I47-1,I47/E47-1)</f>
        <v>1.8481130610343177E-2</v>
      </c>
      <c r="J52" s="500" t="str">
        <f>IF(OR(I52&gt;=0.2,I52&lt;=-0.2),"超过20%","")</f>
        <v/>
      </c>
      <c r="K52" s="1105"/>
      <c r="L52" s="1106"/>
      <c r="M52" s="1144"/>
      <c r="N52" s="1144"/>
      <c r="O52" s="1144"/>
    </row>
    <row r="53" spans="1:15" s="502" customFormat="1" ht="13.5" customHeight="1">
      <c r="A53" s="1145"/>
      <c r="B53" s="1145"/>
      <c r="C53" s="497" t="s">
        <v>2668</v>
      </c>
      <c r="D53" s="501"/>
      <c r="E53" s="499">
        <f>IF(E46&lt;G46,G46/E46-1,E46/G46-1)</f>
        <v>0.14716926632004612</v>
      </c>
      <c r="F53" s="500" t="str">
        <f>IF(OR(E53&gt;=0.3,E53&lt;=-0.3),"超过30%","")</f>
        <v/>
      </c>
      <c r="G53" s="499">
        <f>IF(G46&lt;I46,I46/G46-1,G46/I46-1)</f>
        <v>8.6742372417567326E-2</v>
      </c>
      <c r="H53" s="500" t="str">
        <f>IF(OR(G53&gt;=0.3,G53&lt;=-0.3),"超过30%","")</f>
        <v/>
      </c>
      <c r="I53" s="499">
        <f>IF(I46&lt;E46,E46/I46-1,I46/E46-1)</f>
        <v>5.5603697284806408E-2</v>
      </c>
      <c r="J53" s="500" t="str">
        <f>IF(OR(I53&gt;=0.3,I53&lt;=-0.3),"超过30%","")</f>
        <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699" t="s">
        <v>2754</v>
      </c>
      <c r="D55" s="2700" t="s">
        <v>2755</v>
      </c>
      <c r="E55" s="686" t="s">
        <v>2756</v>
      </c>
      <c r="F55" s="1107" t="s">
        <v>2757</v>
      </c>
      <c r="G55" s="3319" t="s">
        <v>2758</v>
      </c>
      <c r="H55" s="3320"/>
      <c r="I55" s="144" t="s">
        <v>2759</v>
      </c>
      <c r="J55" s="2701" t="str">
        <f>项目基本情况!F35</f>
        <v>海南省</v>
      </c>
      <c r="K55" s="2702" t="s">
        <v>2760</v>
      </c>
      <c r="L55" s="1106"/>
      <c r="M55" s="1144"/>
      <c r="N55" s="1144"/>
      <c r="O55" s="1144"/>
    </row>
    <row r="56" spans="1:15" s="692" customFormat="1">
      <c r="A56" s="688" t="s">
        <v>2761</v>
      </c>
      <c r="B56" s="689">
        <f>C48</f>
        <v>6714</v>
      </c>
      <c r="C56" s="690">
        <v>1</v>
      </c>
      <c r="D56" s="1163">
        <v>1</v>
      </c>
      <c r="E56" s="690">
        <f>'数据-汇总表'!E8+'数据-汇总表'!E9</f>
        <v>40033.22</v>
      </c>
      <c r="F56" s="1103">
        <f t="shared" ref="F56:F65" si="15">ROUND(B56*E56/10000,0)</f>
        <v>26878</v>
      </c>
      <c r="G56" s="3321"/>
      <c r="H56" s="3322"/>
      <c r="I56" s="1108">
        <v>1</v>
      </c>
      <c r="J56" s="1111">
        <v>1</v>
      </c>
      <c r="K56" s="1145"/>
      <c r="L56" s="941"/>
      <c r="M56" s="941"/>
      <c r="N56" s="941"/>
      <c r="O56" s="941"/>
    </row>
    <row r="57" spans="1:15" s="692" customFormat="1">
      <c r="A57" s="693" t="s">
        <v>2762</v>
      </c>
      <c r="B57" s="262">
        <f>ROUND($C$48*C57*D57,0)</f>
        <v>0</v>
      </c>
      <c r="C57" s="200">
        <f t="shared" ref="C57:C65" si="16">IF($C$55="北京市系数",I57,J57)</f>
        <v>0</v>
      </c>
      <c r="D57" s="1164">
        <v>0.25</v>
      </c>
      <c r="E57" s="694"/>
      <c r="F57" s="1103">
        <f t="shared" si="15"/>
        <v>0</v>
      </c>
      <c r="G57" s="3323" t="s">
        <v>2763</v>
      </c>
      <c r="H57" s="1104">
        <f>项目基本情况!B37</f>
        <v>0</v>
      </c>
      <c r="I57" s="1108">
        <f>SUMIF(修正!A45:A56,H57,修正!B45:B56)</f>
        <v>0</v>
      </c>
      <c r="J57" s="1112"/>
      <c r="K57" s="1144"/>
      <c r="L57" s="941"/>
      <c r="M57" s="941"/>
      <c r="N57" s="941"/>
      <c r="O57" s="941"/>
    </row>
    <row r="58" spans="1:15" s="692" customFormat="1">
      <c r="A58" s="693" t="s">
        <v>2764</v>
      </c>
      <c r="B58" s="262">
        <f t="shared" ref="B58:B65" si="17">ROUND($C$48*C58*D58,0)</f>
        <v>0</v>
      </c>
      <c r="C58" s="200">
        <f t="shared" si="16"/>
        <v>0</v>
      </c>
      <c r="D58" s="1164">
        <v>0.25</v>
      </c>
      <c r="E58" s="694"/>
      <c r="F58" s="1103">
        <f t="shared" si="15"/>
        <v>0</v>
      </c>
      <c r="G58" s="3323"/>
      <c r="H58" s="1104">
        <f>项目基本情况!B37</f>
        <v>0</v>
      </c>
      <c r="I58" s="1108">
        <f>SUMIF(修正!A45:A56,H58,修正!C45:C56)</f>
        <v>0</v>
      </c>
      <c r="J58" s="1112"/>
      <c r="K58" s="1145"/>
      <c r="L58" s="941"/>
      <c r="M58" s="941"/>
      <c r="N58" s="941"/>
      <c r="O58" s="941"/>
    </row>
    <row r="59" spans="1:15" s="692" customFormat="1">
      <c r="A59" s="693" t="s">
        <v>2765</v>
      </c>
      <c r="B59" s="262">
        <f t="shared" si="17"/>
        <v>0</v>
      </c>
      <c r="C59" s="200">
        <f t="shared" si="16"/>
        <v>0</v>
      </c>
      <c r="D59" s="1164">
        <v>0.25</v>
      </c>
      <c r="E59" s="694"/>
      <c r="F59" s="1103">
        <f t="shared" si="15"/>
        <v>0</v>
      </c>
      <c r="G59" s="3323"/>
      <c r="H59" s="1104">
        <f>项目基本情况!B37</f>
        <v>0</v>
      </c>
      <c r="I59" s="1108">
        <f>SUMIF(修正!A45:A56,H59,修正!D45:D56)</f>
        <v>0</v>
      </c>
      <c r="J59" s="1112"/>
      <c r="K59" s="1144"/>
      <c r="L59" s="941"/>
      <c r="M59" s="941"/>
      <c r="N59" s="941"/>
      <c r="O59" s="941"/>
    </row>
    <row r="60" spans="1:15" s="692" customFormat="1">
      <c r="A60" s="693" t="s">
        <v>2766</v>
      </c>
      <c r="B60" s="262">
        <f t="shared" si="17"/>
        <v>0</v>
      </c>
      <c r="C60" s="200">
        <f t="shared" si="16"/>
        <v>0</v>
      </c>
      <c r="D60" s="1164">
        <v>0.25</v>
      </c>
      <c r="E60" s="694"/>
      <c r="F60" s="1103">
        <f t="shared" si="15"/>
        <v>0</v>
      </c>
      <c r="G60" s="3323"/>
      <c r="H60" s="1104">
        <f>项目基本情况!B37</f>
        <v>0</v>
      </c>
      <c r="I60" s="1108">
        <f>SUMIF(修正!A45:A56,H60,修正!E45:E56)</f>
        <v>0</v>
      </c>
      <c r="J60" s="1112"/>
      <c r="K60" s="1145"/>
      <c r="L60" s="941"/>
      <c r="M60" s="941"/>
      <c r="N60" s="941"/>
      <c r="O60" s="941"/>
    </row>
    <row r="61" spans="1:15" s="692" customFormat="1">
      <c r="A61" s="693" t="s">
        <v>2767</v>
      </c>
      <c r="B61" s="262">
        <f t="shared" si="17"/>
        <v>0</v>
      </c>
      <c r="C61" s="200">
        <f t="shared" si="16"/>
        <v>0</v>
      </c>
      <c r="D61" s="1164">
        <v>0.25</v>
      </c>
      <c r="E61" s="261">
        <f>'数据-汇总表'!E11</f>
        <v>0</v>
      </c>
      <c r="F61" s="1103">
        <f t="shared" si="15"/>
        <v>0</v>
      </c>
      <c r="G61" s="2703" t="s">
        <v>2768</v>
      </c>
      <c r="H61" s="1104">
        <f>项目基本情况!C37</f>
        <v>0</v>
      </c>
      <c r="I61" s="1108">
        <f>SUMIF(修正!A45:A56,H61,修正!F45:F56)</f>
        <v>0</v>
      </c>
      <c r="J61" s="1112"/>
      <c r="K61" s="1144"/>
      <c r="L61" s="941"/>
      <c r="M61" s="941"/>
      <c r="N61" s="941"/>
      <c r="O61" s="941"/>
    </row>
    <row r="62" spans="1:15" s="692" customFormat="1">
      <c r="A62" s="693" t="s">
        <v>2769</v>
      </c>
      <c r="B62" s="262">
        <f t="shared" si="17"/>
        <v>0</v>
      </c>
      <c r="C62" s="200">
        <f t="shared" si="16"/>
        <v>0</v>
      </c>
      <c r="D62" s="1164">
        <v>0.25</v>
      </c>
      <c r="E62" s="261">
        <f>'数据-汇总表'!E12</f>
        <v>0</v>
      </c>
      <c r="F62" s="1103">
        <f t="shared" si="15"/>
        <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f t="shared" si="17"/>
        <v>0</v>
      </c>
      <c r="C63" s="200">
        <f t="shared" si="16"/>
        <v>0</v>
      </c>
      <c r="D63" s="1164">
        <v>0.25</v>
      </c>
      <c r="E63" s="261">
        <f>'数据-汇总表'!E13</f>
        <v>0</v>
      </c>
      <c r="F63" s="1103">
        <f t="shared" si="15"/>
        <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f t="shared" si="17"/>
        <v>0</v>
      </c>
      <c r="C64" s="200">
        <f t="shared" si="16"/>
        <v>0</v>
      </c>
      <c r="D64" s="1164">
        <v>0.25</v>
      </c>
      <c r="E64" s="261">
        <f>'数据-汇总表'!E14</f>
        <v>0</v>
      </c>
      <c r="F64" s="1103">
        <f t="shared" si="15"/>
        <v>0</v>
      </c>
      <c r="G64" s="2703" t="s">
        <v>2763</v>
      </c>
      <c r="H64" s="1104">
        <f>项目基本情况!B37</f>
        <v>0</v>
      </c>
      <c r="I64" s="1108">
        <f>SUMIF(修正!A45:A56,H64,修正!H45:H56)</f>
        <v>0</v>
      </c>
      <c r="J64" s="1112"/>
      <c r="K64" s="1145"/>
      <c r="L64" s="941"/>
      <c r="M64" s="941"/>
      <c r="N64" s="941"/>
      <c r="O64" s="941"/>
    </row>
    <row r="65" spans="1:17" s="692" customFormat="1" ht="14.5" thickBot="1">
      <c r="A65" s="693" t="s">
        <v>2774</v>
      </c>
      <c r="B65" s="262">
        <f t="shared" si="17"/>
        <v>0</v>
      </c>
      <c r="C65" s="200">
        <f t="shared" si="16"/>
        <v>0</v>
      </c>
      <c r="D65" s="1164">
        <v>0.25</v>
      </c>
      <c r="E65" s="261">
        <f>'数据-汇总表'!E15</f>
        <v>0</v>
      </c>
      <c r="F65" s="1103">
        <f t="shared" si="15"/>
        <v>0</v>
      </c>
      <c r="G65" s="2704" t="s">
        <v>2768</v>
      </c>
      <c r="H65" s="1114">
        <f>项目基本情况!C37</f>
        <v>0</v>
      </c>
      <c r="I65" s="1110">
        <f>SUMIF(修正!A45:A56,H65,修正!H45:H56)</f>
        <v>0</v>
      </c>
      <c r="J65" s="1113"/>
      <c r="K65" s="1144"/>
      <c r="L65" s="941"/>
      <c r="M65" s="941"/>
      <c r="N65" s="941"/>
      <c r="O65" s="941"/>
    </row>
    <row r="66" spans="1:17" s="692" customFormat="1" thickBot="1">
      <c r="A66" s="695" t="s">
        <v>2775</v>
      </c>
      <c r="B66" s="696" t="s">
        <v>28</v>
      </c>
      <c r="C66" s="696" t="s">
        <v>29</v>
      </c>
      <c r="D66" s="696" t="s">
        <v>1026</v>
      </c>
      <c r="E66" s="696">
        <f>IF(B46="楼面地价",SUM(E56:E65),'数据-汇总表'!D3)</f>
        <v>88343.87</v>
      </c>
      <c r="F66" s="697">
        <f>IF(B46="楼面地价",SUM(F56:F65),ROUND(C48*E66/10000,0))</f>
        <v>59314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5" thickBot="1">
      <c r="A69" s="763" t="s">
        <v>2669</v>
      </c>
      <c r="B69" s="759"/>
      <c r="C69" s="764"/>
      <c r="D69" s="764"/>
      <c r="E69" s="764"/>
      <c r="F69" s="765"/>
      <c r="G69" s="765"/>
      <c r="H69" s="764"/>
      <c r="I69" s="764"/>
      <c r="J69" s="1159"/>
      <c r="K69" s="1160"/>
      <c r="L69" s="1161"/>
      <c r="M69" s="1159"/>
      <c r="N69" s="1159"/>
      <c r="O69" s="1159"/>
      <c r="P69" s="503"/>
      <c r="Q69" s="504"/>
    </row>
    <row r="70" spans="1:17" s="508" customFormat="1">
      <c r="A70" s="2705" t="s">
        <v>2776</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06" t="s">
        <v>2777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67">
        <v>90</v>
      </c>
      <c r="N71" s="595">
        <v>89</v>
      </c>
      <c r="O71" s="1568">
        <v>88</v>
      </c>
      <c r="P71" s="504"/>
    </row>
    <row r="72" spans="1:17" s="117" customFormat="1" ht="14.5" thickBot="1">
      <c r="A72" s="515" t="s">
        <v>2580</v>
      </c>
      <c r="B72" s="516"/>
      <c r="C72" s="517"/>
      <c r="D72" s="518"/>
      <c r="E72" s="518"/>
      <c r="F72" s="518"/>
      <c r="G72" s="518"/>
      <c r="H72" s="518"/>
      <c r="I72" s="518"/>
      <c r="J72" s="518"/>
      <c r="K72" s="518"/>
      <c r="L72" s="518"/>
      <c r="M72" s="519"/>
      <c r="N72" s="518"/>
      <c r="O72" s="1162"/>
      <c r="P72" s="504"/>
      <c r="Q72" s="504"/>
    </row>
    <row r="73" spans="1:17" s="117" customFormat="1">
      <c r="A73" s="521" t="s">
        <v>2545</v>
      </c>
      <c r="B73" s="510"/>
      <c r="C73" s="522" t="s">
        <v>2647</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3006" t="s">
        <v>3308</v>
      </c>
      <c r="D75" s="530"/>
      <c r="E75" s="530"/>
      <c r="F75" s="530"/>
      <c r="G75" s="530"/>
      <c r="H75" s="530"/>
      <c r="I75" s="530"/>
      <c r="J75" s="530"/>
      <c r="K75" s="531"/>
      <c r="L75" s="532"/>
      <c r="M75" s="533"/>
      <c r="N75" s="1152"/>
      <c r="O75" s="1152"/>
      <c r="P75" s="45"/>
      <c r="Q75" s="504"/>
    </row>
    <row r="76" spans="1:17" ht="14.5" thickBot="1">
      <c r="A76" s="534"/>
      <c r="B76" s="535"/>
      <c r="C76" s="536">
        <v>100</v>
      </c>
      <c r="D76" s="536"/>
      <c r="E76" s="536"/>
      <c r="F76" s="536"/>
      <c r="G76" s="536"/>
      <c r="H76" s="536"/>
      <c r="I76" s="536"/>
      <c r="J76" s="536"/>
      <c r="K76" s="536"/>
      <c r="L76" s="536"/>
      <c r="M76" s="537"/>
      <c r="N76" s="1153"/>
      <c r="O76" s="1153"/>
      <c r="P76" s="45"/>
      <c r="Q76" s="504"/>
    </row>
    <row r="77" spans="1:17" ht="28.5" thickTop="1">
      <c r="A77" s="534"/>
      <c r="B77" s="538" t="s">
        <v>2552</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1</v>
      </c>
      <c r="E80" s="549">
        <v>2</v>
      </c>
      <c r="F80" s="549">
        <v>3</v>
      </c>
      <c r="G80" s="549">
        <v>4</v>
      </c>
      <c r="H80" s="549">
        <v>5</v>
      </c>
      <c r="I80" s="549"/>
      <c r="J80" s="549"/>
      <c r="K80" s="550"/>
      <c r="L80" s="551"/>
      <c r="M80" s="552"/>
      <c r="N80" s="1152"/>
      <c r="O80" s="1152"/>
      <c r="P80" s="45"/>
      <c r="Q80" s="504"/>
    </row>
    <row r="81" spans="1:17" ht="14.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4.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4.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4.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8.5" thickTop="1">
      <c r="A96" s="579"/>
      <c r="B96" s="538" t="s">
        <v>2779</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4.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8.5" thickTop="1">
      <c r="A98" s="579"/>
      <c r="B98" s="538" t="s">
        <v>2780</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4.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4.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4.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4.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2686</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2745</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0</v>
      </c>
      <c r="C110" s="3008" t="s">
        <v>3310</v>
      </c>
      <c r="D110" s="3008" t="s">
        <v>3311</v>
      </c>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ht="28">
      <c r="A116" s="527" t="s">
        <v>2558</v>
      </c>
      <c r="B116" s="528" t="s">
        <v>2785</v>
      </c>
      <c r="C116" s="529" t="str">
        <f>C117&amp;"(含)"&amp;"-"&amp;D117</f>
        <v>0(含)-10000</v>
      </c>
      <c r="D116" s="529" t="str">
        <f t="shared" ref="D116:M116" si="25">D117&amp;"(含)"&amp;"-"&amp;E117</f>
        <v>10000(含)-50000</v>
      </c>
      <c r="E116" s="529" t="str">
        <f t="shared" si="25"/>
        <v>50000(含)-100000</v>
      </c>
      <c r="F116" s="529" t="str">
        <f t="shared" si="25"/>
        <v>100000(含)-150000</v>
      </c>
      <c r="G116" s="529" t="str">
        <f t="shared" si="25"/>
        <v>150000(含)-200000</v>
      </c>
      <c r="H116" s="529" t="str">
        <f t="shared" si="25"/>
        <v>200000(含)-250000</v>
      </c>
      <c r="I116" s="529" t="str">
        <f t="shared" si="25"/>
        <v>250000(含)-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10000</v>
      </c>
      <c r="E117" s="595">
        <v>50000</v>
      </c>
      <c r="F117" s="595">
        <v>100000</v>
      </c>
      <c r="G117" s="595">
        <v>150000</v>
      </c>
      <c r="H117" s="595">
        <v>200000</v>
      </c>
      <c r="I117" s="595">
        <v>250000</v>
      </c>
      <c r="J117" s="596"/>
      <c r="K117" s="596"/>
      <c r="L117" s="597"/>
      <c r="M117" s="598"/>
      <c r="N117" s="1152"/>
      <c r="O117" s="1152"/>
      <c r="P117" s="45"/>
      <c r="Q117" s="504"/>
    </row>
    <row r="118" spans="1:17" ht="14.5" thickBot="1">
      <c r="A118" s="534"/>
      <c r="B118" s="543"/>
      <c r="C118" s="570">
        <v>94</v>
      </c>
      <c r="D118" s="591">
        <v>96</v>
      </c>
      <c r="E118" s="591">
        <v>98</v>
      </c>
      <c r="F118" s="591">
        <v>100</v>
      </c>
      <c r="G118" s="591">
        <v>98</v>
      </c>
      <c r="H118" s="591">
        <v>96</v>
      </c>
      <c r="I118" s="591">
        <v>94</v>
      </c>
      <c r="J118" s="591"/>
      <c r="K118" s="591"/>
      <c r="L118" s="591"/>
      <c r="M118" s="592"/>
      <c r="N118" s="1153"/>
      <c r="O118" s="1153"/>
      <c r="P118" s="45"/>
      <c r="Q118" s="504"/>
    </row>
    <row r="119" spans="1:17" ht="14.5" thickTop="1">
      <c r="A119" s="599"/>
      <c r="B119" s="538" t="s">
        <v>2786</v>
      </c>
      <c r="C119" s="3011" t="s">
        <v>3313</v>
      </c>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4.5" thickTop="1">
      <c r="A121" s="599"/>
      <c r="B121" s="538" t="s">
        <v>2787</v>
      </c>
      <c r="C121" s="3008" t="s">
        <v>3315</v>
      </c>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4.5" thickTop="1">
      <c r="A123" s="593"/>
      <c r="B123" s="538" t="s">
        <v>2788</v>
      </c>
      <c r="C123" s="3008" t="s">
        <v>3317</v>
      </c>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4.5" thickTop="1">
      <c r="A125" s="599"/>
      <c r="B125" s="538" t="s">
        <v>2789</v>
      </c>
      <c r="C125" s="3008" t="s">
        <v>3319</v>
      </c>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A3E2C-5452-42BD-AEFC-BFD18D3B4DD5}">
  <dimension ref="A1:N16"/>
  <sheetViews>
    <sheetView workbookViewId="0">
      <selection activeCell="I18" sqref="I18"/>
    </sheetView>
  </sheetViews>
  <sheetFormatPr defaultRowHeight="14"/>
  <cols>
    <col min="1" max="1" width="25.08984375" customWidth="1"/>
    <col min="6" max="6" width="13.81640625" customWidth="1"/>
    <col min="13" max="13" width="9.54296875" customWidth="1"/>
  </cols>
  <sheetData>
    <row r="1" spans="1:14">
      <c r="A1" s="3062" t="s">
        <v>3208</v>
      </c>
      <c r="B1" s="3062" t="s">
        <v>3209</v>
      </c>
      <c r="C1" s="3062" t="s">
        <v>3210</v>
      </c>
      <c r="D1" s="3062" t="s">
        <v>3211</v>
      </c>
      <c r="E1" s="3062" t="s">
        <v>3212</v>
      </c>
      <c r="F1" s="3062" t="s">
        <v>3213</v>
      </c>
      <c r="G1" s="3062" t="s">
        <v>3214</v>
      </c>
      <c r="H1" s="3062" t="s">
        <v>3215</v>
      </c>
      <c r="I1" s="3062" t="s">
        <v>3216</v>
      </c>
      <c r="J1" s="3062" t="s">
        <v>3217</v>
      </c>
      <c r="K1" s="3062" t="s">
        <v>3218</v>
      </c>
      <c r="L1" s="3062" t="s">
        <v>3219</v>
      </c>
      <c r="M1" s="3062" t="s">
        <v>3220</v>
      </c>
    </row>
    <row r="2" spans="1:14" s="3063" customFormat="1">
      <c r="A2" s="3061" t="s">
        <v>3466</v>
      </c>
      <c r="B2" s="3061" t="s">
        <v>3222</v>
      </c>
      <c r="C2" s="3061" t="s">
        <v>3223</v>
      </c>
      <c r="D2" s="3061">
        <v>3435.87</v>
      </c>
      <c r="E2" s="3061">
        <v>1374.35</v>
      </c>
      <c r="F2" s="3061" t="s">
        <v>3467</v>
      </c>
      <c r="G2" s="3061" t="s">
        <v>3225</v>
      </c>
      <c r="H2" s="3061" t="s">
        <v>3468</v>
      </c>
      <c r="I2" s="3061" t="s">
        <v>1327</v>
      </c>
      <c r="J2" s="3061">
        <v>1492</v>
      </c>
      <c r="K2" s="3061">
        <v>10856.04</v>
      </c>
      <c r="L2" s="3061" t="s">
        <v>1327</v>
      </c>
      <c r="M2" s="3061" t="s">
        <v>3469</v>
      </c>
      <c r="N2" s="3063">
        <f>ROUND(J2/D2*10000,0)</f>
        <v>4342</v>
      </c>
    </row>
    <row r="3" spans="1:14">
      <c r="A3" s="3062" t="s">
        <v>3470</v>
      </c>
      <c r="B3" s="3062" t="s">
        <v>3222</v>
      </c>
      <c r="C3" s="3062" t="s">
        <v>3223</v>
      </c>
      <c r="D3" s="3062">
        <v>209189.58</v>
      </c>
      <c r="E3" s="3062">
        <v>125513.75</v>
      </c>
      <c r="F3" s="3062" t="s">
        <v>3471</v>
      </c>
      <c r="G3" s="3062" t="s">
        <v>3225</v>
      </c>
      <c r="H3" s="3062" t="s">
        <v>3472</v>
      </c>
      <c r="I3" s="3062" t="s">
        <v>1327</v>
      </c>
      <c r="J3" s="3062">
        <v>56030</v>
      </c>
      <c r="K3" s="3062">
        <v>4464.05</v>
      </c>
      <c r="L3" s="3062" t="s">
        <v>1327</v>
      </c>
      <c r="M3" s="3062" t="s">
        <v>3473</v>
      </c>
      <c r="N3">
        <f t="shared" ref="N3:N16" si="0">ROUND(J3/D3*10000,0)</f>
        <v>2678</v>
      </c>
    </row>
    <row r="4" spans="1:14" s="3065" customFormat="1">
      <c r="A4" s="3064" t="s">
        <v>3474</v>
      </c>
      <c r="B4" s="3064" t="s">
        <v>3222</v>
      </c>
      <c r="C4" s="3064" t="s">
        <v>3223</v>
      </c>
      <c r="D4" s="3064">
        <v>74324.13</v>
      </c>
      <c r="E4" s="3064">
        <v>22297.24</v>
      </c>
      <c r="F4" s="3064" t="s">
        <v>3475</v>
      </c>
      <c r="G4" s="3064" t="s">
        <v>3225</v>
      </c>
      <c r="H4" s="3064" t="s">
        <v>3476</v>
      </c>
      <c r="I4" s="3064" t="s">
        <v>1327</v>
      </c>
      <c r="J4" s="3064">
        <v>40239</v>
      </c>
      <c r="K4" s="3064">
        <v>18046.63</v>
      </c>
      <c r="L4" s="3064" t="s">
        <v>1327</v>
      </c>
      <c r="M4" s="3064" t="s">
        <v>3477</v>
      </c>
      <c r="N4" s="3065">
        <f t="shared" si="0"/>
        <v>5414</v>
      </c>
    </row>
    <row r="5" spans="1:14">
      <c r="A5" s="3062" t="s">
        <v>3221</v>
      </c>
      <c r="B5" s="3062" t="s">
        <v>3222</v>
      </c>
      <c r="C5" s="3062" t="s">
        <v>3223</v>
      </c>
      <c r="D5" s="3062">
        <v>2865.2</v>
      </c>
      <c r="E5" s="3062">
        <v>1146.08</v>
      </c>
      <c r="F5" s="3062" t="s">
        <v>3224</v>
      </c>
      <c r="G5" s="3062" t="s">
        <v>3225</v>
      </c>
      <c r="H5" s="3062" t="s">
        <v>3226</v>
      </c>
      <c r="I5" s="3062">
        <v>1038.3399999999999</v>
      </c>
      <c r="J5" s="3062">
        <v>1150</v>
      </c>
      <c r="K5" s="3062">
        <v>10034.200000000001</v>
      </c>
      <c r="L5" s="3062">
        <v>10.75</v>
      </c>
      <c r="M5" s="3062" t="s">
        <v>3227</v>
      </c>
      <c r="N5">
        <f t="shared" si="0"/>
        <v>4014</v>
      </c>
    </row>
    <row r="6" spans="1:14" s="3067" customFormat="1">
      <c r="A6" s="3066" t="s">
        <v>3228</v>
      </c>
      <c r="B6" s="3066" t="s">
        <v>3222</v>
      </c>
      <c r="C6" s="3066" t="s">
        <v>3223</v>
      </c>
      <c r="D6" s="3066">
        <v>8481.24</v>
      </c>
      <c r="E6" s="3066">
        <v>5597.62</v>
      </c>
      <c r="F6" s="3066" t="s">
        <v>3229</v>
      </c>
      <c r="G6" s="3066" t="s">
        <v>3225</v>
      </c>
      <c r="H6" s="3066" t="s">
        <v>3230</v>
      </c>
      <c r="I6" s="3066">
        <v>4110.8500000000004</v>
      </c>
      <c r="J6" s="3066">
        <v>4350</v>
      </c>
      <c r="K6" s="3066">
        <v>7771.15</v>
      </c>
      <c r="L6" s="3066">
        <v>5.82</v>
      </c>
      <c r="M6" s="3066" t="s">
        <v>3231</v>
      </c>
      <c r="N6" s="3067">
        <f t="shared" si="0"/>
        <v>5129</v>
      </c>
    </row>
    <row r="7" spans="1:14">
      <c r="A7" s="3062" t="s">
        <v>3232</v>
      </c>
      <c r="B7" s="3062" t="s">
        <v>3222</v>
      </c>
      <c r="C7" s="3062" t="s">
        <v>3223</v>
      </c>
      <c r="D7" s="3062">
        <v>74514.399999999994</v>
      </c>
      <c r="E7" s="3062">
        <v>89417.279999999999</v>
      </c>
      <c r="F7" s="3062" t="s">
        <v>3233</v>
      </c>
      <c r="G7" s="3062" t="s">
        <v>3225</v>
      </c>
      <c r="H7" s="3062" t="s">
        <v>3234</v>
      </c>
      <c r="I7" s="3062">
        <v>61459.48</v>
      </c>
      <c r="J7" s="3062">
        <v>63949</v>
      </c>
      <c r="K7" s="3062">
        <v>7151.75</v>
      </c>
      <c r="L7" s="3062">
        <v>4.05</v>
      </c>
      <c r="M7" s="3062" t="s">
        <v>3235</v>
      </c>
      <c r="N7">
        <f t="shared" si="0"/>
        <v>8582</v>
      </c>
    </row>
    <row r="8" spans="1:14" s="3067" customFormat="1">
      <c r="A8" s="3066" t="s">
        <v>3236</v>
      </c>
      <c r="B8" s="3066" t="s">
        <v>3222</v>
      </c>
      <c r="C8" s="3066" t="s">
        <v>3223</v>
      </c>
      <c r="D8" s="3066">
        <v>143540.9</v>
      </c>
      <c r="E8" s="3066">
        <v>100478.6</v>
      </c>
      <c r="F8" s="3066" t="s">
        <v>3237</v>
      </c>
      <c r="G8" s="3066" t="s">
        <v>3225</v>
      </c>
      <c r="H8" s="3066" t="s">
        <v>3238</v>
      </c>
      <c r="I8" s="3066" t="s">
        <v>1327</v>
      </c>
      <c r="J8" s="3066">
        <v>84458</v>
      </c>
      <c r="K8" s="3066">
        <v>8405.56</v>
      </c>
      <c r="L8" s="3066" t="s">
        <v>1327</v>
      </c>
      <c r="M8" s="3066" t="s">
        <v>3239</v>
      </c>
      <c r="N8" s="3067">
        <f t="shared" si="0"/>
        <v>5884</v>
      </c>
    </row>
    <row r="9" spans="1:14">
      <c r="A9" s="3062" t="s">
        <v>3240</v>
      </c>
      <c r="B9" s="3062" t="s">
        <v>3222</v>
      </c>
      <c r="C9" s="3062" t="s">
        <v>3223</v>
      </c>
      <c r="D9" s="3062">
        <v>160639.6</v>
      </c>
      <c r="E9" s="3062">
        <v>77107.009999999995</v>
      </c>
      <c r="F9" s="3062" t="s">
        <v>3241</v>
      </c>
      <c r="G9" s="3062" t="s">
        <v>3225</v>
      </c>
      <c r="H9" s="3062" t="s">
        <v>3242</v>
      </c>
      <c r="I9" s="3062" t="s">
        <v>1327</v>
      </c>
      <c r="J9" s="3062">
        <v>64820</v>
      </c>
      <c r="K9" s="3062">
        <v>8406.5</v>
      </c>
      <c r="L9" s="3062" t="s">
        <v>1327</v>
      </c>
      <c r="M9" s="3062" t="s">
        <v>3243</v>
      </c>
      <c r="N9">
        <f t="shared" si="0"/>
        <v>4035</v>
      </c>
    </row>
    <row r="10" spans="1:14">
      <c r="A10" s="3062" t="s">
        <v>3244</v>
      </c>
      <c r="B10" s="3062" t="s">
        <v>3222</v>
      </c>
      <c r="C10" s="3062" t="s">
        <v>3223</v>
      </c>
      <c r="D10" s="3062">
        <v>105521.3</v>
      </c>
      <c r="E10" s="3062">
        <v>63312.77</v>
      </c>
      <c r="F10" s="3062" t="s">
        <v>3245</v>
      </c>
      <c r="G10" s="3062" t="s">
        <v>3225</v>
      </c>
      <c r="H10" s="3062" t="s">
        <v>3246</v>
      </c>
      <c r="I10" s="3062" t="s">
        <v>1327</v>
      </c>
      <c r="J10" s="3062">
        <v>44010</v>
      </c>
      <c r="K10" s="3062">
        <v>6951.19</v>
      </c>
      <c r="L10" s="3062" t="s">
        <v>1327</v>
      </c>
      <c r="M10" s="3062" t="s">
        <v>3247</v>
      </c>
      <c r="N10">
        <f t="shared" si="0"/>
        <v>4171</v>
      </c>
    </row>
    <row r="11" spans="1:14" s="2999" customFormat="1">
      <c r="A11" s="2998" t="s">
        <v>3248</v>
      </c>
      <c r="B11" s="2998" t="s">
        <v>3222</v>
      </c>
      <c r="C11" s="2998" t="s">
        <v>3223</v>
      </c>
      <c r="D11" s="2998">
        <v>71313.179999999993</v>
      </c>
      <c r="E11" s="2998">
        <v>28525.27</v>
      </c>
      <c r="F11" s="2998" t="s">
        <v>3224</v>
      </c>
      <c r="G11" s="2998" t="s">
        <v>3225</v>
      </c>
      <c r="H11" s="2998" t="s">
        <v>3246</v>
      </c>
      <c r="I11" s="2998" t="s">
        <v>1327</v>
      </c>
      <c r="J11" s="2998">
        <v>31022</v>
      </c>
      <c r="K11" s="2998">
        <v>10875.27</v>
      </c>
      <c r="L11" s="2998" t="s">
        <v>1327</v>
      </c>
      <c r="M11" s="2998" t="s">
        <v>3249</v>
      </c>
      <c r="N11" s="2999">
        <f t="shared" si="0"/>
        <v>4350</v>
      </c>
    </row>
    <row r="12" spans="1:14">
      <c r="A12" s="3062" t="s">
        <v>3250</v>
      </c>
      <c r="B12" s="3062" t="s">
        <v>3222</v>
      </c>
      <c r="C12" s="3062" t="s">
        <v>3223</v>
      </c>
      <c r="D12" s="3062">
        <v>119466.1</v>
      </c>
      <c r="E12" s="3062">
        <v>71679.679999999993</v>
      </c>
      <c r="F12" s="3062" t="s">
        <v>3245</v>
      </c>
      <c r="G12" s="3062" t="s">
        <v>3225</v>
      </c>
      <c r="H12" s="3062" t="s">
        <v>3251</v>
      </c>
      <c r="I12" s="3062" t="s">
        <v>1327</v>
      </c>
      <c r="J12" s="3062">
        <v>42010</v>
      </c>
      <c r="K12" s="3062">
        <v>5860.8</v>
      </c>
      <c r="L12" s="3062" t="s">
        <v>1327</v>
      </c>
      <c r="M12" s="3062" t="s">
        <v>3247</v>
      </c>
      <c r="N12">
        <f t="shared" si="0"/>
        <v>3516</v>
      </c>
    </row>
    <row r="13" spans="1:14">
      <c r="A13" s="3062" t="s">
        <v>3252</v>
      </c>
      <c r="B13" s="3062" t="s">
        <v>3222</v>
      </c>
      <c r="C13" s="3062" t="s">
        <v>3223</v>
      </c>
      <c r="D13" s="3062">
        <v>183920.2</v>
      </c>
      <c r="E13" s="3062">
        <v>73568.070000000007</v>
      </c>
      <c r="F13" s="3062" t="s">
        <v>3224</v>
      </c>
      <c r="G13" s="3062" t="s">
        <v>3225</v>
      </c>
      <c r="H13" s="3062" t="s">
        <v>3253</v>
      </c>
      <c r="I13" s="3062" t="s">
        <v>1327</v>
      </c>
      <c r="J13" s="3062">
        <v>73040</v>
      </c>
      <c r="K13" s="3062">
        <v>9928.2099999999991</v>
      </c>
      <c r="L13" s="3062" t="s">
        <v>1327</v>
      </c>
      <c r="M13" s="3062" t="s">
        <v>3254</v>
      </c>
      <c r="N13">
        <f t="shared" si="0"/>
        <v>3971</v>
      </c>
    </row>
    <row r="14" spans="1:14">
      <c r="A14" s="3062" t="s">
        <v>3255</v>
      </c>
      <c r="B14" s="3062" t="s">
        <v>3222</v>
      </c>
      <c r="C14" s="3062" t="s">
        <v>3223</v>
      </c>
      <c r="D14" s="3062">
        <v>151906.6</v>
      </c>
      <c r="E14" s="3062">
        <v>194109</v>
      </c>
      <c r="F14" s="3062" t="s">
        <v>3256</v>
      </c>
      <c r="G14" s="3062" t="s">
        <v>3225</v>
      </c>
      <c r="H14" s="3062" t="s">
        <v>3257</v>
      </c>
      <c r="I14" s="3062">
        <v>48705</v>
      </c>
      <c r="J14" s="3062">
        <v>49100</v>
      </c>
      <c r="K14" s="3062">
        <v>2529.5100000000002</v>
      </c>
      <c r="L14" s="3062">
        <v>0.81</v>
      </c>
      <c r="M14" s="3062" t="s">
        <v>3258</v>
      </c>
      <c r="N14">
        <f t="shared" si="0"/>
        <v>3232</v>
      </c>
    </row>
    <row r="15" spans="1:14">
      <c r="A15" s="3062" t="s">
        <v>3259</v>
      </c>
      <c r="B15" s="3062" t="s">
        <v>3222</v>
      </c>
      <c r="C15" s="3062" t="s">
        <v>3223</v>
      </c>
      <c r="D15" s="3062">
        <v>119085.6</v>
      </c>
      <c r="E15" s="3062">
        <v>71451.37</v>
      </c>
      <c r="F15" s="3062" t="s">
        <v>3245</v>
      </c>
      <c r="G15" s="3062" t="s">
        <v>3225</v>
      </c>
      <c r="H15" s="3062" t="s">
        <v>3260</v>
      </c>
      <c r="I15" s="3062" t="s">
        <v>1327</v>
      </c>
      <c r="J15" s="3062">
        <v>58188</v>
      </c>
      <c r="K15" s="3062">
        <v>8143.72</v>
      </c>
      <c r="L15" s="3062" t="s">
        <v>1327</v>
      </c>
      <c r="M15" s="3062" t="s">
        <v>3261</v>
      </c>
      <c r="N15">
        <f t="shared" si="0"/>
        <v>4886</v>
      </c>
    </row>
    <row r="16" spans="1:14">
      <c r="A16" s="3062" t="s">
        <v>3262</v>
      </c>
      <c r="B16" s="3062" t="s">
        <v>3222</v>
      </c>
      <c r="C16" s="3062" t="s">
        <v>3223</v>
      </c>
      <c r="D16" s="3062">
        <v>166138.1</v>
      </c>
      <c r="E16" s="3062">
        <v>99682.85</v>
      </c>
      <c r="F16" s="3062" t="s">
        <v>3245</v>
      </c>
      <c r="G16" s="3062" t="s">
        <v>3225</v>
      </c>
      <c r="H16" s="3062" t="s">
        <v>3263</v>
      </c>
      <c r="I16" s="3062">
        <v>75127</v>
      </c>
      <c r="J16" s="3062">
        <v>75700</v>
      </c>
      <c r="K16" s="3062">
        <v>7594.07</v>
      </c>
      <c r="L16" s="3062">
        <v>0.76</v>
      </c>
      <c r="M16" s="3062" t="s">
        <v>3264</v>
      </c>
      <c r="N16">
        <f t="shared" si="0"/>
        <v>4556</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2"/>
  <sheetViews>
    <sheetView workbookViewId="0">
      <selection activeCell="L51" sqref="L51"/>
    </sheetView>
  </sheetViews>
  <sheetFormatPr defaultRowHeight="14"/>
  <cols>
    <col min="1" max="1" width="32.90625" customWidth="1"/>
    <col min="11" max="12" width="11.6328125" bestFit="1" customWidth="1"/>
    <col min="13" max="13" width="14.08984375" customWidth="1"/>
  </cols>
  <sheetData>
    <row r="1" spans="1:14">
      <c r="A1" s="2997" t="s">
        <v>3208</v>
      </c>
      <c r="B1" s="2997" t="s">
        <v>3209</v>
      </c>
      <c r="C1" s="2997" t="s">
        <v>3210</v>
      </c>
      <c r="D1" s="2997" t="s">
        <v>3211</v>
      </c>
      <c r="E1" s="2997" t="s">
        <v>3212</v>
      </c>
      <c r="F1" s="2997" t="s">
        <v>3213</v>
      </c>
      <c r="G1" s="2997" t="s">
        <v>3214</v>
      </c>
      <c r="H1" s="2997" t="s">
        <v>3215</v>
      </c>
      <c r="I1" s="2997" t="s">
        <v>3216</v>
      </c>
      <c r="J1" s="2997" t="s">
        <v>3217</v>
      </c>
      <c r="K1" s="2997" t="s">
        <v>3218</v>
      </c>
      <c r="L1" s="2997" t="s">
        <v>3219</v>
      </c>
      <c r="M1" s="2997" t="s">
        <v>3220</v>
      </c>
    </row>
    <row r="2" spans="1:14">
      <c r="A2" s="2997" t="s">
        <v>3221</v>
      </c>
      <c r="B2" s="2997" t="s">
        <v>3222</v>
      </c>
      <c r="C2" s="2997" t="s">
        <v>3223</v>
      </c>
      <c r="D2" s="2997">
        <v>2865.2</v>
      </c>
      <c r="E2" s="2997">
        <v>1146.08</v>
      </c>
      <c r="F2" s="2997" t="s">
        <v>3224</v>
      </c>
      <c r="G2" s="2997" t="s">
        <v>3225</v>
      </c>
      <c r="H2" s="2997" t="s">
        <v>3226</v>
      </c>
      <c r="I2" s="2997">
        <v>1038.3399999999999</v>
      </c>
      <c r="J2" s="2997">
        <v>1150</v>
      </c>
      <c r="K2" s="2997">
        <v>10034.200000000001</v>
      </c>
      <c r="L2" s="2997">
        <v>10.75</v>
      </c>
      <c r="M2" s="2997" t="s">
        <v>3227</v>
      </c>
      <c r="N2">
        <f>ROUND(J2/D2*10000,0)</f>
        <v>4014</v>
      </c>
    </row>
    <row r="3" spans="1:14" s="2999" customFormat="1">
      <c r="A3" s="2998" t="s">
        <v>3228</v>
      </c>
      <c r="B3" s="2998" t="s">
        <v>3222</v>
      </c>
      <c r="C3" s="2998" t="s">
        <v>3223</v>
      </c>
      <c r="D3" s="2998">
        <v>8481.24</v>
      </c>
      <c r="E3" s="2998">
        <v>5597.62</v>
      </c>
      <c r="F3" s="2998" t="s">
        <v>3229</v>
      </c>
      <c r="G3" s="2998" t="s">
        <v>3225</v>
      </c>
      <c r="H3" s="2998" t="s">
        <v>3230</v>
      </c>
      <c r="I3" s="2998">
        <v>4110.8500000000004</v>
      </c>
      <c r="J3" s="2998">
        <v>4350</v>
      </c>
      <c r="K3" s="2998">
        <v>7771.15</v>
      </c>
      <c r="L3" s="2998">
        <v>5.82</v>
      </c>
      <c r="M3" s="2998" t="s">
        <v>3231</v>
      </c>
      <c r="N3" s="2999">
        <f t="shared" ref="N3:N15" si="0">ROUND(J3/D3*10000,0)</f>
        <v>5129</v>
      </c>
    </row>
    <row r="4" spans="1:14" s="3000" customFormat="1">
      <c r="A4" s="3001" t="s">
        <v>3232</v>
      </c>
      <c r="B4" s="3001" t="s">
        <v>3222</v>
      </c>
      <c r="C4" s="3001" t="s">
        <v>3223</v>
      </c>
      <c r="D4" s="3001">
        <v>74514.399999999994</v>
      </c>
      <c r="E4" s="3001">
        <v>89417.279999999999</v>
      </c>
      <c r="F4" s="3001" t="s">
        <v>3233</v>
      </c>
      <c r="G4" s="3001" t="s">
        <v>3225</v>
      </c>
      <c r="H4" s="3001" t="s">
        <v>3234</v>
      </c>
      <c r="I4" s="3001">
        <v>61459.48</v>
      </c>
      <c r="J4" s="3001">
        <v>63949</v>
      </c>
      <c r="K4" s="3001">
        <v>7151.75</v>
      </c>
      <c r="L4" s="3001">
        <v>4.05</v>
      </c>
      <c r="M4" s="3001" t="s">
        <v>3235</v>
      </c>
      <c r="N4" s="3000">
        <f t="shared" si="0"/>
        <v>8582</v>
      </c>
    </row>
    <row r="5" spans="1:14" s="2999" customFormat="1">
      <c r="A5" s="2998" t="s">
        <v>3236</v>
      </c>
      <c r="B5" s="2998" t="s">
        <v>3222</v>
      </c>
      <c r="C5" s="2998" t="s">
        <v>3223</v>
      </c>
      <c r="D5" s="2998">
        <v>143540.9</v>
      </c>
      <c r="E5" s="2998">
        <v>100478.6</v>
      </c>
      <c r="F5" s="2998" t="s">
        <v>3237</v>
      </c>
      <c r="G5" s="2998" t="s">
        <v>3225</v>
      </c>
      <c r="H5" s="2998" t="s">
        <v>3238</v>
      </c>
      <c r="I5" s="2998" t="s">
        <v>1327</v>
      </c>
      <c r="J5" s="2998">
        <v>84458</v>
      </c>
      <c r="K5" s="2998">
        <v>8405.56</v>
      </c>
      <c r="L5" s="2998" t="s">
        <v>1327</v>
      </c>
      <c r="M5" s="2998" t="s">
        <v>3239</v>
      </c>
      <c r="N5" s="2999">
        <f t="shared" si="0"/>
        <v>5884</v>
      </c>
    </row>
    <row r="6" spans="1:14" s="3000" customFormat="1">
      <c r="A6" s="3001" t="s">
        <v>3240</v>
      </c>
      <c r="B6" s="3001" t="s">
        <v>3222</v>
      </c>
      <c r="C6" s="3001" t="s">
        <v>3223</v>
      </c>
      <c r="D6" s="3001">
        <v>160639.6</v>
      </c>
      <c r="E6" s="3001">
        <v>77107.009999999995</v>
      </c>
      <c r="F6" s="3001" t="s">
        <v>3241</v>
      </c>
      <c r="G6" s="3001" t="s">
        <v>3225</v>
      </c>
      <c r="H6" s="3001" t="s">
        <v>3242</v>
      </c>
      <c r="I6" s="3001" t="s">
        <v>1327</v>
      </c>
      <c r="J6" s="3001">
        <v>64820</v>
      </c>
      <c r="K6" s="3001">
        <v>8406.5</v>
      </c>
      <c r="L6" s="3001" t="s">
        <v>1327</v>
      </c>
      <c r="M6" s="3001" t="s">
        <v>3243</v>
      </c>
      <c r="N6" s="3000">
        <f t="shared" si="0"/>
        <v>4035</v>
      </c>
    </row>
    <row r="7" spans="1:14">
      <c r="A7" s="2997" t="s">
        <v>3244</v>
      </c>
      <c r="B7" s="2997" t="s">
        <v>3222</v>
      </c>
      <c r="C7" s="2997" t="s">
        <v>3223</v>
      </c>
      <c r="D7" s="2997">
        <v>105521.3</v>
      </c>
      <c r="E7" s="2997">
        <v>63312.77</v>
      </c>
      <c r="F7" s="2997" t="s">
        <v>3245</v>
      </c>
      <c r="G7" s="2997" t="s">
        <v>3225</v>
      </c>
      <c r="H7" s="2997" t="s">
        <v>3246</v>
      </c>
      <c r="I7" s="2997" t="s">
        <v>1327</v>
      </c>
      <c r="J7" s="2997">
        <v>44010</v>
      </c>
      <c r="K7" s="2997">
        <v>6951.19</v>
      </c>
      <c r="L7" s="2997" t="s">
        <v>1327</v>
      </c>
      <c r="M7" s="2997" t="s">
        <v>3247</v>
      </c>
      <c r="N7">
        <f t="shared" si="0"/>
        <v>4171</v>
      </c>
    </row>
    <row r="8" spans="1:14" s="2999" customFormat="1">
      <c r="A8" s="2998" t="s">
        <v>3248</v>
      </c>
      <c r="B8" s="2998" t="s">
        <v>3222</v>
      </c>
      <c r="C8" s="2998" t="s">
        <v>3223</v>
      </c>
      <c r="D8" s="2998">
        <v>71313.179999999993</v>
      </c>
      <c r="E8" s="2998">
        <v>28525.27</v>
      </c>
      <c r="F8" s="2998" t="s">
        <v>3224</v>
      </c>
      <c r="G8" s="2998" t="s">
        <v>3225</v>
      </c>
      <c r="H8" s="2998" t="s">
        <v>3246</v>
      </c>
      <c r="I8" s="2998" t="s">
        <v>1327</v>
      </c>
      <c r="J8" s="2998">
        <v>31022</v>
      </c>
      <c r="K8" s="2998">
        <v>10875.27</v>
      </c>
      <c r="L8" s="2998" t="s">
        <v>1327</v>
      </c>
      <c r="M8" s="2998" t="s">
        <v>3249</v>
      </c>
      <c r="N8" s="2999">
        <f t="shared" si="0"/>
        <v>4350</v>
      </c>
    </row>
    <row r="9" spans="1:14">
      <c r="A9" s="2997" t="s">
        <v>3250</v>
      </c>
      <c r="B9" s="2997" t="s">
        <v>3222</v>
      </c>
      <c r="C9" s="2997" t="s">
        <v>3223</v>
      </c>
      <c r="D9" s="2997">
        <v>119466.1</v>
      </c>
      <c r="E9" s="2997">
        <v>71679.679999999993</v>
      </c>
      <c r="F9" s="2997" t="s">
        <v>3245</v>
      </c>
      <c r="G9" s="2997" t="s">
        <v>3225</v>
      </c>
      <c r="H9" s="2997" t="s">
        <v>3251</v>
      </c>
      <c r="I9" s="2997" t="s">
        <v>1327</v>
      </c>
      <c r="J9" s="2997">
        <v>42010</v>
      </c>
      <c r="K9" s="2997">
        <v>5860.8</v>
      </c>
      <c r="L9" s="2997" t="s">
        <v>1327</v>
      </c>
      <c r="M9" s="2997" t="s">
        <v>3247</v>
      </c>
      <c r="N9">
        <f t="shared" si="0"/>
        <v>3516</v>
      </c>
    </row>
    <row r="10" spans="1:14">
      <c r="A10" s="2997" t="s">
        <v>3252</v>
      </c>
      <c r="B10" s="2997" t="s">
        <v>3222</v>
      </c>
      <c r="C10" s="2997" t="s">
        <v>3223</v>
      </c>
      <c r="D10" s="2997">
        <v>183920.2</v>
      </c>
      <c r="E10" s="2997">
        <v>73568.070000000007</v>
      </c>
      <c r="F10" s="2997" t="s">
        <v>3224</v>
      </c>
      <c r="G10" s="2997" t="s">
        <v>3225</v>
      </c>
      <c r="H10" s="2997" t="s">
        <v>3253</v>
      </c>
      <c r="I10" s="2997" t="s">
        <v>1327</v>
      </c>
      <c r="J10" s="2997">
        <v>73040</v>
      </c>
      <c r="K10" s="2997">
        <v>9928.2099999999991</v>
      </c>
      <c r="L10" s="2997" t="s">
        <v>1327</v>
      </c>
      <c r="M10" s="2997" t="s">
        <v>3254</v>
      </c>
      <c r="N10">
        <f t="shared" si="0"/>
        <v>3971</v>
      </c>
    </row>
    <row r="11" spans="1:14">
      <c r="A11" s="2997" t="s">
        <v>3255</v>
      </c>
      <c r="B11" s="2997" t="s">
        <v>3222</v>
      </c>
      <c r="C11" s="2997" t="s">
        <v>3223</v>
      </c>
      <c r="D11" s="2997">
        <v>151906.6</v>
      </c>
      <c r="E11" s="2997">
        <v>194109</v>
      </c>
      <c r="F11" s="2997" t="s">
        <v>3256</v>
      </c>
      <c r="G11" s="2997" t="s">
        <v>3225</v>
      </c>
      <c r="H11" s="2997" t="s">
        <v>3257</v>
      </c>
      <c r="I11" s="2997">
        <v>48705</v>
      </c>
      <c r="J11" s="2997">
        <v>49100</v>
      </c>
      <c r="K11" s="2997">
        <v>2529.5100000000002</v>
      </c>
      <c r="L11" s="2997">
        <v>0.81</v>
      </c>
      <c r="M11" s="2997" t="s">
        <v>3258</v>
      </c>
      <c r="N11">
        <f t="shared" si="0"/>
        <v>3232</v>
      </c>
    </row>
    <row r="12" spans="1:14">
      <c r="A12" s="2997" t="s">
        <v>3259</v>
      </c>
      <c r="B12" s="2997" t="s">
        <v>3222</v>
      </c>
      <c r="C12" s="2997" t="s">
        <v>3223</v>
      </c>
      <c r="D12" s="2997">
        <v>119085.6</v>
      </c>
      <c r="E12" s="2997">
        <v>71451.37</v>
      </c>
      <c r="F12" s="2997" t="s">
        <v>3245</v>
      </c>
      <c r="G12" s="2997" t="s">
        <v>3225</v>
      </c>
      <c r="H12" s="2997" t="s">
        <v>3260</v>
      </c>
      <c r="I12" s="2997" t="s">
        <v>1327</v>
      </c>
      <c r="J12" s="2997">
        <v>58188</v>
      </c>
      <c r="K12" s="2997">
        <v>8143.72</v>
      </c>
      <c r="L12" s="2997" t="s">
        <v>1327</v>
      </c>
      <c r="M12" s="2997" t="s">
        <v>3261</v>
      </c>
      <c r="N12">
        <f t="shared" si="0"/>
        <v>4886</v>
      </c>
    </row>
    <row r="13" spans="1:14">
      <c r="A13" s="2997" t="s">
        <v>3262</v>
      </c>
      <c r="B13" s="2997" t="s">
        <v>3222</v>
      </c>
      <c r="C13" s="2997" t="s">
        <v>3223</v>
      </c>
      <c r="D13" s="2997">
        <v>166138.1</v>
      </c>
      <c r="E13" s="2997">
        <v>99682.85</v>
      </c>
      <c r="F13" s="2997" t="s">
        <v>3245</v>
      </c>
      <c r="G13" s="2997" t="s">
        <v>3225</v>
      </c>
      <c r="H13" s="2997" t="s">
        <v>3263</v>
      </c>
      <c r="I13" s="2997">
        <v>75127</v>
      </c>
      <c r="J13" s="2997">
        <v>75700</v>
      </c>
      <c r="K13" s="2997">
        <v>7594.07</v>
      </c>
      <c r="L13" s="2997">
        <v>0.76</v>
      </c>
      <c r="M13" s="2997" t="s">
        <v>3264</v>
      </c>
      <c r="N13">
        <f t="shared" si="0"/>
        <v>4556</v>
      </c>
    </row>
    <row r="14" spans="1:14">
      <c r="A14" s="2997" t="s">
        <v>3265</v>
      </c>
      <c r="B14" s="2997" t="s">
        <v>3222</v>
      </c>
      <c r="C14" s="2997" t="s">
        <v>3223</v>
      </c>
      <c r="D14" s="2997">
        <v>122702.39999999999</v>
      </c>
      <c r="E14" s="2997">
        <v>122702.39999999999</v>
      </c>
      <c r="F14" s="2997" t="s">
        <v>3266</v>
      </c>
      <c r="G14" s="2997" t="s">
        <v>3225</v>
      </c>
      <c r="H14" s="2997" t="s">
        <v>3267</v>
      </c>
      <c r="I14" s="2997">
        <v>67253</v>
      </c>
      <c r="J14" s="2997">
        <v>67800</v>
      </c>
      <c r="K14" s="2997">
        <v>5525.56</v>
      </c>
      <c r="L14" s="2997">
        <v>0.81</v>
      </c>
      <c r="M14" s="2997" t="s">
        <v>3268</v>
      </c>
      <c r="N14">
        <f t="shared" si="0"/>
        <v>5526</v>
      </c>
    </row>
    <row r="15" spans="1:14">
      <c r="A15" s="2997" t="s">
        <v>3269</v>
      </c>
      <c r="B15" s="2997" t="s">
        <v>3222</v>
      </c>
      <c r="C15" s="2997" t="s">
        <v>3223</v>
      </c>
      <c r="D15" s="2997">
        <v>137453.79999999999</v>
      </c>
      <c r="E15" s="2997">
        <v>206180.7</v>
      </c>
      <c r="F15" s="2997" t="s">
        <v>3270</v>
      </c>
      <c r="G15" s="2997" t="s">
        <v>3225</v>
      </c>
      <c r="H15" s="2997" t="s">
        <v>3271</v>
      </c>
      <c r="I15" s="2997">
        <v>76542</v>
      </c>
      <c r="J15" s="2997">
        <v>76896</v>
      </c>
      <c r="K15" s="2997">
        <v>3729.53</v>
      </c>
      <c r="L15" s="2997">
        <v>0.46</v>
      </c>
      <c r="M15" s="2997" t="s">
        <v>3272</v>
      </c>
      <c r="N15">
        <f t="shared" si="0"/>
        <v>5594</v>
      </c>
    </row>
    <row r="16" spans="1:14">
      <c r="A16" s="2997" t="s">
        <v>3273</v>
      </c>
      <c r="B16" s="2997" t="s">
        <v>3222</v>
      </c>
      <c r="C16" s="2997" t="s">
        <v>3223</v>
      </c>
      <c r="D16" s="2997">
        <v>45714.879999999997</v>
      </c>
      <c r="E16" s="2997">
        <v>32000.42</v>
      </c>
      <c r="F16" s="2997" t="s">
        <v>3237</v>
      </c>
      <c r="G16" s="2997" t="s">
        <v>3225</v>
      </c>
      <c r="H16" s="2997" t="s">
        <v>3274</v>
      </c>
      <c r="I16" s="2997" t="s">
        <v>1327</v>
      </c>
      <c r="J16" s="2997">
        <v>20961</v>
      </c>
      <c r="K16" s="2997">
        <v>6550.22</v>
      </c>
      <c r="L16" s="2997" t="s">
        <v>1327</v>
      </c>
      <c r="M16" s="2997" t="s">
        <v>3275</v>
      </c>
      <c r="N16">
        <f t="shared" ref="N16" si="1">J16/D16*10000</f>
        <v>4585.159142931142</v>
      </c>
    </row>
    <row r="49" spans="9:12">
      <c r="I49" s="3013" t="s">
        <v>3324</v>
      </c>
      <c r="J49" s="2999">
        <v>5700</v>
      </c>
      <c r="K49" s="3014">
        <v>41237</v>
      </c>
      <c r="L49" s="2999"/>
    </row>
    <row r="50" spans="9:12">
      <c r="I50" s="3013" t="s">
        <v>3325</v>
      </c>
      <c r="J50" s="2999">
        <v>4775</v>
      </c>
      <c r="K50" s="3014">
        <v>41243</v>
      </c>
      <c r="L50" s="2999">
        <f>J49/J50</f>
        <v>1.1937172774869109</v>
      </c>
    </row>
    <row r="51" spans="9:12">
      <c r="I51" s="3013" t="s">
        <v>3325</v>
      </c>
      <c r="J51" s="2999">
        <v>4297</v>
      </c>
      <c r="K51" s="3014">
        <v>41253</v>
      </c>
      <c r="L51" s="2999">
        <f>J49/J51</f>
        <v>1.3265068652548289</v>
      </c>
    </row>
    <row r="52" spans="9:12">
      <c r="I52" s="3013" t="s">
        <v>3325</v>
      </c>
      <c r="J52" s="2999">
        <v>4215</v>
      </c>
      <c r="K52" s="3014">
        <v>40189</v>
      </c>
      <c r="L52" s="2999">
        <f>J49/J52</f>
        <v>1.3523131672597866</v>
      </c>
    </row>
    <row r="53" spans="9:12">
      <c r="I53" s="3013" t="s">
        <v>3325</v>
      </c>
      <c r="J53" s="2999">
        <v>4225</v>
      </c>
      <c r="K53" s="3014">
        <v>41939</v>
      </c>
      <c r="L53" s="2999">
        <f>J49/J53</f>
        <v>1.349112426035503</v>
      </c>
    </row>
    <row r="54" spans="9:12">
      <c r="I54" s="3003" t="s">
        <v>3325</v>
      </c>
      <c r="J54">
        <v>4886</v>
      </c>
      <c r="K54" s="3012">
        <v>42369</v>
      </c>
      <c r="L54">
        <f>J49/J54</f>
        <v>1.1665984445354072</v>
      </c>
    </row>
    <row r="95" spans="11:13">
      <c r="K95" s="3003" t="s">
        <v>3325</v>
      </c>
      <c r="L95">
        <v>4775</v>
      </c>
      <c r="M95" s="3012">
        <v>41243</v>
      </c>
    </row>
    <row r="142" spans="11:12">
      <c r="K142">
        <v>4225</v>
      </c>
      <c r="L142" s="3012">
        <v>41939</v>
      </c>
    </row>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8" width="10.7265625" style="295" customWidth="1"/>
    <col min="9" max="254" width="9" style="295" customWidth="1"/>
    <col min="255" max="16384" width="8.36328125" style="295"/>
  </cols>
  <sheetData>
    <row r="1" spans="1:8" s="244" customFormat="1" ht="21">
      <c r="A1" s="240" t="s">
        <v>2324</v>
      </c>
      <c r="B1" s="1935"/>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128615</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12034</v>
      </c>
      <c r="C3" s="243" t="s">
        <v>2328</v>
      </c>
      <c r="D3" s="243"/>
      <c r="E3" s="243"/>
      <c r="F3" s="243"/>
      <c r="G3" s="243"/>
    </row>
    <row r="4" spans="1:8" s="252" customFormat="1" ht="16">
      <c r="A4" s="249" t="s">
        <v>2329</v>
      </c>
      <c r="B4" s="250"/>
      <c r="C4" s="250"/>
      <c r="D4" s="250"/>
      <c r="E4" s="250"/>
      <c r="F4" s="250"/>
      <c r="G4" s="251"/>
    </row>
    <row r="5" spans="1:8" s="258" customFormat="1" ht="13.5" customHeight="1">
      <c r="A5" s="299" t="s">
        <v>2330</v>
      </c>
      <c r="B5" s="254" t="s">
        <v>2331</v>
      </c>
      <c r="C5" s="255">
        <f ca="1">C6+C7+C8</f>
        <v>23512302</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ht="13">
      <c r="A8" s="949" t="s">
        <v>2339</v>
      </c>
      <c r="B8" s="259" t="s">
        <v>2340</v>
      </c>
      <c r="C8" s="264">
        <f ca="1">IF(G8="已包含在土地购买价格中",0,C9+C10)</f>
        <v>23512302</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220</v>
      </c>
      <c r="F9" s="265"/>
      <c r="G9" s="270"/>
    </row>
    <row r="10" spans="1:8" s="258" customFormat="1" ht="13.5" customHeight="1">
      <c r="A10" s="950" t="s">
        <v>801</v>
      </c>
      <c r="B10" s="268" t="s">
        <v>2343</v>
      </c>
      <c r="C10" s="269">
        <f ca="1">ROUND(D10*E10,0)</f>
        <v>23512302</v>
      </c>
      <c r="D10" s="1032">
        <f ca="1">IF(B1="",'数据-汇总表'!E6,IF(INDIRECT("'数据-取费表'!c"&amp;$G$1)="住宅",INDIRECT("'数据-取费表'!s"&amp;$G$1),INDIRECT("'数据-取费表'!k"&amp;$G$1)+INDIRECT("'数据-取费表'!s"&amp;$G$1)))</f>
        <v>106874.1</v>
      </c>
      <c r="E10" s="269">
        <f>'数据-取费表'!B28</f>
        <v>220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21374820</v>
      </c>
      <c r="D19" s="1036">
        <f ca="1">D9+D10</f>
        <v>106874.1</v>
      </c>
      <c r="E19" s="255">
        <f>'数据-取费表'!B31</f>
        <v>200</v>
      </c>
      <c r="F19" s="275"/>
      <c r="G19" s="2547"/>
    </row>
    <row r="20" spans="1:7" s="258" customFormat="1" ht="13.5" customHeight="1">
      <c r="A20" s="299" t="s">
        <v>2437</v>
      </c>
      <c r="B20" s="254" t="s">
        <v>2438</v>
      </c>
      <c r="C20" s="276">
        <f ca="1">ROUND((C5+C19)*F20,0)</f>
        <v>1346614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6802132</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3512172</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3192883</v>
      </c>
      <c r="D24" s="282"/>
      <c r="E24" s="282"/>
      <c r="F24" s="283"/>
      <c r="G24" s="284" t="s">
        <v>2449</v>
      </c>
    </row>
    <row r="25" spans="1:7" s="258" customFormat="1" ht="26">
      <c r="A25" s="951" t="s">
        <v>2339</v>
      </c>
      <c r="B25" s="259" t="s">
        <v>2450</v>
      </c>
      <c r="C25" s="1381">
        <f ca="1">ROUND(IF('数据-取费表'!B22&lt;=1,C20*F22*'数据-取费表'!B22/2,C20*(POWER((1+F22),'数据-取费表'!B22/2)-1)),0)</f>
        <v>97077</v>
      </c>
      <c r="D25" s="282"/>
      <c r="E25" s="285"/>
      <c r="F25" s="283"/>
      <c r="G25" s="286" t="s">
        <v>2451</v>
      </c>
    </row>
    <row r="26" spans="1:7" s="258" customFormat="1" ht="13">
      <c r="A26" s="951" t="s">
        <v>795</v>
      </c>
      <c r="B26" s="259" t="s">
        <v>2374</v>
      </c>
      <c r="C26" s="282">
        <f ca="1">ROUND(IF('数据-取费表'!B22&lt;=1,F21*F22*'数据-取费表'!B22/2,F21*(POWER((1+F22),'数据-取费表'!B22/2)-1)),4)</f>
        <v>2.2000000000000001E-3</v>
      </c>
      <c r="D26" s="282"/>
      <c r="E26" s="285"/>
      <c r="F26" s="283"/>
      <c r="G26" s="287"/>
    </row>
    <row r="27" spans="1:7" s="258" customFormat="1" ht="27">
      <c r="A27" s="299" t="s">
        <v>2375</v>
      </c>
      <c r="B27" s="288" t="s">
        <v>2376</v>
      </c>
      <c r="C27" s="289">
        <f ca="1">C28</f>
        <v>13870121</v>
      </c>
      <c r="D27" s="279">
        <f ca="1">C29</f>
        <v>8.9999999999999993E-3</v>
      </c>
      <c r="E27" s="280" t="s">
        <v>2377</v>
      </c>
      <c r="F27" s="290">
        <f ca="1">IF(B1="",'数据-取费表'!Q16,INDIRECT("'数据-取费表'!q"&amp;$G$1))</f>
        <v>0.3</v>
      </c>
      <c r="G27" s="291" t="s">
        <v>2378</v>
      </c>
    </row>
    <row r="28" spans="1:7" s="258" customFormat="1" ht="13.5" customHeight="1">
      <c r="A28" s="951" t="s">
        <v>791</v>
      </c>
      <c r="B28" s="292" t="s">
        <v>2379</v>
      </c>
      <c r="C28" s="293">
        <f ca="1">ROUND((C5+C19+C20)*F27,0)</f>
        <v>13870121</v>
      </c>
      <c r="D28" s="279"/>
      <c r="E28" s="280"/>
      <c r="F28" s="290"/>
      <c r="G28" s="291"/>
    </row>
    <row r="29" spans="1:7" s="258" customFormat="1" ht="13.5" customHeight="1">
      <c r="A29" s="951" t="s">
        <v>792</v>
      </c>
      <c r="B29" s="292" t="s">
        <v>2380</v>
      </c>
      <c r="C29" s="282">
        <f ca="1">ROUND(C21*F27,4)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73888447</v>
      </c>
      <c r="D31" s="274"/>
      <c r="E31" s="255"/>
      <c r="F31" s="294"/>
      <c r="G31" s="278" t="s">
        <v>2385</v>
      </c>
    </row>
    <row r="32" spans="1:7" s="252" customFormat="1" ht="16">
      <c r="A32" s="296" t="s">
        <v>2452</v>
      </c>
      <c r="B32" s="297"/>
      <c r="C32" s="297"/>
      <c r="D32" s="297"/>
      <c r="E32" s="297"/>
      <c r="F32" s="297"/>
      <c r="G32" s="298"/>
    </row>
    <row r="33" spans="1:7" s="258" customFormat="1" ht="13.5" customHeight="1">
      <c r="A33" s="299" t="s">
        <v>782</v>
      </c>
      <c r="B33" s="254" t="s">
        <v>2453</v>
      </c>
      <c r="C33" s="300">
        <f ca="1">SUM(C34:C38)</f>
        <v>776722747</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709246880</v>
      </c>
      <c r="D34" s="261"/>
      <c r="E34" s="264"/>
      <c r="F34" s="301"/>
      <c r="G34" s="263"/>
    </row>
    <row r="35" spans="1:7" ht="13.5" customHeight="1">
      <c r="A35" s="951" t="s">
        <v>796</v>
      </c>
      <c r="B35" s="259" t="s">
        <v>2390</v>
      </c>
      <c r="C35" s="264">
        <f ca="1">ROUND(C34*F35,0)</f>
        <v>35462344</v>
      </c>
      <c r="D35" s="264"/>
      <c r="E35" s="264"/>
      <c r="F35" s="303">
        <f>'数据-取费表'!B33</f>
        <v>0.05</v>
      </c>
      <c r="G35" s="263" t="s">
        <v>2391</v>
      </c>
    </row>
    <row r="36" spans="1:7" ht="26">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21374820</v>
      </c>
      <c r="D37" s="261">
        <f ca="1">D19</f>
        <v>106874.1</v>
      </c>
      <c r="E37" s="293">
        <f>'数据-取费表'!B35</f>
        <v>200</v>
      </c>
      <c r="F37" s="303"/>
      <c r="G37" s="305"/>
    </row>
    <row r="38" spans="1:7" ht="13.5" customHeight="1">
      <c r="A38" s="951" t="s">
        <v>799</v>
      </c>
      <c r="B38" s="259" t="s">
        <v>2396</v>
      </c>
      <c r="C38" s="264">
        <f ca="1">ROUND(C34*F38,0)</f>
        <v>10638703</v>
      </c>
      <c r="D38" s="264"/>
      <c r="E38" s="264"/>
      <c r="F38" s="303">
        <f>'数据-取费表'!B36</f>
        <v>1.4999999999999999E-2</v>
      </c>
      <c r="G38" s="263" t="s">
        <v>2391</v>
      </c>
    </row>
    <row r="39" spans="1:7" s="258" customFormat="1" ht="13.5" customHeight="1">
      <c r="A39" s="299" t="s">
        <v>2397</v>
      </c>
      <c r="B39" s="254" t="s">
        <v>2398</v>
      </c>
      <c r="C39" s="276">
        <f ca="1">ROUND(C33*F20,0)</f>
        <v>23301682</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57673371</v>
      </c>
      <c r="D41" s="279">
        <f ca="1">C44</f>
        <v>2.2000000000000001E-3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55993564</v>
      </c>
      <c r="D42" s="282"/>
      <c r="E42" s="282"/>
      <c r="F42" s="283"/>
      <c r="G42" s="3312" t="s">
        <v>2454</v>
      </c>
    </row>
    <row r="43" spans="1:7" ht="13.5" customHeight="1">
      <c r="A43" s="951" t="s">
        <v>792</v>
      </c>
      <c r="B43" s="259" t="s">
        <v>2408</v>
      </c>
      <c r="C43" s="282">
        <f ca="1">ROUND(IF('数据-取费表'!B22&lt;=1,C39*F22*'数据-取费表'!B20/2,C39*(POWER((1+F22),'数据-取费表'!B20/2)-1)),0)</f>
        <v>1679807</v>
      </c>
      <c r="D43" s="282"/>
      <c r="E43" s="282"/>
      <c r="F43" s="283"/>
      <c r="G43" s="3313"/>
    </row>
    <row r="44" spans="1:7" ht="13.5" customHeight="1">
      <c r="A44" s="951" t="s">
        <v>793</v>
      </c>
      <c r="B44" s="259" t="s">
        <v>2409</v>
      </c>
      <c r="C44" s="282">
        <f ca="1">ROUND(IF('数据-取费表'!B22&lt;=1,C40*F22*'数据-取费表'!B20/2,C40*(POWER((1+F22),'数据-取费表'!B20/2)-1)),4)</f>
        <v>2.2000000000000001E-3</v>
      </c>
      <c r="D44" s="282"/>
      <c r="E44" s="282"/>
      <c r="F44" s="283"/>
      <c r="G44" s="3314"/>
    </row>
    <row r="45" spans="1:7" s="258" customFormat="1" ht="13.5" customHeight="1">
      <c r="A45" s="299" t="s">
        <v>2410</v>
      </c>
      <c r="B45" s="288" t="s">
        <v>2376</v>
      </c>
      <c r="C45" s="289">
        <f ca="1">C46</f>
        <v>240007329</v>
      </c>
      <c r="D45" s="279">
        <f ca="1">C47</f>
        <v>8.9999999999999993E-3</v>
      </c>
      <c r="E45" s="280" t="s">
        <v>2402</v>
      </c>
      <c r="F45" s="290"/>
      <c r="G45" s="291" t="s">
        <v>2411</v>
      </c>
    </row>
    <row r="46" spans="1:7" s="258" customFormat="1" ht="13.5" customHeight="1">
      <c r="A46" s="951" t="s">
        <v>791</v>
      </c>
      <c r="B46" s="292" t="s">
        <v>2412</v>
      </c>
      <c r="C46" s="293">
        <f ca="1">ROUND((C33+C39)*F27,0)</f>
        <v>240007329</v>
      </c>
      <c r="D46" s="307"/>
      <c r="E46" s="280"/>
      <c r="F46" s="290"/>
      <c r="G46" s="291"/>
    </row>
    <row r="47" spans="1:7" s="258" customFormat="1" ht="13.5" customHeight="1">
      <c r="A47" s="951" t="s">
        <v>792</v>
      </c>
      <c r="B47" s="292" t="s">
        <v>2413</v>
      </c>
      <c r="C47" s="282">
        <f ca="1">ROUND(C40*F27,4)</f>
        <v>8.9999999999999993E-3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1212264085</v>
      </c>
      <c r="D49" s="276"/>
      <c r="E49" s="276"/>
      <c r="F49" s="308"/>
      <c r="G49" s="278" t="s">
        <v>2417</v>
      </c>
    </row>
    <row r="50" spans="1:7" s="302" customFormat="1" ht="13.5">
      <c r="A50" s="299" t="s">
        <v>2418</v>
      </c>
      <c r="B50" s="254" t="s">
        <v>2419</v>
      </c>
      <c r="C50" s="276"/>
      <c r="D50" s="276"/>
      <c r="E50" s="276"/>
      <c r="F50" s="308">
        <f>IF('数据-取费表'!B24=0,'数据-取费表'!N16,1)</f>
        <v>1</v>
      </c>
      <c r="G50" s="291"/>
    </row>
    <row r="51" spans="1:7" ht="16.5" customHeight="1">
      <c r="A51" s="299" t="s">
        <v>2421</v>
      </c>
      <c r="B51" s="254" t="s">
        <v>2456</v>
      </c>
      <c r="C51" s="276">
        <f ca="1">ROUND(C49*F50,0)</f>
        <v>1212264085</v>
      </c>
      <c r="D51" s="276"/>
      <c r="E51" s="276"/>
      <c r="F51" s="308"/>
      <c r="G51" s="278" t="s">
        <v>2423</v>
      </c>
    </row>
    <row r="52" spans="1:7" s="252" customFormat="1" ht="16.5" thickBot="1">
      <c r="A52" s="309" t="s">
        <v>2424</v>
      </c>
      <c r="B52" s="310"/>
      <c r="C52" s="311">
        <f ca="1">C31+C51</f>
        <v>1286152532</v>
      </c>
      <c r="D52" s="310"/>
      <c r="E52" s="310"/>
      <c r="F52" s="310"/>
      <c r="G52" s="312"/>
    </row>
    <row r="55" spans="1:7" ht="15.5">
      <c r="B55" s="314" t="s">
        <v>2425</v>
      </c>
      <c r="C55" s="315"/>
    </row>
    <row r="56" spans="1:7" ht="13">
      <c r="B56" s="317" t="s">
        <v>1508</v>
      </c>
      <c r="C56" s="319">
        <f ca="1">1-C57</f>
        <v>5.7000000000000051E-2</v>
      </c>
    </row>
    <row r="57" spans="1:7" ht="13">
      <c r="B57" s="317" t="s">
        <v>1509</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2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workbookViewId="0">
      <selection activeCell="D21" sqref="D21"/>
    </sheetView>
  </sheetViews>
  <sheetFormatPr defaultColWidth="6.6328125" defaultRowHeight="12.5"/>
  <cols>
    <col min="1" max="1" width="9.7265625" style="798" customWidth="1"/>
    <col min="2" max="2" width="25.7265625" style="952" customWidth="1"/>
    <col min="3" max="3" width="10.36328125" style="995" customWidth="1"/>
    <col min="4" max="4" width="11.26953125" style="952" customWidth="1"/>
    <col min="5" max="5" width="9.453125" style="798" customWidth="1"/>
    <col min="6" max="6" width="10.08984375" style="952" customWidth="1"/>
    <col min="7" max="7" width="10.7265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2457</v>
      </c>
      <c r="B1" s="1581"/>
      <c r="C1" s="1582"/>
      <c r="D1" s="1580"/>
      <c r="E1" s="320"/>
      <c r="F1" s="320"/>
      <c r="G1" s="1581"/>
      <c r="H1" s="320"/>
      <c r="I1" s="320"/>
      <c r="J1" s="320"/>
      <c r="K1" s="320">
        <f>MATCH(C1,'数据-取费表'!A6:A16,0)+5</f>
        <v>8</v>
      </c>
    </row>
    <row r="2" spans="1:33" ht="18" customHeight="1">
      <c r="A2" s="245" t="s">
        <v>2325</v>
      </c>
      <c r="B2" s="248">
        <f ca="1">C32</f>
        <v>240492</v>
      </c>
      <c r="C2" s="320" t="s">
        <v>2458</v>
      </c>
      <c r="D2" s="320"/>
      <c r="E2" s="320"/>
      <c r="F2" s="320"/>
      <c r="G2" s="320"/>
      <c r="H2" s="320"/>
      <c r="I2" s="320"/>
      <c r="J2" s="320"/>
      <c r="K2" s="320"/>
    </row>
    <row r="3" spans="1:33" ht="18" customHeight="1" thickBot="1">
      <c r="A3" s="247" t="s">
        <v>2327</v>
      </c>
      <c r="B3" s="248">
        <f ca="1">ROUND(B2*10000/IF(C1="",'数据-汇总表'!E3,INDIRECT("'数据-取费表'!K"&amp;$K$1)),0)</f>
        <v>22502</v>
      </c>
      <c r="C3" s="320" t="s">
        <v>2459</v>
      </c>
      <c r="D3" s="320"/>
      <c r="E3" s="320"/>
      <c r="F3" s="320"/>
      <c r="G3" s="320"/>
      <c r="H3" s="320"/>
      <c r="I3" s="320"/>
      <c r="J3" s="320"/>
      <c r="K3" s="320"/>
    </row>
    <row r="4" spans="1:33" s="956" customFormat="1" ht="16.5" customHeight="1">
      <c r="A4" s="953" t="s">
        <v>2460</v>
      </c>
      <c r="B4" s="954"/>
      <c r="C4" s="996">
        <f ca="1">SUM(C8:K8)</f>
        <v>475611.14453399996</v>
      </c>
      <c r="D4" s="954"/>
      <c r="E4" s="954"/>
      <c r="F4" s="954"/>
      <c r="G4" s="954"/>
      <c r="H4" s="954"/>
      <c r="I4" s="954"/>
      <c r="J4" s="954"/>
      <c r="K4" s="955"/>
    </row>
    <row r="5" spans="1:33" s="960" customFormat="1" ht="25">
      <c r="A5" s="957" t="s">
        <v>2461</v>
      </c>
      <c r="B5" s="958" t="s">
        <v>2462</v>
      </c>
      <c r="C5" s="2551" t="s">
        <v>3279</v>
      </c>
      <c r="D5" s="2551" t="s">
        <v>3304</v>
      </c>
      <c r="E5" s="2551"/>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'比较法-住宅'!B3</f>
        <v>186509</v>
      </c>
      <c r="D6" s="962">
        <f ca="1">收益法!B3</f>
        <v>76925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14717.259999999998</v>
      </c>
      <c r="D7" s="321">
        <f>SUMIF('数据-汇总表'!$C19:$C33,假设开发法!D5,'数据-汇总表'!$E19:$E33)</f>
        <v>26144.92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2466</v>
      </c>
      <c r="B8" s="177" t="s">
        <v>2467</v>
      </c>
      <c r="C8" s="997">
        <f>C6*C7/10000</f>
        <v>274490.14453399996</v>
      </c>
      <c r="D8" s="997">
        <f ca="1">收益法!B2</f>
        <v>201121</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60203</v>
      </c>
      <c r="D11" s="973"/>
      <c r="E11" s="375"/>
      <c r="F11" s="974">
        <f ca="1">1-IF('数据-取费表'!B24=0,1,IF(C1="",'数据-取费表'!N16,INDIRECT("'数据-取费表'!n"&amp;$K$1)))</f>
        <v>0.84899999999999998</v>
      </c>
      <c r="G11" s="8"/>
      <c r="H11" s="968"/>
      <c r="I11" s="968"/>
      <c r="J11" s="968"/>
      <c r="K11" s="969"/>
    </row>
    <row r="12" spans="1:33" s="975" customFormat="1" ht="13.5" customHeight="1">
      <c r="A12" s="971" t="s">
        <v>1331</v>
      </c>
      <c r="B12" s="972" t="s">
        <v>2476</v>
      </c>
      <c r="C12" s="24">
        <f ca="1">ROUND(C11*F12,0)</f>
        <v>3010</v>
      </c>
      <c r="D12" s="973"/>
      <c r="E12" s="375"/>
      <c r="F12" s="976">
        <f>'数据-取费表'!B33</f>
        <v>0.05</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1669</v>
      </c>
      <c r="D14" s="3030">
        <f>'未售3.23'!S21</f>
        <v>98274.1</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903</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65785</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ROUND(D17*E17/10000,0)</f>
        <v>0</v>
      </c>
      <c r="D17" s="3030">
        <f>D14</f>
        <v>98274.1</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3"/>
      <c r="H18" s="1577"/>
      <c r="I18" s="2554"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220</v>
      </c>
      <c r="F19" s="976"/>
      <c r="G19" s="15"/>
      <c r="H19" s="1579"/>
      <c r="I19" s="981"/>
      <c r="J19" s="981"/>
      <c r="K19" s="982"/>
    </row>
    <row r="20" spans="1:33" s="975" customFormat="1" ht="13.5" customHeight="1">
      <c r="A20" s="971" t="s">
        <v>806</v>
      </c>
      <c r="B20" s="972" t="s">
        <v>2490</v>
      </c>
      <c r="C20" s="24">
        <f>ROUND(D20*E20/10000,0)</f>
        <v>2162</v>
      </c>
      <c r="D20" s="3030">
        <f>'未售3.23'!S21</f>
        <v>98274.1</v>
      </c>
      <c r="E20" s="24">
        <f>'数据-取费表'!B28</f>
        <v>220</v>
      </c>
      <c r="F20" s="976"/>
      <c r="G20" s="15"/>
      <c r="H20" s="981"/>
      <c r="I20" s="981"/>
      <c r="J20" s="981"/>
      <c r="K20" s="982"/>
    </row>
    <row r="21" spans="1:33" s="975" customFormat="1" ht="13.5" customHeight="1">
      <c r="A21" s="961" t="s">
        <v>802</v>
      </c>
      <c r="B21" s="985" t="s">
        <v>2491</v>
      </c>
      <c r="C21" s="986">
        <f ca="1">C16+C17+C18</f>
        <v>65785</v>
      </c>
      <c r="D21" s="987"/>
      <c r="E21" s="325"/>
      <c r="F21" s="325"/>
      <c r="G21" s="140" t="s">
        <v>2492</v>
      </c>
      <c r="H21" s="979"/>
      <c r="I21" s="979"/>
      <c r="J21" s="979"/>
      <c r="K21" s="980"/>
    </row>
    <row r="22" spans="1:33" s="975" customFormat="1" ht="13.5" customHeight="1">
      <c r="A22" s="961" t="s">
        <v>2464</v>
      </c>
      <c r="B22" s="985" t="s">
        <v>2493</v>
      </c>
      <c r="C22" s="986">
        <f ca="1">ROUND(C21*F22,0)</f>
        <v>1974</v>
      </c>
      <c r="D22" s="325"/>
      <c r="E22" s="325"/>
      <c r="F22" s="988">
        <f>'数据-取费表'!B37</f>
        <v>0.03</v>
      </c>
      <c r="G22" s="8" t="s">
        <v>2494</v>
      </c>
      <c r="H22" s="968"/>
      <c r="I22" s="968"/>
      <c r="J22" s="968"/>
      <c r="K22" s="969"/>
    </row>
    <row r="23" spans="1:33" s="975" customFormat="1" ht="13.5" customHeight="1">
      <c r="A23" s="961" t="s">
        <v>2466</v>
      </c>
      <c r="B23" s="985" t="s">
        <v>2495</v>
      </c>
      <c r="C23" s="986">
        <f ca="1">ROUND(C4*F23*F11,0)</f>
        <v>12114</v>
      </c>
      <c r="D23" s="325"/>
      <c r="E23" s="325"/>
      <c r="F23" s="988">
        <f>'数据-取费表'!B38</f>
        <v>0.03</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4863</v>
      </c>
      <c r="D25" s="324">
        <f ca="1">C26</f>
        <v>0.12909999999999999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0.12909999999999999</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4863</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2504</v>
      </c>
      <c r="B28" s="2556" t="s">
        <v>2505</v>
      </c>
      <c r="C28" s="331">
        <f ca="1">C30</f>
        <v>23962</v>
      </c>
      <c r="D28" s="324">
        <f ca="1">C29</f>
        <v>0.2621</v>
      </c>
      <c r="E28" s="326" t="s">
        <v>15</v>
      </c>
      <c r="F28" s="332">
        <f ca="1">IF(C1="",'数据-取费表'!Q16,INDIRECT("'数据-取费表'!q"&amp;$K$1))</f>
        <v>0.3</v>
      </c>
      <c r="G28" s="989"/>
      <c r="H28" s="990"/>
      <c r="I28" s="990"/>
      <c r="J28" s="990"/>
      <c r="K28" s="991"/>
    </row>
    <row r="29" spans="1:33" s="335" customFormat="1" ht="13.5" customHeight="1">
      <c r="A29" s="971" t="s">
        <v>803</v>
      </c>
      <c r="B29" s="994" t="s">
        <v>2506</v>
      </c>
      <c r="C29" s="328">
        <f ca="1">ROUND((1+C24)*F28*'数据-取费表'!B24/'数据-取费表'!B20,4)</f>
        <v>0.2621</v>
      </c>
      <c r="D29" s="328"/>
      <c r="E29" s="329"/>
      <c r="F29" s="334"/>
      <c r="G29" s="140" t="s">
        <v>2507</v>
      </c>
      <c r="H29" s="979"/>
      <c r="I29" s="979"/>
      <c r="J29" s="979"/>
      <c r="K29" s="980"/>
    </row>
    <row r="30" spans="1:33" s="335" customFormat="1" ht="13.5" customHeight="1">
      <c r="A30" s="971" t="s">
        <v>804</v>
      </c>
      <c r="B30" s="994" t="s">
        <v>2508</v>
      </c>
      <c r="C30" s="336">
        <f ca="1">ROUND((C21+C22+C23)*F28,0)</f>
        <v>23962</v>
      </c>
      <c r="D30" s="328"/>
      <c r="E30" s="329"/>
      <c r="F30" s="334"/>
      <c r="G30" s="140"/>
      <c r="H30" s="979"/>
      <c r="I30" s="979"/>
      <c r="J30" s="979"/>
      <c r="K30" s="980"/>
    </row>
    <row r="31" spans="1:33" s="975" customFormat="1" ht="13.5" customHeight="1" thickBot="1">
      <c r="A31" s="2557" t="s">
        <v>2509</v>
      </c>
      <c r="B31" s="1005" t="s">
        <v>2510</v>
      </c>
      <c r="C31" s="1006">
        <f ca="1">ROUND(C4*F31/(1+'数据-取费表'!C42),0)</f>
        <v>25366</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240492</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2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opLeftCell="A24" zoomScale="90" zoomScaleNormal="90" workbookViewId="0">
      <selection activeCell="I5" sqref="I5:J5"/>
    </sheetView>
  </sheetViews>
  <sheetFormatPr defaultColWidth="9" defaultRowHeight="14"/>
  <cols>
    <col min="1" max="1" width="10.453125" style="403" customWidth="1"/>
    <col min="2" max="2" width="15.7265625" style="403" customWidth="1"/>
    <col min="3" max="3" width="14.6328125" style="403" customWidth="1"/>
    <col min="4" max="4" width="12.26953125" style="403" customWidth="1"/>
    <col min="5" max="5" width="15" style="403" customWidth="1"/>
    <col min="6" max="6" width="12.26953125" style="403" customWidth="1"/>
    <col min="7" max="7" width="15.453125" style="403" customWidth="1"/>
    <col min="8" max="8" width="12.26953125" style="403" customWidth="1"/>
    <col min="9" max="9" width="14.90625" style="403" customWidth="1"/>
    <col min="10" max="10" width="12.26953125" style="403" customWidth="1"/>
    <col min="11" max="11" width="12.26953125" style="495" customWidth="1"/>
    <col min="12" max="12" width="12.26953125" style="496" customWidth="1"/>
    <col min="13" max="15" width="12.26953125" style="403" customWidth="1"/>
    <col min="16" max="16" width="4.7265625" style="2618"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2523</v>
      </c>
      <c r="B1" s="2579" t="s">
        <v>2524</v>
      </c>
      <c r="C1" s="1634" t="s">
        <v>2525</v>
      </c>
      <c r="D1" s="1621" t="s">
        <v>3279</v>
      </c>
      <c r="E1" s="2580"/>
      <c r="F1" s="2581" t="s">
        <v>2526</v>
      </c>
      <c r="G1" s="1631" t="s">
        <v>2527</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1389</v>
      </c>
      <c r="B2" s="1418">
        <f>IF(C2="——",ROUND(C49*D3/10000,0),ROUND(C49*D3/10000,0)-D2)</f>
        <v>274490</v>
      </c>
      <c r="C2" s="2583" t="s">
        <v>70</v>
      </c>
      <c r="D2" s="1365" t="e">
        <f ca="1">SUMIF(INDIRECT("'"&amp;F2&amp;"'"&amp;"!A:A"),"承租人权益价值",INDIRECT("'"&amp;F2&amp;"'"&amp;"!c:c"))</f>
        <v>#REF!</v>
      </c>
      <c r="E2" s="2584" t="s">
        <v>2528</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f>IF(C2="——",C49,ROUND(B2*10000/D3,0))</f>
        <v>186509</v>
      </c>
      <c r="C3" s="400" t="s">
        <v>2529</v>
      </c>
      <c r="D3" s="399">
        <f>IF(D1="",'数据-汇总表'!E3,SUMIF('数据-汇总表'!$C19:$C33,D1,'数据-汇总表'!$E19:$E33))</f>
        <v>14717.259999999998</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c r="A4" s="401" t="s">
        <v>2530</v>
      </c>
      <c r="B4" s="402"/>
      <c r="C4" s="3319" t="s">
        <v>2531</v>
      </c>
      <c r="D4" s="3332"/>
      <c r="E4" s="3333" t="s">
        <v>2532</v>
      </c>
      <c r="F4" s="3334"/>
      <c r="G4" s="3319" t="s">
        <v>2533</v>
      </c>
      <c r="H4" s="3332"/>
      <c r="I4" s="3319" t="s">
        <v>2534</v>
      </c>
      <c r="J4" s="3332"/>
      <c r="K4" s="2593" t="s">
        <v>2535</v>
      </c>
      <c r="L4" s="1130"/>
      <c r="M4" s="1131"/>
      <c r="N4" s="1131"/>
      <c r="O4" s="1131"/>
      <c r="P4" s="3335" t="s">
        <v>2536</v>
      </c>
      <c r="Q4" s="3336"/>
      <c r="R4" s="3341" t="s">
        <v>2532</v>
      </c>
      <c r="S4" s="3342"/>
      <c r="T4" s="3341" t="s">
        <v>2533</v>
      </c>
      <c r="U4" s="3342"/>
      <c r="V4" s="3328" t="s">
        <v>2534</v>
      </c>
      <c r="W4" s="3328"/>
      <c r="X4" s="1812"/>
      <c r="Y4" s="3341" t="s">
        <v>2536</v>
      </c>
      <c r="Z4" s="3342"/>
      <c r="AA4" s="3329" t="s">
        <v>2532</v>
      </c>
      <c r="AB4" s="3329" t="s">
        <v>2533</v>
      </c>
      <c r="AC4" s="3329" t="s">
        <v>2534</v>
      </c>
    </row>
    <row r="5" spans="1:29">
      <c r="A5" s="404"/>
      <c r="B5" s="405"/>
      <c r="C5" s="3349" t="s">
        <v>2537</v>
      </c>
      <c r="D5" s="3350"/>
      <c r="E5" s="3367" t="s">
        <v>3336</v>
      </c>
      <c r="F5" s="3357"/>
      <c r="G5" s="3366" t="s">
        <v>3340</v>
      </c>
      <c r="H5" s="3350"/>
      <c r="I5" s="3366" t="s">
        <v>3342</v>
      </c>
      <c r="J5" s="3350"/>
      <c r="K5" s="2594"/>
      <c r="L5" s="1130"/>
      <c r="M5" s="1131"/>
      <c r="N5" s="1131"/>
      <c r="O5" s="1131"/>
      <c r="P5" s="3337"/>
      <c r="Q5" s="3338"/>
      <c r="R5" s="3343"/>
      <c r="S5" s="3344"/>
      <c r="T5" s="3343"/>
      <c r="U5" s="3344"/>
      <c r="V5" s="3328"/>
      <c r="W5" s="3328"/>
      <c r="X5" s="1812"/>
      <c r="Y5" s="3343"/>
      <c r="Z5" s="3344"/>
      <c r="AA5" s="3330"/>
      <c r="AB5" s="3330"/>
      <c r="AC5" s="3330"/>
    </row>
    <row r="6" spans="1:29" ht="15" thickBot="1">
      <c r="A6" s="406"/>
      <c r="B6" s="407"/>
      <c r="C6" s="3347" t="s">
        <v>2541</v>
      </c>
      <c r="D6" s="3348"/>
      <c r="E6" s="3354" t="s">
        <v>2541</v>
      </c>
      <c r="F6" s="3355"/>
      <c r="G6" s="3347" t="s">
        <v>2541</v>
      </c>
      <c r="H6" s="3348"/>
      <c r="I6" s="3347" t="s">
        <v>2541</v>
      </c>
      <c r="J6" s="3348"/>
      <c r="K6" s="2594" t="s">
        <v>2542</v>
      </c>
      <c r="L6" s="1130"/>
      <c r="M6" s="1131"/>
      <c r="N6" s="1131"/>
      <c r="O6" s="1131"/>
      <c r="P6" s="3339"/>
      <c r="Q6" s="3340"/>
      <c r="R6" s="3343"/>
      <c r="S6" s="3344"/>
      <c r="T6" s="3345"/>
      <c r="U6" s="3346"/>
      <c r="V6" s="3328"/>
      <c r="W6" s="3328"/>
      <c r="X6" s="1812"/>
      <c r="Y6" s="3345"/>
      <c r="Z6" s="3346"/>
      <c r="AA6" s="3331"/>
      <c r="AB6" s="3331"/>
      <c r="AC6" s="3331"/>
    </row>
    <row r="7" spans="1:29" s="117" customFormat="1" ht="14.5" thickBot="1">
      <c r="A7" s="408" t="s">
        <v>2543</v>
      </c>
      <c r="B7" s="409"/>
      <c r="C7" s="410">
        <f>'数据-取费表'!B2</f>
        <v>43913</v>
      </c>
      <c r="D7" s="411">
        <v>100</v>
      </c>
      <c r="E7" s="412">
        <f>C7</f>
        <v>43913</v>
      </c>
      <c r="F7" s="413">
        <f>SUMIF(58:58,YEAR(E7)&amp;"-"&amp;MONTH(E7),59:59)</f>
        <v>100</v>
      </c>
      <c r="G7" s="412">
        <f>C7</f>
        <v>43913</v>
      </c>
      <c r="H7" s="411">
        <f>SUMIF(58:58,YEAR(G7)&amp;"-"&amp;MONTH(G7),59:59)</f>
        <v>100</v>
      </c>
      <c r="I7" s="412">
        <f>C7</f>
        <v>43913</v>
      </c>
      <c r="J7" s="411">
        <f>SUMIF(58:58,YEAR(I7)&amp;"-"&amp;MONTH(I7),59:59)</f>
        <v>100</v>
      </c>
      <c r="K7" s="2595"/>
      <c r="L7" s="1132"/>
      <c r="M7" s="1133"/>
      <c r="N7" s="1133"/>
      <c r="O7" s="1133"/>
      <c r="P7" s="3351" t="s">
        <v>2544</v>
      </c>
      <c r="Q7" s="3353"/>
      <c r="R7" s="770" t="s">
        <v>23</v>
      </c>
      <c r="S7" s="771">
        <f t="shared" ref="S7:S15" si="0">F7</f>
        <v>100</v>
      </c>
      <c r="T7" s="770" t="s">
        <v>23</v>
      </c>
      <c r="U7" s="771">
        <f t="shared" ref="U7:U15" si="1">H7</f>
        <v>100</v>
      </c>
      <c r="V7" s="770" t="s">
        <v>23</v>
      </c>
      <c r="W7" s="771">
        <f t="shared" ref="W7:W15" si="2">J7</f>
        <v>100</v>
      </c>
      <c r="X7" s="772"/>
      <c r="Y7" s="3351" t="s">
        <v>2544</v>
      </c>
      <c r="Z7" s="3352"/>
      <c r="AA7" s="773">
        <f>D7/F7</f>
        <v>1</v>
      </c>
      <c r="AB7" s="773">
        <f>D7/H7</f>
        <v>1</v>
      </c>
      <c r="AC7" s="773">
        <f>D7/J7</f>
        <v>1</v>
      </c>
    </row>
    <row r="8" spans="1:29" s="117" customFormat="1" ht="14.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5"/>
      <c r="L8" s="1132"/>
      <c r="M8" s="1133"/>
      <c r="N8" s="1133"/>
      <c r="O8" s="1133"/>
      <c r="P8" s="3351" t="s">
        <v>2547</v>
      </c>
      <c r="Q8" s="3352"/>
      <c r="R8" s="770" t="s">
        <v>23</v>
      </c>
      <c r="S8" s="771">
        <f t="shared" si="0"/>
        <v>100</v>
      </c>
      <c r="T8" s="770" t="s">
        <v>23</v>
      </c>
      <c r="U8" s="771">
        <f t="shared" si="1"/>
        <v>100</v>
      </c>
      <c r="V8" s="770" t="s">
        <v>23</v>
      </c>
      <c r="W8" s="771">
        <f t="shared" si="2"/>
        <v>100</v>
      </c>
      <c r="X8" s="772"/>
      <c r="Y8" s="3351" t="s">
        <v>2547</v>
      </c>
      <c r="Z8" s="3352"/>
      <c r="AA8" s="773">
        <f t="shared" ref="AA8:AA19" si="3">D8/F8</f>
        <v>1</v>
      </c>
      <c r="AB8" s="773">
        <f t="shared" ref="AB8:AB19" si="4">D8/H8</f>
        <v>1</v>
      </c>
      <c r="AC8" s="773">
        <f t="shared" ref="AC8:AC19" si="5">D8/J8</f>
        <v>1</v>
      </c>
    </row>
    <row r="9" spans="1:29" s="117" customFormat="1">
      <c r="A9" s="415" t="s">
        <v>2548</v>
      </c>
      <c r="B9" s="71" t="s">
        <v>2549</v>
      </c>
      <c r="C9" s="3015" t="s">
        <v>3326</v>
      </c>
      <c r="D9" s="135">
        <v>100</v>
      </c>
      <c r="E9" s="417" t="s">
        <v>1373</v>
      </c>
      <c r="F9" s="418">
        <f>SUMIF(63:63,E9,64:64)-SUMIF(63:63,C9,64:64)+100</f>
        <v>100</v>
      </c>
      <c r="G9" s="417" t="s">
        <v>1373</v>
      </c>
      <c r="H9" s="135">
        <f>SUMIF(63:63,G9,64:64)-SUMIF(63:63,C9,64:64)+100</f>
        <v>100</v>
      </c>
      <c r="I9" s="417" t="s">
        <v>1373</v>
      </c>
      <c r="J9" s="135">
        <f>SUMIF(63:63,I9,64:64)-SUMIF(63:63,C9,64:64)+100</f>
        <v>100</v>
      </c>
      <c r="K9" s="2595"/>
      <c r="L9" s="1132"/>
      <c r="M9" s="1133"/>
      <c r="N9" s="1133"/>
      <c r="O9" s="1133"/>
      <c r="P9" s="3321"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773">
        <f t="shared" si="5"/>
        <v>1</v>
      </c>
    </row>
    <row r="10" spans="1:29" s="427" customFormat="1" ht="28">
      <c r="A10" s="421"/>
      <c r="B10" s="422" t="s">
        <v>2552</v>
      </c>
      <c r="C10" s="423" t="s">
        <v>3327</v>
      </c>
      <c r="D10" s="136">
        <v>100</v>
      </c>
      <c r="E10" s="424" t="s">
        <v>3328</v>
      </c>
      <c r="F10" s="425">
        <f>SUMIF(65:65,E10,66:66)-SUMIF(65:65,C10,66:66)+100</f>
        <v>101</v>
      </c>
      <c r="G10" s="424" t="s">
        <v>3328</v>
      </c>
      <c r="H10" s="136">
        <f>SUMIF(65:65,G10,66:66)-SUMIF(65:65,C10,66:66)+100</f>
        <v>101</v>
      </c>
      <c r="I10" s="424" t="s">
        <v>3328</v>
      </c>
      <c r="J10" s="136">
        <f>SUMIF(65:65,I10,66:66)-SUMIF(65:65,C10,66:66)+100</f>
        <v>101</v>
      </c>
      <c r="K10" s="426">
        <v>1</v>
      </c>
      <c r="L10" s="1135"/>
      <c r="M10" s="1136"/>
      <c r="N10" s="1136"/>
      <c r="O10" s="1136"/>
      <c r="P10" s="3321"/>
      <c r="Q10" s="1794" t="str">
        <f t="shared" si="6"/>
        <v>土地使用年限（年）</v>
      </c>
      <c r="R10" s="770" t="s">
        <v>17</v>
      </c>
      <c r="S10" s="771">
        <f t="shared" si="0"/>
        <v>101</v>
      </c>
      <c r="T10" s="770" t="s">
        <v>17</v>
      </c>
      <c r="U10" s="771">
        <f t="shared" si="1"/>
        <v>101</v>
      </c>
      <c r="V10" s="770" t="s">
        <v>17</v>
      </c>
      <c r="W10" s="771">
        <f t="shared" si="2"/>
        <v>101</v>
      </c>
      <c r="X10" s="772"/>
      <c r="Y10" s="3112"/>
      <c r="Z10" s="55" t="str">
        <f t="shared" si="7"/>
        <v>土地使用年限（年）</v>
      </c>
      <c r="AA10" s="773">
        <f t="shared" si="3"/>
        <v>0.99009900990099009</v>
      </c>
      <c r="AB10" s="773">
        <f t="shared" si="4"/>
        <v>0.99009900990099009</v>
      </c>
      <c r="AC10" s="773">
        <f t="shared" si="5"/>
        <v>0.99009900990099009</v>
      </c>
    </row>
    <row r="11" spans="1:29" ht="16" thickBot="1">
      <c r="A11" s="428"/>
      <c r="B11" s="422" t="s">
        <v>2553</v>
      </c>
      <c r="C11" s="429">
        <f>'数据-汇总表'!I4</f>
        <v>0.41</v>
      </c>
      <c r="D11" s="136">
        <v>100</v>
      </c>
      <c r="E11" s="430">
        <v>0.6</v>
      </c>
      <c r="F11" s="425">
        <f>LOOKUP(E11,68:68,69:69)-LOOKUP(C11,68:68,69:69)+100</f>
        <v>100</v>
      </c>
      <c r="G11" s="429">
        <v>0.79</v>
      </c>
      <c r="H11" s="136">
        <f>LOOKUP(G11,68:68,69:69)-LOOKUP(C11,68:68,69:69)+100</f>
        <v>100</v>
      </c>
      <c r="I11" s="429">
        <v>0.4</v>
      </c>
      <c r="J11" s="136">
        <f>LOOKUP(I11,68:68,69:69)-LOOKUP(C11,68:68,69:69)+100</f>
        <v>100</v>
      </c>
      <c r="K11" s="426">
        <v>2</v>
      </c>
      <c r="L11" s="1138"/>
      <c r="M11" s="1131"/>
      <c r="N11" s="1131"/>
      <c r="O11" s="1131"/>
      <c r="P11" s="3321"/>
      <c r="Q11" s="1794" t="str">
        <f t="shared" si="6"/>
        <v>容积率</v>
      </c>
      <c r="R11" s="770" t="s">
        <v>21</v>
      </c>
      <c r="S11" s="771">
        <f t="shared" si="0"/>
        <v>100</v>
      </c>
      <c r="T11" s="770" t="s">
        <v>21</v>
      </c>
      <c r="U11" s="771">
        <f t="shared" si="1"/>
        <v>100</v>
      </c>
      <c r="V11" s="770" t="s">
        <v>21</v>
      </c>
      <c r="W11" s="771">
        <f t="shared" si="2"/>
        <v>100</v>
      </c>
      <c r="X11" s="772"/>
      <c r="Y11" s="3112"/>
      <c r="Z11" s="55" t="str">
        <f t="shared" si="7"/>
        <v>容积率</v>
      </c>
      <c r="AA11" s="773">
        <f t="shared" si="3"/>
        <v>1</v>
      </c>
      <c r="AB11" s="773">
        <f t="shared" si="4"/>
        <v>1</v>
      </c>
      <c r="AC11" s="773">
        <f t="shared" si="5"/>
        <v>1</v>
      </c>
    </row>
    <row r="12" spans="1:29" s="117" customFormat="1" ht="15.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321"/>
      <c r="Q12" s="1794">
        <f t="shared" si="6"/>
        <v>111</v>
      </c>
      <c r="R12" s="770" t="s">
        <v>21</v>
      </c>
      <c r="S12" s="771">
        <f t="shared" si="0"/>
        <v>100</v>
      </c>
      <c r="T12" s="770" t="s">
        <v>21</v>
      </c>
      <c r="U12" s="771">
        <f t="shared" si="1"/>
        <v>100</v>
      </c>
      <c r="V12" s="770" t="s">
        <v>21</v>
      </c>
      <c r="W12" s="771">
        <f t="shared" si="2"/>
        <v>100</v>
      </c>
      <c r="X12" s="772"/>
      <c r="Y12" s="3112"/>
      <c r="Z12" s="55">
        <f t="shared" si="7"/>
        <v>111</v>
      </c>
      <c r="AA12" s="773">
        <f>D12/F12</f>
        <v>1</v>
      </c>
      <c r="AB12" s="773">
        <f>D12/H12</f>
        <v>1</v>
      </c>
      <c r="AC12" s="773">
        <f>D12/J12</f>
        <v>1</v>
      </c>
    </row>
    <row r="13" spans="1:29" ht="15.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321"/>
      <c r="Q13" s="1794">
        <f t="shared" si="6"/>
        <v>111</v>
      </c>
      <c r="R13" s="770" t="s">
        <v>21</v>
      </c>
      <c r="S13" s="771">
        <f t="shared" si="0"/>
        <v>100</v>
      </c>
      <c r="T13" s="770" t="s">
        <v>21</v>
      </c>
      <c r="U13" s="771">
        <f t="shared" si="1"/>
        <v>100</v>
      </c>
      <c r="V13" s="770" t="s">
        <v>21</v>
      </c>
      <c r="W13" s="771">
        <f t="shared" si="2"/>
        <v>100</v>
      </c>
      <c r="X13" s="772"/>
      <c r="Y13" s="3112"/>
      <c r="Z13" s="55">
        <f t="shared" si="7"/>
        <v>111</v>
      </c>
      <c r="AA13" s="773">
        <f t="shared" si="3"/>
        <v>1</v>
      </c>
      <c r="AB13" s="773">
        <f t="shared" si="4"/>
        <v>1</v>
      </c>
      <c r="AC13" s="773">
        <f t="shared" si="5"/>
        <v>1</v>
      </c>
    </row>
    <row r="14" spans="1:29" ht="16"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321"/>
      <c r="Q14" s="1794">
        <f t="shared" si="6"/>
        <v>111</v>
      </c>
      <c r="R14" s="770" t="s">
        <v>21</v>
      </c>
      <c r="S14" s="771">
        <f t="shared" si="0"/>
        <v>100</v>
      </c>
      <c r="T14" s="770" t="s">
        <v>21</v>
      </c>
      <c r="U14" s="771">
        <f t="shared" si="1"/>
        <v>100</v>
      </c>
      <c r="V14" s="770" t="s">
        <v>21</v>
      </c>
      <c r="W14" s="771">
        <f t="shared" si="2"/>
        <v>100</v>
      </c>
      <c r="X14" s="772"/>
      <c r="Y14" s="3112"/>
      <c r="Z14" s="55">
        <f t="shared" si="7"/>
        <v>111</v>
      </c>
      <c r="AA14" s="773">
        <f t="shared" si="3"/>
        <v>1</v>
      </c>
      <c r="AB14" s="773">
        <f t="shared" si="4"/>
        <v>1</v>
      </c>
      <c r="AC14" s="773">
        <f t="shared" si="5"/>
        <v>1</v>
      </c>
    </row>
    <row r="15" spans="1:29" ht="98">
      <c r="A15" s="440" t="s">
        <v>2554</v>
      </c>
      <c r="B15" s="69" t="s">
        <v>2081</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64" t="s">
        <v>2555</v>
      </c>
      <c r="Q15" s="1809" t="str">
        <f t="shared" si="6"/>
        <v>居住社区成熟度</v>
      </c>
      <c r="R15" s="774" t="s">
        <v>21</v>
      </c>
      <c r="S15" s="775">
        <f t="shared" si="0"/>
        <v>100</v>
      </c>
      <c r="T15" s="774" t="s">
        <v>21</v>
      </c>
      <c r="U15" s="775">
        <f t="shared" si="1"/>
        <v>100</v>
      </c>
      <c r="V15" s="774" t="s">
        <v>21</v>
      </c>
      <c r="W15" s="775">
        <f t="shared" si="2"/>
        <v>100</v>
      </c>
      <c r="X15" s="1812"/>
      <c r="Y15" s="3324" t="s">
        <v>2555</v>
      </c>
      <c r="Z15" s="1813" t="str">
        <f t="shared" si="7"/>
        <v>居住社区成熟度</v>
      </c>
      <c r="AA15" s="1810">
        <f t="shared" si="3"/>
        <v>1</v>
      </c>
      <c r="AB15" s="1810">
        <f t="shared" si="4"/>
        <v>1</v>
      </c>
      <c r="AC15" s="1810">
        <f t="shared" si="5"/>
        <v>1</v>
      </c>
    </row>
    <row r="16" spans="1:29" ht="15.5">
      <c r="A16" s="428"/>
      <c r="B16" s="446"/>
      <c r="C16" s="447"/>
      <c r="D16" s="448"/>
      <c r="E16" s="2600"/>
      <c r="F16" s="448"/>
      <c r="G16" s="2601"/>
      <c r="H16" s="450"/>
      <c r="I16" s="2601"/>
      <c r="J16" s="448"/>
      <c r="K16" s="2602"/>
      <c r="L16" s="1140"/>
      <c r="M16" s="1131"/>
      <c r="N16" s="1131"/>
      <c r="O16" s="1131"/>
      <c r="P16" s="3365"/>
      <c r="Q16" s="1809"/>
      <c r="R16" s="774"/>
      <c r="S16" s="775"/>
      <c r="T16" s="774"/>
      <c r="U16" s="775"/>
      <c r="V16" s="774"/>
      <c r="W16" s="775"/>
      <c r="X16" s="1812"/>
      <c r="Y16" s="3325"/>
      <c r="Z16" s="1813"/>
      <c r="AA16" s="1810">
        <v>1</v>
      </c>
      <c r="AB16" s="1810">
        <v>1</v>
      </c>
      <c r="AC16" s="1810">
        <v>1</v>
      </c>
    </row>
    <row r="17" spans="1:29" ht="84">
      <c r="A17" s="428"/>
      <c r="B17" s="451" t="s">
        <v>2093</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365"/>
      <c r="Q17" s="1809" t="str">
        <f>B17</f>
        <v>交通便捷度</v>
      </c>
      <c r="R17" s="774" t="s">
        <v>21</v>
      </c>
      <c r="S17" s="775">
        <f>F17</f>
        <v>100</v>
      </c>
      <c r="T17" s="774" t="s">
        <v>21</v>
      </c>
      <c r="U17" s="775">
        <f>H17</f>
        <v>100</v>
      </c>
      <c r="V17" s="774" t="s">
        <v>21</v>
      </c>
      <c r="W17" s="775">
        <f>J17</f>
        <v>100</v>
      </c>
      <c r="X17" s="1812"/>
      <c r="Y17" s="3325"/>
      <c r="Z17" s="1813" t="str">
        <f>Q17</f>
        <v>交通便捷度</v>
      </c>
      <c r="AA17" s="1810">
        <f t="shared" si="3"/>
        <v>1</v>
      </c>
      <c r="AB17" s="1810">
        <f t="shared" si="4"/>
        <v>1</v>
      </c>
      <c r="AC17" s="1810">
        <f t="shared" si="5"/>
        <v>1</v>
      </c>
    </row>
    <row r="18" spans="1:29" ht="15.5">
      <c r="A18" s="428"/>
      <c r="B18" s="456"/>
      <c r="C18" s="2604" t="s">
        <v>3320</v>
      </c>
      <c r="D18" s="450"/>
      <c r="E18" s="2604" t="s">
        <v>3320</v>
      </c>
      <c r="F18" s="450"/>
      <c r="G18" s="2604" t="s">
        <v>3320</v>
      </c>
      <c r="H18" s="448"/>
      <c r="I18" s="2604" t="s">
        <v>3320</v>
      </c>
      <c r="J18" s="448"/>
      <c r="K18" s="2602"/>
      <c r="L18" s="1140"/>
      <c r="M18" s="1131"/>
      <c r="N18" s="1131"/>
      <c r="O18" s="1131"/>
      <c r="P18" s="3365"/>
      <c r="Q18" s="1809"/>
      <c r="R18" s="774"/>
      <c r="S18" s="775"/>
      <c r="T18" s="774"/>
      <c r="U18" s="775"/>
      <c r="V18" s="774"/>
      <c r="W18" s="775"/>
      <c r="X18" s="1812"/>
      <c r="Y18" s="3325"/>
      <c r="Z18" s="1813"/>
      <c r="AA18" s="1810">
        <v>1</v>
      </c>
      <c r="AB18" s="1810">
        <v>1</v>
      </c>
      <c r="AC18" s="1810">
        <v>1</v>
      </c>
    </row>
    <row r="19" spans="1:29" ht="42">
      <c r="A19" s="428"/>
      <c r="B19" s="451" t="s">
        <v>2091</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365"/>
      <c r="Q19" s="1809" t="str">
        <f>B19</f>
        <v>公共配套设施</v>
      </c>
      <c r="R19" s="774" t="s">
        <v>21</v>
      </c>
      <c r="S19" s="775">
        <f>F19</f>
        <v>100</v>
      </c>
      <c r="T19" s="774" t="s">
        <v>21</v>
      </c>
      <c r="U19" s="775">
        <f>H19</f>
        <v>100</v>
      </c>
      <c r="V19" s="774" t="s">
        <v>21</v>
      </c>
      <c r="W19" s="775">
        <f>J19</f>
        <v>100</v>
      </c>
      <c r="X19" s="1812"/>
      <c r="Y19" s="3325"/>
      <c r="Z19" s="1813" t="str">
        <f>Q19</f>
        <v>公共配套设施</v>
      </c>
      <c r="AA19" s="1810">
        <f t="shared" si="3"/>
        <v>1</v>
      </c>
      <c r="AB19" s="1810">
        <f t="shared" si="4"/>
        <v>1</v>
      </c>
      <c r="AC19" s="1810">
        <f t="shared" si="5"/>
        <v>1</v>
      </c>
    </row>
    <row r="20" spans="1:29" ht="15.5">
      <c r="A20" s="428"/>
      <c r="B20" s="456"/>
      <c r="C20" s="447" t="s">
        <v>3320</v>
      </c>
      <c r="D20" s="448"/>
      <c r="E20" s="447" t="s">
        <v>3320</v>
      </c>
      <c r="F20" s="448"/>
      <c r="G20" s="447" t="s">
        <v>3320</v>
      </c>
      <c r="H20" s="448"/>
      <c r="I20" s="447" t="s">
        <v>3320</v>
      </c>
      <c r="J20" s="448"/>
      <c r="K20" s="2602"/>
      <c r="L20" s="1140"/>
      <c r="M20" s="1131"/>
      <c r="N20" s="1131"/>
      <c r="O20" s="1131"/>
      <c r="P20" s="3365"/>
      <c r="Q20" s="1809"/>
      <c r="R20" s="774"/>
      <c r="S20" s="775"/>
      <c r="T20" s="774"/>
      <c r="U20" s="775"/>
      <c r="V20" s="774"/>
      <c r="W20" s="775"/>
      <c r="X20" s="1812"/>
      <c r="Y20" s="3325"/>
      <c r="Z20" s="1813"/>
      <c r="AA20" s="1810">
        <v>1</v>
      </c>
      <c r="AB20" s="1810">
        <v>1</v>
      </c>
      <c r="AC20" s="1810">
        <v>1</v>
      </c>
    </row>
    <row r="21" spans="1:29" ht="28">
      <c r="A21" s="428"/>
      <c r="B21" s="1384" t="s">
        <v>2094</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365"/>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5">
      <c r="A22" s="428"/>
      <c r="B22" s="1384"/>
      <c r="C22" s="2604" t="s">
        <v>3316</v>
      </c>
      <c r="D22" s="448"/>
      <c r="E22" s="2604" t="s">
        <v>3316</v>
      </c>
      <c r="F22" s="448"/>
      <c r="G22" s="2604" t="s">
        <v>3316</v>
      </c>
      <c r="H22" s="448"/>
      <c r="I22" s="2604" t="s">
        <v>3316</v>
      </c>
      <c r="J22" s="448"/>
      <c r="K22" s="2608"/>
      <c r="L22" s="1140"/>
      <c r="M22" s="1131"/>
      <c r="N22" s="1131"/>
      <c r="O22" s="1131"/>
      <c r="P22" s="3365"/>
      <c r="Q22" s="1809"/>
      <c r="R22" s="774"/>
      <c r="S22" s="775"/>
      <c r="T22" s="774"/>
      <c r="U22" s="775"/>
      <c r="V22" s="774"/>
      <c r="W22" s="775"/>
      <c r="X22" s="1812"/>
      <c r="Y22" s="3325"/>
      <c r="Z22" s="1813"/>
      <c r="AA22" s="1810">
        <v>1</v>
      </c>
      <c r="AB22" s="1810">
        <v>1</v>
      </c>
      <c r="AC22" s="1810">
        <v>1</v>
      </c>
    </row>
    <row r="23" spans="1:29" ht="56">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5</v>
      </c>
      <c r="L23" s="1140"/>
      <c r="M23" s="1131"/>
      <c r="N23" s="1131"/>
      <c r="O23" s="1131"/>
      <c r="P23" s="3365"/>
      <c r="Q23" s="1809" t="str">
        <f>B23</f>
        <v>自然及人文环境</v>
      </c>
      <c r="R23" s="774" t="s">
        <v>21</v>
      </c>
      <c r="S23" s="775">
        <f>F23</f>
        <v>100</v>
      </c>
      <c r="T23" s="774" t="s">
        <v>21</v>
      </c>
      <c r="U23" s="775">
        <f>H23</f>
        <v>100</v>
      </c>
      <c r="V23" s="774" t="s">
        <v>21</v>
      </c>
      <c r="W23" s="775">
        <f>J23</f>
        <v>100</v>
      </c>
      <c r="X23" s="1812"/>
      <c r="Y23" s="3325"/>
      <c r="Z23" s="1813" t="str">
        <f>Q23</f>
        <v>自然及人文环境</v>
      </c>
      <c r="AA23" s="1810">
        <f>D23/F23</f>
        <v>1</v>
      </c>
      <c r="AB23" s="1810">
        <f>D23/H23</f>
        <v>1</v>
      </c>
      <c r="AC23" s="1810">
        <f>D23/J23</f>
        <v>1</v>
      </c>
    </row>
    <row r="24" spans="1:29" ht="16" thickBot="1">
      <c r="A24" s="428"/>
      <c r="B24" s="456"/>
      <c r="C24" s="447" t="s">
        <v>3321</v>
      </c>
      <c r="D24" s="448"/>
      <c r="E24" s="447" t="s">
        <v>3321</v>
      </c>
      <c r="F24" s="448"/>
      <c r="G24" s="447" t="s">
        <v>3321</v>
      </c>
      <c r="H24" s="448"/>
      <c r="I24" s="447" t="s">
        <v>3321</v>
      </c>
      <c r="J24" s="448"/>
      <c r="K24" s="2602"/>
      <c r="L24" s="1140"/>
      <c r="M24" s="1131"/>
      <c r="N24" s="1131"/>
      <c r="O24" s="1131"/>
      <c r="P24" s="3365"/>
      <c r="Q24" s="1809"/>
      <c r="R24" s="774"/>
      <c r="S24" s="775"/>
      <c r="T24" s="774"/>
      <c r="U24" s="775"/>
      <c r="V24" s="774"/>
      <c r="W24" s="775"/>
      <c r="X24" s="1812"/>
      <c r="Y24" s="3325"/>
      <c r="Z24" s="1813"/>
      <c r="AA24" s="1810">
        <v>1</v>
      </c>
      <c r="AB24" s="1810">
        <v>1</v>
      </c>
      <c r="AC24" s="1810">
        <v>1</v>
      </c>
    </row>
    <row r="25" spans="1:29" ht="15.5" hidden="1">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36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325"/>
      <c r="Z25" s="1813" t="str">
        <f>Q25</f>
        <v>楼层-1</v>
      </c>
      <c r="AA25" s="1810">
        <f t="shared" ref="AA25:AA46" si="15">D25/F25</f>
        <v>1</v>
      </c>
      <c r="AB25" s="1810">
        <f t="shared" ref="AB25:AB46" si="16">D25/H25</f>
        <v>1</v>
      </c>
      <c r="AC25" s="1810">
        <f t="shared" ref="AC25:AC46" si="17">D25/J25</f>
        <v>1</v>
      </c>
    </row>
    <row r="26" spans="1:29" ht="15.5" hidden="1">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365"/>
      <c r="Q26" s="1809" t="str">
        <f t="shared" si="11"/>
        <v>朝向</v>
      </c>
      <c r="R26" s="774" t="s">
        <v>21</v>
      </c>
      <c r="S26" s="775">
        <f t="shared" si="12"/>
        <v>100</v>
      </c>
      <c r="T26" s="774" t="s">
        <v>21</v>
      </c>
      <c r="U26" s="775">
        <f t="shared" si="13"/>
        <v>100</v>
      </c>
      <c r="V26" s="774" t="s">
        <v>21</v>
      </c>
      <c r="W26" s="775">
        <f t="shared" si="14"/>
        <v>100</v>
      </c>
      <c r="X26" s="1812"/>
      <c r="Y26" s="3325"/>
      <c r="Z26" s="1813" t="str">
        <f>Q26</f>
        <v>朝向</v>
      </c>
      <c r="AA26" s="1810">
        <f t="shared" si="15"/>
        <v>1</v>
      </c>
      <c r="AB26" s="1810">
        <f t="shared" si="16"/>
        <v>1</v>
      </c>
      <c r="AC26" s="1810">
        <f t="shared" si="17"/>
        <v>1</v>
      </c>
    </row>
    <row r="27" spans="1:29" s="117" customFormat="1" ht="15.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365"/>
      <c r="Q27" s="1794">
        <f t="shared" si="11"/>
        <v>111</v>
      </c>
      <c r="R27" s="770" t="s">
        <v>21</v>
      </c>
      <c r="S27" s="771">
        <f t="shared" si="12"/>
        <v>100</v>
      </c>
      <c r="T27" s="770" t="s">
        <v>21</v>
      </c>
      <c r="U27" s="771">
        <f t="shared" si="13"/>
        <v>100</v>
      </c>
      <c r="V27" s="770" t="s">
        <v>21</v>
      </c>
      <c r="W27" s="771">
        <f t="shared" si="14"/>
        <v>100</v>
      </c>
      <c r="X27" s="772"/>
      <c r="Y27" s="3325"/>
      <c r="Z27" s="55">
        <f>Q27</f>
        <v>111</v>
      </c>
      <c r="AA27" s="1810">
        <f t="shared" si="15"/>
        <v>1</v>
      </c>
      <c r="AB27" s="1810">
        <f t="shared" si="16"/>
        <v>1</v>
      </c>
      <c r="AC27" s="1810">
        <f t="shared" si="17"/>
        <v>1</v>
      </c>
    </row>
    <row r="28" spans="1:29" ht="15.5" hidden="1">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365"/>
      <c r="Q28" s="1809">
        <f t="shared" si="11"/>
        <v>111</v>
      </c>
      <c r="R28" s="774" t="s">
        <v>21</v>
      </c>
      <c r="S28" s="775">
        <f t="shared" si="12"/>
        <v>100</v>
      </c>
      <c r="T28" s="774" t="s">
        <v>21</v>
      </c>
      <c r="U28" s="775">
        <f t="shared" si="13"/>
        <v>100</v>
      </c>
      <c r="V28" s="774" t="s">
        <v>21</v>
      </c>
      <c r="W28" s="775">
        <f t="shared" si="14"/>
        <v>100</v>
      </c>
      <c r="X28" s="1812"/>
      <c r="Y28" s="3325"/>
      <c r="Z28" s="1813">
        <f t="shared" ref="Z28:Z46" si="18">Q28</f>
        <v>111</v>
      </c>
      <c r="AA28" s="1810">
        <f t="shared" si="15"/>
        <v>1</v>
      </c>
      <c r="AB28" s="1810">
        <f t="shared" si="16"/>
        <v>1</v>
      </c>
      <c r="AC28" s="1810">
        <f t="shared" si="17"/>
        <v>1</v>
      </c>
    </row>
    <row r="29" spans="1:29" ht="15.5" hidden="1">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365"/>
      <c r="Q29" s="1809">
        <f t="shared" si="11"/>
        <v>111</v>
      </c>
      <c r="R29" s="774" t="s">
        <v>21</v>
      </c>
      <c r="S29" s="775">
        <f t="shared" si="12"/>
        <v>100</v>
      </c>
      <c r="T29" s="774" t="s">
        <v>21</v>
      </c>
      <c r="U29" s="775">
        <f t="shared" si="13"/>
        <v>100</v>
      </c>
      <c r="V29" s="774" t="s">
        <v>21</v>
      </c>
      <c r="W29" s="775">
        <f t="shared" si="14"/>
        <v>100</v>
      </c>
      <c r="X29" s="1812"/>
      <c r="Y29" s="3325"/>
      <c r="Z29" s="1813">
        <f t="shared" si="18"/>
        <v>111</v>
      </c>
      <c r="AA29" s="1810">
        <f t="shared" si="15"/>
        <v>1</v>
      </c>
      <c r="AB29" s="1810">
        <f t="shared" si="16"/>
        <v>1</v>
      </c>
      <c r="AC29" s="1810">
        <f t="shared" si="17"/>
        <v>1</v>
      </c>
    </row>
    <row r="30" spans="1:29" ht="15.5" hidden="1">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365"/>
      <c r="Q30" s="1809">
        <f t="shared" si="11"/>
        <v>111</v>
      </c>
      <c r="R30" s="774" t="s">
        <v>21</v>
      </c>
      <c r="S30" s="775">
        <f t="shared" si="12"/>
        <v>100</v>
      </c>
      <c r="T30" s="774" t="s">
        <v>21</v>
      </c>
      <c r="U30" s="775">
        <f t="shared" si="13"/>
        <v>100</v>
      </c>
      <c r="V30" s="774" t="s">
        <v>21</v>
      </c>
      <c r="W30" s="775">
        <f t="shared" si="14"/>
        <v>100</v>
      </c>
      <c r="X30" s="1812"/>
      <c r="Y30" s="3325"/>
      <c r="Z30" s="1813">
        <f t="shared" si="18"/>
        <v>111</v>
      </c>
      <c r="AA30" s="1810">
        <f t="shared" si="15"/>
        <v>1</v>
      </c>
      <c r="AB30" s="1810">
        <f t="shared" si="16"/>
        <v>1</v>
      </c>
      <c r="AC30" s="1810">
        <f t="shared" si="17"/>
        <v>1</v>
      </c>
    </row>
    <row r="31" spans="1:29" ht="16" hidden="1"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365"/>
      <c r="Q31" s="1809">
        <f t="shared" si="11"/>
        <v>111</v>
      </c>
      <c r="R31" s="774" t="s">
        <v>21</v>
      </c>
      <c r="S31" s="775">
        <f t="shared" si="12"/>
        <v>100</v>
      </c>
      <c r="T31" s="774" t="s">
        <v>21</v>
      </c>
      <c r="U31" s="775">
        <f t="shared" si="13"/>
        <v>100</v>
      </c>
      <c r="V31" s="774" t="s">
        <v>21</v>
      </c>
      <c r="W31" s="775">
        <f t="shared" si="14"/>
        <v>100</v>
      </c>
      <c r="X31" s="1812"/>
      <c r="Y31" s="3325"/>
      <c r="Z31" s="1813">
        <f t="shared" si="18"/>
        <v>111</v>
      </c>
      <c r="AA31" s="1810">
        <f t="shared" si="15"/>
        <v>1</v>
      </c>
      <c r="AB31" s="1810">
        <f t="shared" si="16"/>
        <v>1</v>
      </c>
      <c r="AC31" s="1810">
        <f t="shared" si="17"/>
        <v>1</v>
      </c>
    </row>
    <row r="32" spans="1:29" ht="15.5">
      <c r="A32" s="440" t="s">
        <v>2558</v>
      </c>
      <c r="B32" s="71" t="s">
        <v>2559</v>
      </c>
      <c r="C32" s="2613" t="s">
        <v>3130</v>
      </c>
      <c r="D32" s="467">
        <v>100</v>
      </c>
      <c r="E32" s="2613" t="s">
        <v>3130</v>
      </c>
      <c r="F32" s="461">
        <f>SUMIF(100:100,E32,101:101)-SUMIF(100:100,C32,101:101)+100</f>
        <v>100</v>
      </c>
      <c r="G32" s="2613" t="s">
        <v>3130</v>
      </c>
      <c r="H32" s="467">
        <f>SUMIF(100:100,G32,101:101)-SUMIF(100:100,C32,101:101)+100</f>
        <v>100</v>
      </c>
      <c r="I32" s="2613" t="s">
        <v>3130</v>
      </c>
      <c r="J32" s="435">
        <f>SUMIF(100:100,I32,101:101)-SUMIF(100:100,C32,101:101)+100</f>
        <v>100</v>
      </c>
      <c r="K32" s="426"/>
      <c r="L32" s="1140"/>
      <c r="M32" s="1131"/>
      <c r="N32" s="1131"/>
      <c r="O32" s="1131"/>
      <c r="P32" s="3360" t="s">
        <v>2560</v>
      </c>
      <c r="Q32" s="1809" t="str">
        <f t="shared" si="11"/>
        <v>建筑类型</v>
      </c>
      <c r="R32" s="774" t="s">
        <v>21</v>
      </c>
      <c r="S32" s="775">
        <f t="shared" si="12"/>
        <v>100</v>
      </c>
      <c r="T32" s="774" t="s">
        <v>21</v>
      </c>
      <c r="U32" s="775">
        <f t="shared" si="13"/>
        <v>100</v>
      </c>
      <c r="V32" s="774" t="s">
        <v>21</v>
      </c>
      <c r="W32" s="775">
        <f t="shared" si="14"/>
        <v>100</v>
      </c>
      <c r="X32" s="1812"/>
      <c r="Y32" s="3327" t="s">
        <v>2560</v>
      </c>
      <c r="Z32" s="1813" t="str">
        <f t="shared" si="18"/>
        <v>建筑类型</v>
      </c>
      <c r="AA32" s="1810">
        <f t="shared" si="15"/>
        <v>1</v>
      </c>
      <c r="AB32" s="1810">
        <f t="shared" si="16"/>
        <v>1</v>
      </c>
      <c r="AC32" s="1810">
        <f t="shared" si="17"/>
        <v>1</v>
      </c>
    </row>
    <row r="33" spans="1:29" s="471" customFormat="1" ht="15.5">
      <c r="A33" s="468"/>
      <c r="B33" s="422" t="s">
        <v>2561</v>
      </c>
      <c r="C33" s="469">
        <v>258100.13</v>
      </c>
      <c r="D33" s="136">
        <v>100</v>
      </c>
      <c r="E33" s="430">
        <v>166594.18</v>
      </c>
      <c r="F33" s="425">
        <f>LOOKUP(E33,103:103,104:104)-LOOKUP(C33,103:103,104:104)+100</f>
        <v>99</v>
      </c>
      <c r="G33" s="429">
        <v>200000</v>
      </c>
      <c r="H33" s="136">
        <f>LOOKUP(G33,103:103,104:104)-LOOKUP(C33,103:103,104:104)+100</f>
        <v>100</v>
      </c>
      <c r="I33" s="430">
        <v>136453</v>
      </c>
      <c r="J33" s="136">
        <f>LOOKUP(I33,103:103,104:104)-LOOKUP(C33,103:103,104:104)+100</f>
        <v>99</v>
      </c>
      <c r="K33" s="2597"/>
      <c r="L33" s="1138"/>
      <c r="M33" s="1141"/>
      <c r="N33" s="1141"/>
      <c r="O33" s="1141"/>
      <c r="P33" s="3361"/>
      <c r="Q33" s="776" t="str">
        <f t="shared" si="11"/>
        <v>项目建筑规模</v>
      </c>
      <c r="R33" s="777" t="s">
        <v>21</v>
      </c>
      <c r="S33" s="778">
        <f t="shared" si="12"/>
        <v>99</v>
      </c>
      <c r="T33" s="777" t="s">
        <v>21</v>
      </c>
      <c r="U33" s="778">
        <f t="shared" si="13"/>
        <v>100</v>
      </c>
      <c r="V33" s="777" t="s">
        <v>21</v>
      </c>
      <c r="W33" s="778">
        <f t="shared" si="14"/>
        <v>99</v>
      </c>
      <c r="X33" s="779"/>
      <c r="Y33" s="3327"/>
      <c r="Z33" s="780" t="str">
        <f t="shared" si="18"/>
        <v>项目建筑规模</v>
      </c>
      <c r="AA33" s="1810">
        <f t="shared" si="15"/>
        <v>1.0101010101010102</v>
      </c>
      <c r="AB33" s="1810">
        <f t="shared" si="16"/>
        <v>1</v>
      </c>
      <c r="AC33" s="1810">
        <f t="shared" si="17"/>
        <v>1.0101010101010102</v>
      </c>
    </row>
    <row r="34" spans="1:29" ht="15.5">
      <c r="A34" s="472"/>
      <c r="B34" s="422" t="s">
        <v>2562</v>
      </c>
      <c r="C34" s="2614" t="s">
        <v>3285</v>
      </c>
      <c r="D34" s="435">
        <v>100</v>
      </c>
      <c r="E34" s="2614" t="s">
        <v>3285</v>
      </c>
      <c r="F34" s="461">
        <f>SUMIF(105:105,E34,106:106)-SUMIF(105:105,C34,106:106)+100</f>
        <v>100</v>
      </c>
      <c r="G34" s="2614" t="s">
        <v>3285</v>
      </c>
      <c r="H34" s="435">
        <f>SUMIF(105:105,G34,106:106)-SUMIF(105:105,C34,106:106)+100</f>
        <v>100</v>
      </c>
      <c r="I34" s="2614" t="s">
        <v>3285</v>
      </c>
      <c r="J34" s="435">
        <f>SUMIF(105:105,I34,106:106)-SUMIF(105:105,C34,106:106)+100</f>
        <v>100</v>
      </c>
      <c r="K34" s="426">
        <v>2</v>
      </c>
      <c r="L34" s="1140"/>
      <c r="M34" s="1131"/>
      <c r="N34" s="1131"/>
      <c r="O34" s="1131"/>
      <c r="P34" s="3361"/>
      <c r="Q34" s="1809" t="str">
        <f t="shared" si="11"/>
        <v>建筑结构</v>
      </c>
      <c r="R34" s="774" t="s">
        <v>21</v>
      </c>
      <c r="S34" s="775">
        <f t="shared" si="12"/>
        <v>100</v>
      </c>
      <c r="T34" s="774" t="s">
        <v>21</v>
      </c>
      <c r="U34" s="775">
        <f t="shared" si="13"/>
        <v>100</v>
      </c>
      <c r="V34" s="774" t="s">
        <v>21</v>
      </c>
      <c r="W34" s="775">
        <f t="shared" si="14"/>
        <v>100</v>
      </c>
      <c r="X34" s="1812"/>
      <c r="Y34" s="3327"/>
      <c r="Z34" s="1813" t="str">
        <f t="shared" si="18"/>
        <v>建筑结构</v>
      </c>
      <c r="AA34" s="1810">
        <f t="shared" si="15"/>
        <v>1</v>
      </c>
      <c r="AB34" s="1810">
        <f t="shared" si="16"/>
        <v>1</v>
      </c>
      <c r="AC34" s="1810">
        <f t="shared" si="17"/>
        <v>1</v>
      </c>
    </row>
    <row r="35" spans="1:29" ht="15.5">
      <c r="A35" s="472"/>
      <c r="B35" s="422" t="s">
        <v>2563</v>
      </c>
      <c r="C35" s="2609" t="s">
        <v>3347</v>
      </c>
      <c r="D35" s="435">
        <v>100</v>
      </c>
      <c r="E35" s="2609" t="s">
        <v>3347</v>
      </c>
      <c r="F35" s="461">
        <f>SUMIF(107:107,E35,108:108)-SUMIF(107:107,C35,108:108)+100</f>
        <v>100</v>
      </c>
      <c r="G35" s="2609" t="s">
        <v>3347</v>
      </c>
      <c r="H35" s="435">
        <f>SUMIF(107:107,G35,108:108)-SUMIF(107:107,C35,108:108)+100</f>
        <v>100</v>
      </c>
      <c r="I35" s="2609" t="s">
        <v>3347</v>
      </c>
      <c r="J35" s="435">
        <f>SUMIF(107:107,I35,108:108)-SUMIF(107:107,C35,108:108)+100</f>
        <v>100</v>
      </c>
      <c r="K35" s="426">
        <v>2</v>
      </c>
      <c r="L35" s="1140"/>
      <c r="M35" s="1131"/>
      <c r="N35" s="1131"/>
      <c r="O35" s="1131"/>
      <c r="P35" s="3361"/>
      <c r="Q35" s="1809" t="str">
        <f t="shared" si="11"/>
        <v>建筑品质</v>
      </c>
      <c r="R35" s="774" t="s">
        <v>21</v>
      </c>
      <c r="S35" s="775">
        <f t="shared" si="12"/>
        <v>100</v>
      </c>
      <c r="T35" s="774" t="s">
        <v>21</v>
      </c>
      <c r="U35" s="775">
        <f t="shared" si="13"/>
        <v>100</v>
      </c>
      <c r="V35" s="774" t="s">
        <v>21</v>
      </c>
      <c r="W35" s="775">
        <f t="shared" si="14"/>
        <v>100</v>
      </c>
      <c r="X35" s="1812"/>
      <c r="Y35" s="3327"/>
      <c r="Z35" s="1813" t="str">
        <f t="shared" si="18"/>
        <v>建筑品质</v>
      </c>
      <c r="AA35" s="1810">
        <f t="shared" si="15"/>
        <v>1</v>
      </c>
      <c r="AB35" s="1810">
        <f t="shared" si="16"/>
        <v>1</v>
      </c>
      <c r="AC35" s="1810">
        <f t="shared" si="17"/>
        <v>1</v>
      </c>
    </row>
    <row r="36" spans="1:29" ht="15.5">
      <c r="A36" s="472"/>
      <c r="B36" s="422" t="s">
        <v>2564</v>
      </c>
      <c r="C36" s="2609" t="s">
        <v>3329</v>
      </c>
      <c r="D36" s="435">
        <v>100</v>
      </c>
      <c r="E36" s="2609" t="s">
        <v>3329</v>
      </c>
      <c r="F36" s="461">
        <f>SUMIF(109:109,E36,110:110)-SUMIF(109:109,C36,110:110)+100</f>
        <v>100</v>
      </c>
      <c r="G36" s="2609" t="s">
        <v>3329</v>
      </c>
      <c r="H36" s="435">
        <f>SUMIF(109:109,G36,110:110)-SUMIF(109:109,C36,110:110)+100</f>
        <v>100</v>
      </c>
      <c r="I36" s="2609" t="s">
        <v>3329</v>
      </c>
      <c r="J36" s="435">
        <f>SUMIF(109:109,I36,110:110)-SUMIF(109:109,C36,110:110)+100</f>
        <v>100</v>
      </c>
      <c r="K36" s="426">
        <v>2</v>
      </c>
      <c r="L36" s="1140"/>
      <c r="M36" s="1131"/>
      <c r="N36" s="1131"/>
      <c r="O36" s="1131"/>
      <c r="P36" s="3361"/>
      <c r="Q36" s="1809" t="str">
        <f t="shared" si="11"/>
        <v>公共部分装修</v>
      </c>
      <c r="R36" s="774" t="s">
        <v>21</v>
      </c>
      <c r="S36" s="775">
        <f t="shared" si="12"/>
        <v>100</v>
      </c>
      <c r="T36" s="774" t="s">
        <v>21</v>
      </c>
      <c r="U36" s="775">
        <f t="shared" si="13"/>
        <v>100</v>
      </c>
      <c r="V36" s="774" t="s">
        <v>21</v>
      </c>
      <c r="W36" s="775">
        <f t="shared" si="14"/>
        <v>100</v>
      </c>
      <c r="X36" s="1812"/>
      <c r="Y36" s="3327"/>
      <c r="Z36" s="1813" t="str">
        <f t="shared" si="18"/>
        <v>公共部分装修</v>
      </c>
      <c r="AA36" s="1810">
        <f t="shared" si="15"/>
        <v>1</v>
      </c>
      <c r="AB36" s="1810">
        <f t="shared" si="16"/>
        <v>1</v>
      </c>
      <c r="AC36" s="1810">
        <f t="shared" si="17"/>
        <v>1</v>
      </c>
    </row>
    <row r="37" spans="1:29" s="117" customFormat="1" ht="15.5">
      <c r="A37" s="473"/>
      <c r="B37" s="422" t="s">
        <v>2565</v>
      </c>
      <c r="C37" s="474">
        <v>1</v>
      </c>
      <c r="D37" s="136">
        <v>100</v>
      </c>
      <c r="E37" s="474">
        <v>0.95</v>
      </c>
      <c r="F37" s="425">
        <f>LOOKUP(E37,112:112,113:113)-LOOKUP(C37,112:112,113:113)+100</f>
        <v>100</v>
      </c>
      <c r="G37" s="476">
        <f>ROUND(1-(2019-2016)/60,2)</f>
        <v>0.95</v>
      </c>
      <c r="H37" s="136">
        <f>LOOKUP(G37,112:112,113:113)-LOOKUP(C37,112:112,113:113)+100</f>
        <v>100</v>
      </c>
      <c r="I37" s="475">
        <f>C37</f>
        <v>1</v>
      </c>
      <c r="J37" s="136">
        <f>LOOKUP(I37,112:112,113:113)-LOOKUP(C37,112:112,113:113)+100</f>
        <v>100</v>
      </c>
      <c r="K37" s="426">
        <v>1</v>
      </c>
      <c r="L37" s="1132"/>
      <c r="M37" s="1133"/>
      <c r="N37" s="1133"/>
      <c r="O37" s="1133"/>
      <c r="P37" s="3361"/>
      <c r="Q37" s="1794" t="str">
        <f t="shared" si="11"/>
        <v>成新度</v>
      </c>
      <c r="R37" s="770" t="s">
        <v>21</v>
      </c>
      <c r="S37" s="771">
        <f t="shared" si="12"/>
        <v>100</v>
      </c>
      <c r="T37" s="770" t="s">
        <v>21</v>
      </c>
      <c r="U37" s="771">
        <f t="shared" si="13"/>
        <v>100</v>
      </c>
      <c r="V37" s="770" t="s">
        <v>21</v>
      </c>
      <c r="W37" s="771">
        <f t="shared" si="14"/>
        <v>100</v>
      </c>
      <c r="X37" s="772"/>
      <c r="Y37" s="3327"/>
      <c r="Z37" s="55" t="str">
        <f t="shared" si="18"/>
        <v>成新度</v>
      </c>
      <c r="AA37" s="773">
        <f t="shared" si="15"/>
        <v>1</v>
      </c>
      <c r="AB37" s="773">
        <f t="shared" si="16"/>
        <v>1</v>
      </c>
      <c r="AC37" s="773">
        <f t="shared" si="17"/>
        <v>1</v>
      </c>
    </row>
    <row r="38" spans="1:29" ht="15.5">
      <c r="A38" s="472"/>
      <c r="B38" s="422" t="s">
        <v>2566</v>
      </c>
      <c r="C38" s="2609" t="s">
        <v>3350</v>
      </c>
      <c r="D38" s="435">
        <v>100</v>
      </c>
      <c r="E38" s="2609" t="s">
        <v>3350</v>
      </c>
      <c r="F38" s="461">
        <f>SUMIF(114:114,E38,115:115)-SUMIF(114:114,C38,115:115)+100</f>
        <v>100</v>
      </c>
      <c r="G38" s="2609" t="s">
        <v>3350</v>
      </c>
      <c r="H38" s="435">
        <f>SUMIF(114:114,G38,115:115)-SUMIF(114:114,C38,115:115)+100</f>
        <v>100</v>
      </c>
      <c r="I38" s="2609" t="s">
        <v>3350</v>
      </c>
      <c r="J38" s="435">
        <f>SUMIF(114:114,I38,115:115)-SUMIF(114:114,C38,115:115)+100</f>
        <v>100</v>
      </c>
      <c r="K38" s="426">
        <v>2</v>
      </c>
      <c r="L38" s="1140"/>
      <c r="M38" s="1131"/>
      <c r="N38" s="1131"/>
      <c r="O38" s="1131"/>
      <c r="P38" s="3361" t="s">
        <v>2560</v>
      </c>
      <c r="Q38" s="1809" t="str">
        <f t="shared" si="11"/>
        <v>物业管理</v>
      </c>
      <c r="R38" s="774" t="s">
        <v>21</v>
      </c>
      <c r="S38" s="775">
        <f t="shared" si="12"/>
        <v>100</v>
      </c>
      <c r="T38" s="774" t="s">
        <v>21</v>
      </c>
      <c r="U38" s="775">
        <f t="shared" si="13"/>
        <v>100</v>
      </c>
      <c r="V38" s="774" t="s">
        <v>21</v>
      </c>
      <c r="W38" s="775">
        <f t="shared" si="14"/>
        <v>100</v>
      </c>
      <c r="X38" s="1812"/>
      <c r="Y38" s="3327" t="s">
        <v>2560</v>
      </c>
      <c r="Z38" s="1813" t="str">
        <f t="shared" si="18"/>
        <v>物业管理</v>
      </c>
      <c r="AA38" s="1810">
        <f t="shared" si="15"/>
        <v>1</v>
      </c>
      <c r="AB38" s="1810">
        <f t="shared" si="16"/>
        <v>1</v>
      </c>
      <c r="AC38" s="1810">
        <f t="shared" si="17"/>
        <v>1</v>
      </c>
    </row>
    <row r="39" spans="1:29" ht="15.5">
      <c r="A39" s="472"/>
      <c r="B39" s="422" t="s">
        <v>2567</v>
      </c>
      <c r="C39" s="2609" t="s">
        <v>3316</v>
      </c>
      <c r="D39" s="435">
        <v>100</v>
      </c>
      <c r="E39" s="2609" t="s">
        <v>3316</v>
      </c>
      <c r="F39" s="461">
        <f>SUMIF(116:116,E39,117:117)-SUMIF(116:116,C39,117:117)+100</f>
        <v>100</v>
      </c>
      <c r="G39" s="2609" t="s">
        <v>3316</v>
      </c>
      <c r="H39" s="435">
        <f>SUMIF(116:116,G39,117:117)-SUMIF(116:116,C39,117:117)+100</f>
        <v>100</v>
      </c>
      <c r="I39" s="2609" t="s">
        <v>3316</v>
      </c>
      <c r="J39" s="435">
        <f>SUMIF(116:116,I39,117:117)-SUMIF(116:116,C39,117:117)+100</f>
        <v>100</v>
      </c>
      <c r="K39" s="426">
        <v>1</v>
      </c>
      <c r="L39" s="1140"/>
      <c r="M39" s="1131"/>
      <c r="N39" s="1131"/>
      <c r="O39" s="1131"/>
      <c r="P39" s="3361"/>
      <c r="Q39" s="1809" t="str">
        <f t="shared" si="11"/>
        <v>市政基础设施</v>
      </c>
      <c r="R39" s="774" t="s">
        <v>21</v>
      </c>
      <c r="S39" s="775">
        <f t="shared" si="12"/>
        <v>100</v>
      </c>
      <c r="T39" s="774" t="s">
        <v>21</v>
      </c>
      <c r="U39" s="775">
        <f t="shared" si="13"/>
        <v>100</v>
      </c>
      <c r="V39" s="774" t="s">
        <v>21</v>
      </c>
      <c r="W39" s="775">
        <f t="shared" si="14"/>
        <v>100</v>
      </c>
      <c r="X39" s="1812"/>
      <c r="Y39" s="3327"/>
      <c r="Z39" s="1813" t="str">
        <f t="shared" si="18"/>
        <v>市政基础设施</v>
      </c>
      <c r="AA39" s="1810">
        <f t="shared" si="15"/>
        <v>1</v>
      </c>
      <c r="AB39" s="1810">
        <f t="shared" si="16"/>
        <v>1</v>
      </c>
      <c r="AC39" s="1810">
        <f t="shared" si="17"/>
        <v>1</v>
      </c>
    </row>
    <row r="40" spans="1:29" ht="15.5" hidden="1">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361"/>
      <c r="Q40" s="1809" t="str">
        <f t="shared" si="11"/>
        <v>房型</v>
      </c>
      <c r="R40" s="774" t="s">
        <v>21</v>
      </c>
      <c r="S40" s="775">
        <f t="shared" si="12"/>
        <v>100</v>
      </c>
      <c r="T40" s="774" t="s">
        <v>21</v>
      </c>
      <c r="U40" s="775">
        <f t="shared" si="13"/>
        <v>100</v>
      </c>
      <c r="V40" s="774" t="s">
        <v>21</v>
      </c>
      <c r="W40" s="775">
        <f t="shared" si="14"/>
        <v>100</v>
      </c>
      <c r="X40" s="1812"/>
      <c r="Y40" s="3327"/>
      <c r="Z40" s="1813" t="str">
        <f t="shared" si="18"/>
        <v>房型</v>
      </c>
      <c r="AA40" s="1810">
        <f t="shared" si="15"/>
        <v>1</v>
      </c>
      <c r="AB40" s="1810">
        <f t="shared" si="16"/>
        <v>1</v>
      </c>
      <c r="AC40" s="1810">
        <f t="shared" si="17"/>
        <v>1</v>
      </c>
    </row>
    <row r="41" spans="1:29" s="471" customFormat="1" ht="28.5">
      <c r="A41" s="468"/>
      <c r="B41" s="422" t="s">
        <v>2569</v>
      </c>
      <c r="C41" s="469" t="s">
        <v>3338</v>
      </c>
      <c r="D41" s="136">
        <v>100</v>
      </c>
      <c r="E41" s="430">
        <v>398</v>
      </c>
      <c r="F41" s="425">
        <f>SUMIF(120:120,E41,121:121)-SUMIF(120:120,C41,121:121)+100</f>
        <v>98</v>
      </c>
      <c r="G41" s="429">
        <v>313</v>
      </c>
      <c r="H41" s="136">
        <f>SUMIF(120:120,G41,121:121)-SUMIF(120:120,C41,121:121)+100</f>
        <v>98</v>
      </c>
      <c r="I41" s="477" t="s">
        <v>3343</v>
      </c>
      <c r="J41" s="435">
        <f>SUMIF(120:120,I41,121:121)-SUMIF(120:120,C41,121:121)+100</f>
        <v>98</v>
      </c>
      <c r="K41" s="2597"/>
      <c r="L41" s="1138"/>
      <c r="M41" s="1141"/>
      <c r="N41" s="1141"/>
      <c r="O41" s="1141"/>
      <c r="P41" s="3361"/>
      <c r="Q41" s="776" t="str">
        <f t="shared" si="11"/>
        <v>单套/主力户型建筑面积</v>
      </c>
      <c r="R41" s="777" t="s">
        <v>21</v>
      </c>
      <c r="S41" s="778">
        <f t="shared" si="12"/>
        <v>98</v>
      </c>
      <c r="T41" s="777" t="s">
        <v>21</v>
      </c>
      <c r="U41" s="778">
        <f t="shared" si="13"/>
        <v>98</v>
      </c>
      <c r="V41" s="777" t="s">
        <v>21</v>
      </c>
      <c r="W41" s="778">
        <f t="shared" si="14"/>
        <v>98</v>
      </c>
      <c r="X41" s="779"/>
      <c r="Y41" s="3327"/>
      <c r="Z41" s="780" t="str">
        <f t="shared" si="18"/>
        <v>单套/主力户型建筑面积</v>
      </c>
      <c r="AA41" s="1810">
        <f t="shared" si="15"/>
        <v>1.0204081632653061</v>
      </c>
      <c r="AB41" s="1810">
        <f t="shared" si="16"/>
        <v>1.0204081632653061</v>
      </c>
      <c r="AC41" s="1810">
        <f t="shared" si="17"/>
        <v>1.0204081632653061</v>
      </c>
    </row>
    <row r="42" spans="1:29" ht="15.5">
      <c r="A42" s="472"/>
      <c r="B42" s="422" t="s">
        <v>2570</v>
      </c>
      <c r="C42" s="2609" t="s">
        <v>3329</v>
      </c>
      <c r="D42" s="435">
        <v>100</v>
      </c>
      <c r="E42" s="2610" t="s">
        <v>3333</v>
      </c>
      <c r="F42" s="461">
        <f>SUMIF(122:122,E42,123:123)-SUMIF(122:122,C42,123:123)+100</f>
        <v>95.5</v>
      </c>
      <c r="G42" s="2609" t="s">
        <v>3329</v>
      </c>
      <c r="H42" s="435">
        <f>SUMIF(122:122,G42,123:123)-SUMIF(122:122,C42,123:123)+100</f>
        <v>100</v>
      </c>
      <c r="I42" s="2610" t="s">
        <v>3329</v>
      </c>
      <c r="J42" s="435">
        <f>SUMIF(122:122,I42,123:123)-SUMIF(122:122,C42,123:123)+100</f>
        <v>100</v>
      </c>
      <c r="K42" s="426">
        <v>1.5</v>
      </c>
      <c r="L42" s="1140"/>
      <c r="M42" s="1131"/>
      <c r="N42" s="1131"/>
      <c r="O42" s="1131"/>
      <c r="P42" s="3361"/>
      <c r="Q42" s="1809" t="str">
        <f t="shared" si="11"/>
        <v>内部装修</v>
      </c>
      <c r="R42" s="774" t="s">
        <v>21</v>
      </c>
      <c r="S42" s="775">
        <f t="shared" si="12"/>
        <v>95.5</v>
      </c>
      <c r="T42" s="774" t="s">
        <v>21</v>
      </c>
      <c r="U42" s="775">
        <f t="shared" si="13"/>
        <v>100</v>
      </c>
      <c r="V42" s="774" t="s">
        <v>21</v>
      </c>
      <c r="W42" s="775">
        <f t="shared" si="14"/>
        <v>100</v>
      </c>
      <c r="X42" s="1812"/>
      <c r="Y42" s="3327"/>
      <c r="Z42" s="1813" t="str">
        <f t="shared" si="18"/>
        <v>内部装修</v>
      </c>
      <c r="AA42" s="1810">
        <f t="shared" si="15"/>
        <v>1.0471204188481675</v>
      </c>
      <c r="AB42" s="1810">
        <f t="shared" si="16"/>
        <v>1</v>
      </c>
      <c r="AC42" s="1810">
        <f t="shared" si="17"/>
        <v>1</v>
      </c>
    </row>
    <row r="43" spans="1:29" ht="28" hidden="1">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361"/>
      <c r="Q43" s="1809" t="str">
        <f t="shared" si="11"/>
        <v>内部装修维护情况</v>
      </c>
      <c r="R43" s="774" t="s">
        <v>21</v>
      </c>
      <c r="S43" s="775">
        <f t="shared" si="12"/>
        <v>100</v>
      </c>
      <c r="T43" s="774" t="s">
        <v>21</v>
      </c>
      <c r="U43" s="775">
        <f t="shared" si="13"/>
        <v>100</v>
      </c>
      <c r="V43" s="774" t="s">
        <v>21</v>
      </c>
      <c r="W43" s="775">
        <f t="shared" si="14"/>
        <v>100</v>
      </c>
      <c r="X43" s="1812"/>
      <c r="Y43" s="3327"/>
      <c r="Z43" s="1813" t="str">
        <f t="shared" si="18"/>
        <v>内部装修维护情况</v>
      </c>
      <c r="AA43" s="1810">
        <f t="shared" si="15"/>
        <v>1</v>
      </c>
      <c r="AB43" s="1810">
        <f t="shared" si="16"/>
        <v>1</v>
      </c>
      <c r="AC43" s="1810">
        <f t="shared" si="17"/>
        <v>1</v>
      </c>
    </row>
    <row r="44" spans="1:29" s="117" customFormat="1" ht="43.5" thickBot="1">
      <c r="A44" s="473"/>
      <c r="B44" s="3007" t="s">
        <v>3335</v>
      </c>
      <c r="C44" s="474" t="s">
        <v>3339</v>
      </c>
      <c r="D44" s="136">
        <v>100</v>
      </c>
      <c r="E44" s="474" t="s">
        <v>3337</v>
      </c>
      <c r="F44" s="425">
        <f>SUMIF(126:126,E44,127:127)-SUMIF(126:126,C44,127:127)+100</f>
        <v>85</v>
      </c>
      <c r="G44" s="474" t="s">
        <v>3341</v>
      </c>
      <c r="H44" s="136">
        <f>SUMIF(126:126,G44,127:127)-SUMIF(126:126,C44,127:127)+100</f>
        <v>85</v>
      </c>
      <c r="I44" s="474" t="s">
        <v>3344</v>
      </c>
      <c r="J44" s="136">
        <f>SUMIF(126:126,I44,127:127)-SUMIF(126:126,C44,127:127)+100</f>
        <v>85</v>
      </c>
      <c r="K44" s="2597"/>
      <c r="L44" s="1132"/>
      <c r="M44" s="1133"/>
      <c r="N44" s="1133"/>
      <c r="O44" s="1133"/>
      <c r="P44" s="3361"/>
      <c r="Q44" s="1794" t="str">
        <f t="shared" si="11"/>
        <v>赠送面积</v>
      </c>
      <c r="R44" s="770" t="s">
        <v>21</v>
      </c>
      <c r="S44" s="771">
        <f t="shared" si="12"/>
        <v>85</v>
      </c>
      <c r="T44" s="770" t="s">
        <v>21</v>
      </c>
      <c r="U44" s="771">
        <f t="shared" si="13"/>
        <v>85</v>
      </c>
      <c r="V44" s="770" t="s">
        <v>21</v>
      </c>
      <c r="W44" s="771">
        <f t="shared" si="14"/>
        <v>85</v>
      </c>
      <c r="X44" s="772"/>
      <c r="Y44" s="3327"/>
      <c r="Z44" s="55" t="str">
        <f t="shared" si="18"/>
        <v>赠送面积</v>
      </c>
      <c r="AA44" s="773">
        <f t="shared" si="15"/>
        <v>1.1764705882352942</v>
      </c>
      <c r="AB44" s="773">
        <f t="shared" si="16"/>
        <v>1.1764705882352942</v>
      </c>
      <c r="AC44" s="773">
        <f t="shared" si="17"/>
        <v>1.1764705882352942</v>
      </c>
    </row>
    <row r="45" spans="1:29" ht="15.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361"/>
      <c r="Q45" s="1809">
        <f t="shared" si="11"/>
        <v>111</v>
      </c>
      <c r="R45" s="774" t="s">
        <v>21</v>
      </c>
      <c r="S45" s="775">
        <f t="shared" si="12"/>
        <v>100</v>
      </c>
      <c r="T45" s="774" t="s">
        <v>21</v>
      </c>
      <c r="U45" s="775">
        <f t="shared" si="13"/>
        <v>100</v>
      </c>
      <c r="V45" s="774" t="s">
        <v>21</v>
      </c>
      <c r="W45" s="775">
        <f t="shared" si="14"/>
        <v>100</v>
      </c>
      <c r="X45" s="1812"/>
      <c r="Y45" s="3327"/>
      <c r="Z45" s="1813">
        <f t="shared" si="18"/>
        <v>111</v>
      </c>
      <c r="AA45" s="1810">
        <f t="shared" si="15"/>
        <v>1</v>
      </c>
      <c r="AB45" s="1810">
        <f t="shared" si="16"/>
        <v>1</v>
      </c>
      <c r="AC45" s="1810">
        <f t="shared" si="17"/>
        <v>1</v>
      </c>
    </row>
    <row r="46" spans="1:29" ht="16"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362"/>
      <c r="Q46" s="1809">
        <f t="shared" si="11"/>
        <v>111</v>
      </c>
      <c r="R46" s="774" t="s">
        <v>20</v>
      </c>
      <c r="S46" s="775">
        <f t="shared" si="12"/>
        <v>100</v>
      </c>
      <c r="T46" s="774" t="s">
        <v>20</v>
      </c>
      <c r="U46" s="775">
        <f t="shared" si="13"/>
        <v>100</v>
      </c>
      <c r="V46" s="774" t="s">
        <v>20</v>
      </c>
      <c r="W46" s="775">
        <f t="shared" si="14"/>
        <v>100</v>
      </c>
      <c r="X46" s="1812"/>
      <c r="Y46" s="3363"/>
      <c r="Z46" s="1813">
        <f t="shared" si="18"/>
        <v>111</v>
      </c>
      <c r="AA46" s="1810">
        <f t="shared" si="15"/>
        <v>1</v>
      </c>
      <c r="AB46" s="1810">
        <f t="shared" si="16"/>
        <v>1</v>
      </c>
      <c r="AC46" s="1810">
        <f t="shared" si="17"/>
        <v>1</v>
      </c>
    </row>
    <row r="47" spans="1:29">
      <c r="A47" s="479" t="s">
        <v>2572</v>
      </c>
      <c r="B47" s="480"/>
      <c r="C47" s="1407" t="s">
        <v>19</v>
      </c>
      <c r="D47" s="1408"/>
      <c r="E47" s="1409">
        <v>160000</v>
      </c>
      <c r="F47" s="1410"/>
      <c r="G47" s="1411">
        <v>150000</v>
      </c>
      <c r="H47" s="1412"/>
      <c r="I47" s="1409">
        <v>150000</v>
      </c>
      <c r="J47" s="1412"/>
      <c r="K47" s="2615"/>
      <c r="L47" s="1143"/>
      <c r="M47" s="1144"/>
      <c r="N47" s="1131"/>
      <c r="O47" s="1144"/>
      <c r="P47" s="3322" t="str">
        <f>A47</f>
        <v>成交单价（元/平方米）</v>
      </c>
      <c r="Q47" s="3322"/>
      <c r="R47" s="3359">
        <f>E47</f>
        <v>160000</v>
      </c>
      <c r="S47" s="3359"/>
      <c r="T47" s="3359">
        <f>G47</f>
        <v>150000</v>
      </c>
      <c r="U47" s="3359"/>
      <c r="V47" s="3359">
        <f>I47</f>
        <v>150000</v>
      </c>
      <c r="W47" s="3359"/>
      <c r="X47" s="759"/>
      <c r="Y47" s="781"/>
      <c r="Z47" s="759"/>
      <c r="AA47" s="759"/>
      <c r="AB47" s="759"/>
      <c r="AC47" s="759"/>
    </row>
    <row r="48" spans="1:29" ht="14.5" thickBot="1">
      <c r="A48" s="486" t="s">
        <v>2573</v>
      </c>
      <c r="B48" s="487"/>
      <c r="C48" s="1413">
        <f>R49</f>
        <v>186509</v>
      </c>
      <c r="D48" s="1414"/>
      <c r="E48" s="1415">
        <f>R48</f>
        <v>201148</v>
      </c>
      <c r="F48" s="1415"/>
      <c r="G48" s="1413">
        <f>T48</f>
        <v>178289</v>
      </c>
      <c r="H48" s="1414"/>
      <c r="I48" s="1415">
        <f>V48</f>
        <v>180090</v>
      </c>
      <c r="J48" s="1414"/>
      <c r="K48" s="2616"/>
      <c r="L48" s="1143"/>
      <c r="M48" s="1144"/>
      <c r="N48" s="1144"/>
      <c r="O48" s="1144"/>
      <c r="P48" s="3322" t="str">
        <f>A48</f>
        <v>比较价值（元/平方米）</v>
      </c>
      <c r="Q48" s="3322"/>
      <c r="R48" s="3359">
        <f>IF(F1="售价",ROUND(PRODUCT(R47,AA7:AA46),0),ROUND(PRODUCT(R47,AA7:AA46),1))</f>
        <v>201148</v>
      </c>
      <c r="S48" s="3359"/>
      <c r="T48" s="3359">
        <f>IF(F1="售价",ROUND(PRODUCT(T47,AB7:AB46),0),ROUND(PRODUCT(T47,AB7:AB46),1))</f>
        <v>178289</v>
      </c>
      <c r="U48" s="3359"/>
      <c r="V48" s="3359">
        <f>IF(F1="售价",ROUND(PRODUCT(V47,AC7:AC46),0),ROUND(PRODUCT(V47,AC7:AC46),1))</f>
        <v>180090</v>
      </c>
      <c r="W48" s="3359"/>
      <c r="X48" s="759"/>
      <c r="Y48" s="759"/>
      <c r="Z48" s="759"/>
      <c r="AA48" s="759"/>
      <c r="AB48" s="759"/>
      <c r="AC48" s="759"/>
    </row>
    <row r="49" spans="1:29" ht="14.5" thickBot="1">
      <c r="A49" s="492" t="s">
        <v>2574</v>
      </c>
      <c r="B49" s="493"/>
      <c r="C49" s="1416">
        <f>R49</f>
        <v>186509</v>
      </c>
      <c r="D49" s="1417"/>
      <c r="E49" s="1417"/>
      <c r="F49" s="1417"/>
      <c r="G49" s="1417"/>
      <c r="H49" s="1417"/>
      <c r="I49" s="1417"/>
      <c r="J49" s="1417"/>
      <c r="K49" s="2617"/>
      <c r="L49" s="1143"/>
      <c r="M49" s="1144"/>
      <c r="N49" s="1144"/>
      <c r="O49" s="1144"/>
      <c r="P49" s="3316" t="str">
        <f>A49</f>
        <v>估价对象XX用房的比较价值（楼面单价，元/平方米）</v>
      </c>
      <c r="Q49" s="3317"/>
      <c r="R49" s="3358">
        <f>IF(F1="售价",ROUND(AVERAGE(R48:V48),0),ROUND(AVERAGE(R48:V48),1))</f>
        <v>186509</v>
      </c>
      <c r="S49" s="3358"/>
      <c r="T49" s="3358"/>
      <c r="U49" s="3358"/>
      <c r="V49" s="3358"/>
      <c r="W49" s="33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0.25717499999999993</v>
      </c>
      <c r="F52" s="500" t="str">
        <f>IF(OR(E52&gt;=0.3,E52&lt;=-0.3),"超过30%","")</f>
        <v/>
      </c>
      <c r="G52" s="499">
        <f>IF(G47&lt;G48,G48/G47-1,G47/G48-1)</f>
        <v>0.18859333333333339</v>
      </c>
      <c r="H52" s="500" t="str">
        <f>IF(OR(G52&gt;=0.3,G52&lt;=-0.3),"超过30%","")</f>
        <v/>
      </c>
      <c r="I52" s="499">
        <f>IF(I47&lt;I48,I48/I47-1,I47/I48-1)</f>
        <v>0.20059999999999989</v>
      </c>
      <c r="J52" s="500" t="str">
        <f>IF(OR(I52&gt;=0.3,I52&lt;=-0.3),"超过30%","")</f>
        <v/>
      </c>
      <c r="K52" s="1105"/>
      <c r="L52" s="1106"/>
      <c r="M52" s="1144"/>
      <c r="N52" s="1144"/>
      <c r="O52" s="1144"/>
    </row>
    <row r="53" spans="1:29" ht="13.5" customHeight="1">
      <c r="A53" s="1144"/>
      <c r="B53" s="1144"/>
      <c r="C53" s="497" t="s">
        <v>2576</v>
      </c>
      <c r="D53" s="501"/>
      <c r="E53" s="499">
        <f>IF(E48&lt;G48,G48/E48-1,E48/G48-1)</f>
        <v>0.12821318196860143</v>
      </c>
      <c r="F53" s="500" t="str">
        <f>IF(OR(E53&gt;=0.2,E53&lt;=-0.2),"超过20%","")</f>
        <v/>
      </c>
      <c r="G53" s="499">
        <f>IF(G48&lt;I48,I48/G48-1,G48/I48-1)</f>
        <v>1.0101576653635425E-2</v>
      </c>
      <c r="H53" s="500" t="str">
        <f>IF(OR(G53&gt;=0.2,G53&lt;=-0.2),"超过20%","")</f>
        <v/>
      </c>
      <c r="I53" s="499">
        <f>IF(I48&lt;E48,E48/I48-1,I48/E48-1)</f>
        <v>0.11693042367705031</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6.6666666666666652E-2</v>
      </c>
      <c r="F54" s="500" t="str">
        <f>IF(OR(E54&gt;=0.3,E54&lt;=-0.3),"超过30%","")</f>
        <v/>
      </c>
      <c r="G54" s="499">
        <f>IF(G47&lt;I47,I47/G47-1,G47/I47-1)</f>
        <v>0</v>
      </c>
      <c r="H54" s="500" t="str">
        <f>IF(OR(G54&gt;=0.3,G54&lt;=-0.3),"超过30%","")</f>
        <v/>
      </c>
      <c r="I54" s="499">
        <f>IF(I47&lt;E47,E47/I47-1,I47/E47-1)</f>
        <v>6.6666666666666652E-2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5" thickBot="1">
      <c r="A57" s="763" t="s">
        <v>2578</v>
      </c>
      <c r="B57" s="759"/>
      <c r="C57" s="764"/>
      <c r="D57" s="764"/>
      <c r="E57" s="764"/>
      <c r="F57" s="765"/>
      <c r="G57" s="765"/>
      <c r="H57" s="764"/>
      <c r="I57" s="764"/>
      <c r="J57" s="764"/>
      <c r="K57" s="1160"/>
      <c r="L57" s="1161"/>
      <c r="M57" s="1159"/>
      <c r="N57" s="1159"/>
      <c r="O57" s="1159"/>
      <c r="P57" s="2620"/>
      <c r="Q57" s="504"/>
    </row>
    <row r="58" spans="1:29" s="508" customFormat="1">
      <c r="A58" s="505" t="s">
        <v>2579</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c r="A59" s="509"/>
      <c r="B59" s="2621"/>
      <c r="C59" s="1573">
        <v>100</v>
      </c>
      <c r="D59" s="511"/>
      <c r="E59" s="512"/>
      <c r="F59" s="512"/>
      <c r="G59" s="512"/>
      <c r="H59" s="512"/>
      <c r="I59" s="512"/>
      <c r="J59" s="512"/>
      <c r="K59" s="512"/>
      <c r="L59" s="512"/>
      <c r="M59" s="513"/>
      <c r="N59" s="512"/>
      <c r="O59" s="513"/>
      <c r="P59" s="2622"/>
    </row>
    <row r="60" spans="1:29" s="117" customFormat="1" ht="14.5" thickBot="1">
      <c r="A60" s="515" t="s">
        <v>2580</v>
      </c>
      <c r="B60" s="516"/>
      <c r="C60" s="517"/>
      <c r="D60" s="518"/>
      <c r="E60" s="518"/>
      <c r="F60" s="518"/>
      <c r="G60" s="518"/>
      <c r="H60" s="518"/>
      <c r="I60" s="518"/>
      <c r="J60" s="518"/>
      <c r="K60" s="518"/>
      <c r="L60" s="518"/>
      <c r="M60" s="519"/>
      <c r="N60" s="518"/>
      <c r="O60" s="519"/>
      <c r="P60" s="2622"/>
      <c r="Q60" s="504"/>
    </row>
    <row r="61" spans="1:29" s="117" customFormat="1">
      <c r="A61" s="521" t="s">
        <v>2581</v>
      </c>
      <c r="B61" s="510"/>
      <c r="C61" s="522" t="s">
        <v>2582</v>
      </c>
      <c r="D61" s="523"/>
      <c r="E61" s="523"/>
      <c r="F61" s="523"/>
      <c r="G61" s="523"/>
      <c r="H61" s="523"/>
      <c r="I61" s="523"/>
      <c r="J61" s="523"/>
      <c r="K61" s="523"/>
      <c r="L61" s="524"/>
      <c r="M61" s="525"/>
      <c r="N61" s="1151"/>
      <c r="O61" s="1151"/>
      <c r="P61" s="2623"/>
      <c r="Q61" s="504"/>
    </row>
    <row r="62" spans="1:29" s="117" customFormat="1" ht="14.5" thickBot="1">
      <c r="A62" s="521"/>
      <c r="B62" s="510"/>
      <c r="C62" s="511">
        <v>100</v>
      </c>
      <c r="D62" s="512"/>
      <c r="E62" s="512"/>
      <c r="F62" s="512"/>
      <c r="G62" s="512"/>
      <c r="H62" s="512"/>
      <c r="I62" s="512"/>
      <c r="J62" s="512"/>
      <c r="K62" s="512"/>
      <c r="L62" s="512"/>
      <c r="M62" s="514"/>
      <c r="N62" s="1151"/>
      <c r="O62" s="1151"/>
      <c r="P62" s="2622"/>
      <c r="Q62" s="504"/>
    </row>
    <row r="63" spans="1:29">
      <c r="A63" s="527" t="s">
        <v>2583</v>
      </c>
      <c r="B63" s="528" t="s">
        <v>2549</v>
      </c>
      <c r="C63" s="529" t="str">
        <f>C9</f>
        <v>商业</v>
      </c>
      <c r="D63" s="530"/>
      <c r="E63" s="530"/>
      <c r="F63" s="530"/>
      <c r="G63" s="530"/>
      <c r="H63" s="530"/>
      <c r="I63" s="530"/>
      <c r="J63" s="530"/>
      <c r="K63" s="531"/>
      <c r="L63" s="532"/>
      <c r="M63" s="533"/>
      <c r="N63" s="1152"/>
      <c r="O63" s="1152"/>
      <c r="P63" s="2624"/>
      <c r="Q63" s="504"/>
    </row>
    <row r="64" spans="1:29" ht="14.5" thickBot="1">
      <c r="A64" s="534"/>
      <c r="B64" s="535"/>
      <c r="C64" s="536">
        <v>100</v>
      </c>
      <c r="D64" s="536"/>
      <c r="E64" s="536"/>
      <c r="F64" s="536"/>
      <c r="G64" s="536"/>
      <c r="H64" s="536"/>
      <c r="I64" s="536"/>
      <c r="J64" s="536"/>
      <c r="K64" s="536"/>
      <c r="L64" s="536"/>
      <c r="M64" s="537"/>
      <c r="N64" s="1153"/>
      <c r="O64" s="1153"/>
      <c r="P64" s="2624"/>
      <c r="Q64" s="504"/>
    </row>
    <row r="65" spans="1:17" ht="28.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4"/>
      <c r="Q65" s="504"/>
    </row>
    <row r="66" spans="1:17" ht="14.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4.5" thickTop="1">
      <c r="A67" s="534"/>
      <c r="B67" s="546" t="s">
        <v>2553</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c r="A68" s="534"/>
      <c r="B68" s="548"/>
      <c r="C68" s="549">
        <v>0</v>
      </c>
      <c r="D68" s="549">
        <v>1</v>
      </c>
      <c r="E68" s="549">
        <v>2</v>
      </c>
      <c r="F68" s="549"/>
      <c r="G68" s="549"/>
      <c r="H68" s="549"/>
      <c r="I68" s="549"/>
      <c r="J68" s="549"/>
      <c r="K68" s="550"/>
      <c r="L68" s="551"/>
      <c r="M68" s="552"/>
      <c r="N68" s="1152"/>
      <c r="O68" s="1152"/>
      <c r="P68" s="2624"/>
      <c r="Q68" s="504"/>
    </row>
    <row r="69" spans="1:17" ht="14.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4"/>
      <c r="Q69" s="504"/>
    </row>
    <row r="70" spans="1:17" s="471" customFormat="1" ht="14.5" thickTop="1">
      <c r="A70" s="553"/>
      <c r="B70" s="538">
        <f>B12</f>
        <v>111</v>
      </c>
      <c r="C70" s="554"/>
      <c r="D70" s="554"/>
      <c r="E70" s="554"/>
      <c r="F70" s="554"/>
      <c r="G70" s="554"/>
      <c r="H70" s="555"/>
      <c r="I70" s="555"/>
      <c r="J70" s="555"/>
      <c r="K70" s="555"/>
      <c r="L70" s="556"/>
      <c r="M70" s="557"/>
      <c r="N70" s="1154"/>
      <c r="O70" s="1154"/>
      <c r="P70" s="2625"/>
      <c r="Q70" s="559"/>
    </row>
    <row r="71" spans="1:17" s="471" customFormat="1" ht="14.5" thickBot="1">
      <c r="A71" s="553"/>
      <c r="B71" s="543"/>
      <c r="C71" s="560"/>
      <c r="D71" s="536"/>
      <c r="E71" s="536"/>
      <c r="F71" s="536"/>
      <c r="G71" s="536"/>
      <c r="H71" s="536"/>
      <c r="I71" s="536"/>
      <c r="J71" s="536"/>
      <c r="K71" s="536"/>
      <c r="L71" s="536"/>
      <c r="M71" s="537"/>
      <c r="N71" s="1153"/>
      <c r="O71" s="1153"/>
      <c r="P71" s="2625"/>
      <c r="Q71" s="559"/>
    </row>
    <row r="72" spans="1:17" s="471" customFormat="1" ht="14.5" thickTop="1">
      <c r="A72" s="553"/>
      <c r="B72" s="538">
        <f>B13</f>
        <v>111</v>
      </c>
      <c r="C72" s="554"/>
      <c r="D72" s="554"/>
      <c r="E72" s="554"/>
      <c r="F72" s="554"/>
      <c r="G72" s="554"/>
      <c r="H72" s="555"/>
      <c r="I72" s="555"/>
      <c r="J72" s="555"/>
      <c r="K72" s="555"/>
      <c r="L72" s="556"/>
      <c r="M72" s="557"/>
      <c r="N72" s="1154"/>
      <c r="O72" s="1154"/>
      <c r="P72" s="2626"/>
      <c r="Q72" s="561"/>
    </row>
    <row r="73" spans="1:17" s="471" customFormat="1" ht="14.5" thickBot="1">
      <c r="A73" s="553"/>
      <c r="B73" s="543"/>
      <c r="C73" s="560"/>
      <c r="D73" s="560"/>
      <c r="E73" s="560"/>
      <c r="F73" s="560"/>
      <c r="G73" s="560"/>
      <c r="H73" s="562"/>
      <c r="I73" s="562"/>
      <c r="J73" s="562"/>
      <c r="K73" s="562"/>
      <c r="L73" s="562"/>
      <c r="M73" s="563"/>
      <c r="N73" s="1154"/>
      <c r="O73" s="1154"/>
      <c r="P73" s="2625"/>
      <c r="Q73" s="559"/>
    </row>
    <row r="74" spans="1:17" s="471" customFormat="1" ht="14.5" thickTop="1">
      <c r="A74" s="553"/>
      <c r="B74" s="546">
        <f>B14</f>
        <v>111</v>
      </c>
      <c r="C74" s="554"/>
      <c r="D74" s="554"/>
      <c r="E74" s="554"/>
      <c r="F74" s="554"/>
      <c r="G74" s="523"/>
      <c r="H74" s="564"/>
      <c r="I74" s="564"/>
      <c r="J74" s="564"/>
      <c r="K74" s="564"/>
      <c r="L74" s="565"/>
      <c r="M74" s="566"/>
      <c r="N74" s="1154"/>
      <c r="O74" s="1154"/>
      <c r="P74" s="2627"/>
      <c r="Q74" s="559"/>
    </row>
    <row r="75" spans="1:17" s="471" customFormat="1" ht="14.5" thickBot="1">
      <c r="A75" s="568"/>
      <c r="B75" s="569"/>
      <c r="C75" s="570"/>
      <c r="D75" s="570"/>
      <c r="E75" s="570"/>
      <c r="F75" s="570"/>
      <c r="G75" s="570"/>
      <c r="H75" s="571"/>
      <c r="I75" s="571"/>
      <c r="J75" s="571"/>
      <c r="K75" s="571"/>
      <c r="L75" s="571"/>
      <c r="M75" s="572"/>
      <c r="N75" s="1154"/>
      <c r="O75" s="1154"/>
      <c r="P75" s="262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8"/>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4.5" thickTop="1">
      <c r="A78" s="534"/>
      <c r="B78" s="538" t="s">
        <v>2597</v>
      </c>
      <c r="C78" s="578" t="s">
        <v>2592</v>
      </c>
      <c r="D78" s="578" t="s">
        <v>2593</v>
      </c>
      <c r="E78" s="578" t="s">
        <v>2594</v>
      </c>
      <c r="F78" s="578" t="s">
        <v>2595</v>
      </c>
      <c r="G78" s="578" t="s">
        <v>2596</v>
      </c>
      <c r="H78" s="539"/>
      <c r="I78" s="539"/>
      <c r="J78" s="539"/>
      <c r="K78" s="540"/>
      <c r="L78" s="541"/>
      <c r="M78" s="542"/>
      <c r="N78" s="1152"/>
      <c r="O78" s="1152"/>
      <c r="P78" s="2624"/>
      <c r="Q78" s="504"/>
    </row>
    <row r="79" spans="1:17" ht="14.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4.5" thickTop="1">
      <c r="A80" s="534"/>
      <c r="B80" s="538" t="s">
        <v>2598</v>
      </c>
      <c r="C80" s="578" t="s">
        <v>2592</v>
      </c>
      <c r="D80" s="578" t="s">
        <v>2593</v>
      </c>
      <c r="E80" s="578" t="s">
        <v>2594</v>
      </c>
      <c r="F80" s="578" t="s">
        <v>2595</v>
      </c>
      <c r="G80" s="578" t="s">
        <v>2596</v>
      </c>
      <c r="H80" s="539"/>
      <c r="I80" s="539"/>
      <c r="J80" s="539"/>
      <c r="K80" s="540"/>
      <c r="L80" s="541"/>
      <c r="M80" s="542"/>
      <c r="N80" s="1152"/>
      <c r="O80" s="1152"/>
      <c r="P80" s="2624"/>
      <c r="Q80" s="504"/>
    </row>
    <row r="81" spans="1:17" ht="14.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4.5" thickTop="1">
      <c r="A82" s="534"/>
      <c r="B82" s="546" t="s">
        <v>2094</v>
      </c>
      <c r="C82" s="539" t="s">
        <v>2599</v>
      </c>
      <c r="D82" s="539" t="s">
        <v>2600</v>
      </c>
      <c r="E82" s="539" t="s">
        <v>2601</v>
      </c>
      <c r="F82" s="539" t="s">
        <v>2602</v>
      </c>
      <c r="G82" s="539" t="s">
        <v>2603</v>
      </c>
      <c r="H82" s="539"/>
      <c r="I82" s="539"/>
      <c r="J82" s="539"/>
      <c r="K82" s="539"/>
      <c r="L82" s="539"/>
      <c r="M82" s="1382"/>
      <c r="N82" s="1153"/>
      <c r="O82" s="1153"/>
      <c r="P82" s="2624"/>
      <c r="Q82" s="504"/>
    </row>
    <row r="83" spans="1:17" ht="14.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4"/>
      <c r="Q83" s="504"/>
    </row>
    <row r="84" spans="1:17" ht="14.5" thickTop="1">
      <c r="A84" s="534"/>
      <c r="B84" s="538" t="s">
        <v>2604</v>
      </c>
      <c r="C84" s="578" t="s">
        <v>2592</v>
      </c>
      <c r="D84" s="578" t="s">
        <v>2593</v>
      </c>
      <c r="E84" s="578" t="s">
        <v>2594</v>
      </c>
      <c r="F84" s="578" t="s">
        <v>2595</v>
      </c>
      <c r="G84" s="578" t="s">
        <v>2596</v>
      </c>
      <c r="H84" s="539"/>
      <c r="I84" s="539"/>
      <c r="J84" s="539"/>
      <c r="K84" s="540"/>
      <c r="L84" s="541"/>
      <c r="M84" s="542"/>
      <c r="N84" s="1152"/>
      <c r="O84" s="1152"/>
      <c r="P84" s="2624"/>
      <c r="Q84" s="504"/>
    </row>
    <row r="85" spans="1:17" ht="14.5" thickBot="1">
      <c r="A85" s="534"/>
      <c r="B85" s="543"/>
      <c r="C85" s="544">
        <v>100</v>
      </c>
      <c r="D85" s="544">
        <f>C85-$K23</f>
        <v>95</v>
      </c>
      <c r="E85" s="544">
        <f>D85-$K23</f>
        <v>90</v>
      </c>
      <c r="F85" s="544">
        <f>E85-$K23</f>
        <v>85</v>
      </c>
      <c r="G85" s="544">
        <f>F85-$K23</f>
        <v>80</v>
      </c>
      <c r="H85" s="544"/>
      <c r="I85" s="544"/>
      <c r="J85" s="544"/>
      <c r="K85" s="544"/>
      <c r="L85" s="544"/>
      <c r="M85" s="545"/>
      <c r="N85" s="1153"/>
      <c r="O85" s="1153"/>
      <c r="P85" s="2624"/>
      <c r="Q85" s="504"/>
    </row>
    <row r="86" spans="1:17" s="117" customFormat="1" ht="15" thickTop="1">
      <c r="A86" s="579"/>
      <c r="B86" s="538" t="s">
        <v>2605</v>
      </c>
      <c r="C86" s="554"/>
      <c r="D86" s="554"/>
      <c r="E86" s="554"/>
      <c r="F86" s="554"/>
      <c r="G86" s="554"/>
      <c r="H86" s="554"/>
      <c r="I86" s="554"/>
      <c r="J86" s="554"/>
      <c r="K86" s="554"/>
      <c r="L86" s="580"/>
      <c r="M86" s="581"/>
      <c r="N86" s="1151"/>
      <c r="O86" s="1151"/>
      <c r="P86" s="2624"/>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4.5" thickTop="1">
      <c r="A88" s="579"/>
      <c r="B88" s="538" t="s">
        <v>2606</v>
      </c>
      <c r="C88" s="554"/>
      <c r="D88" s="554"/>
      <c r="E88" s="554"/>
      <c r="F88" s="2629"/>
      <c r="G88" s="554"/>
      <c r="H88" s="554"/>
      <c r="I88" s="554"/>
      <c r="J88" s="554"/>
      <c r="K88" s="554"/>
      <c r="L88" s="554"/>
      <c r="M88" s="581"/>
      <c r="N88" s="1151"/>
      <c r="O88" s="1151"/>
      <c r="P88" s="2624"/>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4.5" thickTop="1">
      <c r="A90" s="553"/>
      <c r="B90" s="538">
        <f>B27</f>
        <v>111</v>
      </c>
      <c r="C90" s="554"/>
      <c r="D90" s="554"/>
      <c r="E90" s="554"/>
      <c r="F90" s="554"/>
      <c r="G90" s="554"/>
      <c r="H90" s="555"/>
      <c r="I90" s="555"/>
      <c r="J90" s="555"/>
      <c r="K90" s="555"/>
      <c r="L90" s="556"/>
      <c r="M90" s="557"/>
      <c r="N90" s="1154"/>
      <c r="O90" s="1154"/>
      <c r="P90" s="2625"/>
      <c r="Q90" s="559"/>
    </row>
    <row r="91" spans="1:17" s="471" customFormat="1" ht="14.5" thickBot="1">
      <c r="A91" s="553"/>
      <c r="B91" s="543"/>
      <c r="C91" s="560"/>
      <c r="D91" s="560"/>
      <c r="E91" s="560"/>
      <c r="F91" s="560"/>
      <c r="G91" s="560"/>
      <c r="H91" s="562"/>
      <c r="I91" s="562"/>
      <c r="J91" s="562"/>
      <c r="K91" s="562"/>
      <c r="L91" s="562"/>
      <c r="M91" s="563"/>
      <c r="N91" s="1154"/>
      <c r="O91" s="1154"/>
      <c r="P91" s="2625"/>
      <c r="Q91" s="559"/>
    </row>
    <row r="92" spans="1:17" ht="14.5" thickTop="1">
      <c r="A92" s="534"/>
      <c r="B92" s="538">
        <f>B28</f>
        <v>111</v>
      </c>
      <c r="C92" s="554"/>
      <c r="D92" s="554"/>
      <c r="E92" s="554"/>
      <c r="F92" s="554"/>
      <c r="G92" s="583"/>
      <c r="H92" s="583"/>
      <c r="I92" s="583"/>
      <c r="J92" s="583"/>
      <c r="K92" s="584"/>
      <c r="L92" s="585"/>
      <c r="M92" s="586"/>
      <c r="N92" s="1152"/>
      <c r="O92" s="1152"/>
      <c r="P92" s="2624"/>
      <c r="Q92" s="504"/>
    </row>
    <row r="93" spans="1:17" ht="14.5" thickBot="1">
      <c r="A93" s="534"/>
      <c r="B93" s="543"/>
      <c r="C93" s="560"/>
      <c r="D93" s="536"/>
      <c r="E93" s="536"/>
      <c r="F93" s="536"/>
      <c r="G93" s="536"/>
      <c r="H93" s="536"/>
      <c r="I93" s="536"/>
      <c r="J93" s="536"/>
      <c r="K93" s="536"/>
      <c r="L93" s="536"/>
      <c r="M93" s="537"/>
      <c r="N93" s="1153"/>
      <c r="O93" s="1153"/>
      <c r="P93" s="2624"/>
      <c r="Q93" s="504"/>
    </row>
    <row r="94" spans="1:17" ht="14.5" thickTop="1">
      <c r="A94" s="534"/>
      <c r="B94" s="538">
        <f>B29</f>
        <v>111</v>
      </c>
      <c r="C94" s="554"/>
      <c r="D94" s="554"/>
      <c r="E94" s="554"/>
      <c r="F94" s="554"/>
      <c r="G94" s="583"/>
      <c r="H94" s="583"/>
      <c r="I94" s="583"/>
      <c r="J94" s="583"/>
      <c r="K94" s="584"/>
      <c r="L94" s="585"/>
      <c r="M94" s="586"/>
      <c r="N94" s="1152"/>
      <c r="O94" s="1152"/>
      <c r="P94" s="2624"/>
      <c r="Q94" s="504"/>
    </row>
    <row r="95" spans="1:17" ht="14.5" thickBot="1">
      <c r="A95" s="534"/>
      <c r="B95" s="543"/>
      <c r="C95" s="560"/>
      <c r="D95" s="560"/>
      <c r="E95" s="560"/>
      <c r="F95" s="560"/>
      <c r="G95" s="536"/>
      <c r="H95" s="536"/>
      <c r="I95" s="536"/>
      <c r="J95" s="536"/>
      <c r="K95" s="536"/>
      <c r="L95" s="536"/>
      <c r="M95" s="537"/>
      <c r="N95" s="1153"/>
      <c r="O95" s="1153"/>
      <c r="P95" s="2624"/>
      <c r="Q95" s="504"/>
    </row>
    <row r="96" spans="1:17" ht="14.5" thickTop="1">
      <c r="A96" s="534"/>
      <c r="B96" s="538">
        <f>B30</f>
        <v>111</v>
      </c>
      <c r="C96" s="554"/>
      <c r="D96" s="554"/>
      <c r="E96" s="554"/>
      <c r="F96" s="554"/>
      <c r="G96" s="583"/>
      <c r="H96" s="583"/>
      <c r="I96" s="583"/>
      <c r="J96" s="583"/>
      <c r="K96" s="584"/>
      <c r="L96" s="585"/>
      <c r="M96" s="586"/>
      <c r="N96" s="1152"/>
      <c r="O96" s="1152"/>
      <c r="P96" s="2624"/>
      <c r="Q96" s="504"/>
    </row>
    <row r="97" spans="1:17" ht="14.5" thickBot="1">
      <c r="A97" s="534"/>
      <c r="B97" s="543"/>
      <c r="C97" s="570"/>
      <c r="D97" s="570"/>
      <c r="E97" s="570"/>
      <c r="F97" s="570"/>
      <c r="G97" s="536"/>
      <c r="H97" s="536"/>
      <c r="I97" s="536"/>
      <c r="J97" s="536"/>
      <c r="K97" s="536"/>
      <c r="L97" s="536"/>
      <c r="M97" s="537"/>
      <c r="N97" s="1153"/>
      <c r="O97" s="1153"/>
      <c r="P97" s="2624"/>
      <c r="Q97" s="504"/>
    </row>
    <row r="98" spans="1:17" ht="14.5" thickTop="1">
      <c r="A98" s="534"/>
      <c r="B98" s="546">
        <f>B31</f>
        <v>111</v>
      </c>
      <c r="C98" s="587"/>
      <c r="D98" s="587"/>
      <c r="E98" s="587"/>
      <c r="F98" s="587"/>
      <c r="G98" s="587"/>
      <c r="H98" s="587"/>
      <c r="I98" s="587"/>
      <c r="J98" s="587"/>
      <c r="K98" s="588"/>
      <c r="L98" s="589"/>
      <c r="M98" s="590"/>
      <c r="N98" s="1152"/>
      <c r="O98" s="1152"/>
      <c r="P98" s="2624"/>
      <c r="Q98" s="504"/>
    </row>
    <row r="99" spans="1:17" ht="14.5" thickBot="1">
      <c r="A99" s="2630"/>
      <c r="B99" s="569"/>
      <c r="C99" s="591"/>
      <c r="D99" s="591"/>
      <c r="E99" s="591"/>
      <c r="F99" s="591"/>
      <c r="G99" s="591"/>
      <c r="H99" s="591"/>
      <c r="I99" s="591"/>
      <c r="J99" s="591"/>
      <c r="K99" s="591"/>
      <c r="L99" s="591"/>
      <c r="M99" s="592"/>
      <c r="N99" s="1153"/>
      <c r="O99" s="1153"/>
      <c r="P99" s="2624"/>
      <c r="Q99" s="504"/>
    </row>
    <row r="100" spans="1:17">
      <c r="A100" s="527" t="s">
        <v>2558</v>
      </c>
      <c r="B100" s="528" t="s">
        <v>2607</v>
      </c>
      <c r="C100" s="3006" t="s">
        <v>3345</v>
      </c>
      <c r="D100" s="530"/>
      <c r="E100" s="530"/>
      <c r="F100" s="530"/>
      <c r="G100" s="530"/>
      <c r="H100" s="530"/>
      <c r="I100" s="530"/>
      <c r="J100" s="530"/>
      <c r="K100" s="531"/>
      <c r="L100" s="532"/>
      <c r="M100" s="533"/>
      <c r="N100" s="1152"/>
      <c r="O100" s="1152"/>
      <c r="P100" s="2624"/>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28.5" thickTop="1">
      <c r="A102" s="534"/>
      <c r="B102" s="538" t="s">
        <v>2608</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4"/>
      <c r="O103" s="1154"/>
      <c r="P103" s="2625"/>
      <c r="Q103" s="559"/>
    </row>
    <row r="104" spans="1:17" s="471" customFormat="1" ht="14.5" thickBot="1">
      <c r="A104" s="553"/>
      <c r="B104" s="543"/>
      <c r="C104" s="560">
        <v>100</v>
      </c>
      <c r="D104" s="536">
        <v>101</v>
      </c>
      <c r="E104" s="536">
        <v>102</v>
      </c>
      <c r="F104" s="536">
        <v>103</v>
      </c>
      <c r="G104" s="536">
        <v>104</v>
      </c>
      <c r="H104" s="536"/>
      <c r="I104" s="536"/>
      <c r="J104" s="536"/>
      <c r="K104" s="536"/>
      <c r="L104" s="536"/>
      <c r="M104" s="536"/>
      <c r="N104" s="1153"/>
      <c r="O104" s="1153"/>
      <c r="P104" s="2625"/>
      <c r="Q104" s="559"/>
    </row>
    <row r="105" spans="1:17" ht="14.5" thickTop="1">
      <c r="A105" s="599"/>
      <c r="B105" s="538" t="s">
        <v>2609</v>
      </c>
      <c r="C105" s="3008" t="s">
        <v>3346</v>
      </c>
      <c r="D105" s="554"/>
      <c r="E105" s="583"/>
      <c r="F105" s="583"/>
      <c r="G105" s="583"/>
      <c r="H105" s="583"/>
      <c r="I105" s="583"/>
      <c r="J105" s="583"/>
      <c r="K105" s="584"/>
      <c r="L105" s="585"/>
      <c r="M105" s="586"/>
      <c r="N105" s="1152"/>
      <c r="O105" s="1152"/>
      <c r="P105" s="2624"/>
      <c r="Q105" s="504"/>
    </row>
    <row r="106" spans="1:17" ht="14.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4"/>
      <c r="Q106" s="504"/>
    </row>
    <row r="107" spans="1:17" ht="14.5" thickTop="1">
      <c r="A107" s="599"/>
      <c r="B107" s="538" t="s">
        <v>2610</v>
      </c>
      <c r="C107" s="3011" t="s">
        <v>3348</v>
      </c>
      <c r="D107" s="583"/>
      <c r="E107" s="583"/>
      <c r="F107" s="583"/>
      <c r="G107" s="583"/>
      <c r="H107" s="583"/>
      <c r="I107" s="583"/>
      <c r="J107" s="583"/>
      <c r="K107" s="584"/>
      <c r="L107" s="585"/>
      <c r="M107" s="586"/>
      <c r="N107" s="1152"/>
      <c r="O107" s="1152"/>
      <c r="P107" s="2624"/>
      <c r="Q107" s="504"/>
    </row>
    <row r="108" spans="1:17" ht="14.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4"/>
      <c r="Q108" s="504"/>
    </row>
    <row r="109" spans="1:17" ht="14.5" thickTop="1">
      <c r="A109" s="599"/>
      <c r="B109" s="538" t="s">
        <v>2611</v>
      </c>
      <c r="C109" s="3008" t="s">
        <v>3349</v>
      </c>
      <c r="D109" s="554"/>
      <c r="E109" s="554"/>
      <c r="F109" s="583"/>
      <c r="G109" s="583"/>
      <c r="H109" s="583"/>
      <c r="I109" s="583"/>
      <c r="J109" s="583"/>
      <c r="K109" s="584"/>
      <c r="L109" s="585"/>
      <c r="M109" s="586"/>
      <c r="N109" s="1152"/>
      <c r="O109" s="1152"/>
      <c r="P109" s="2624"/>
      <c r="Q109" s="504"/>
    </row>
    <row r="110" spans="1:17" ht="14.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4"/>
      <c r="Q110" s="504"/>
    </row>
    <row r="111" spans="1:17" s="471" customFormat="1" ht="14.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4.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4.5" thickTop="1">
      <c r="A114" s="599"/>
      <c r="B114" s="538" t="s">
        <v>2612</v>
      </c>
      <c r="C114" s="3008" t="s">
        <v>3351</v>
      </c>
      <c r="D114" s="554"/>
      <c r="E114" s="583"/>
      <c r="F114" s="583"/>
      <c r="G114" s="583"/>
      <c r="H114" s="583"/>
      <c r="I114" s="583"/>
      <c r="J114" s="583"/>
      <c r="K114" s="584"/>
      <c r="L114" s="585"/>
      <c r="M114" s="586"/>
      <c r="N114" s="1152"/>
      <c r="O114" s="1152"/>
      <c r="P114" s="2624"/>
      <c r="Q114" s="504"/>
    </row>
    <row r="115" spans="1:17" ht="14.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4"/>
      <c r="Q115" s="504"/>
    </row>
    <row r="116" spans="1:17" ht="14.5" thickTop="1">
      <c r="A116" s="599"/>
      <c r="B116" s="538" t="s">
        <v>2613</v>
      </c>
      <c r="C116" s="3008" t="s">
        <v>3352</v>
      </c>
      <c r="D116" s="554"/>
      <c r="E116" s="554"/>
      <c r="F116" s="554"/>
      <c r="G116" s="554"/>
      <c r="H116" s="583"/>
      <c r="I116" s="583"/>
      <c r="J116" s="583"/>
      <c r="K116" s="584"/>
      <c r="L116" s="585"/>
      <c r="M116" s="586"/>
      <c r="N116" s="1152"/>
      <c r="O116" s="1152"/>
      <c r="P116" s="2624"/>
      <c r="Q116" s="504"/>
    </row>
    <row r="117" spans="1:17" ht="14.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4.5" thickTop="1">
      <c r="A118" s="599"/>
      <c r="B118" s="538" t="s">
        <v>2614</v>
      </c>
      <c r="C118" s="583"/>
      <c r="D118" s="583"/>
      <c r="E118" s="583"/>
      <c r="F118" s="583"/>
      <c r="G118" s="583"/>
      <c r="H118" s="583"/>
      <c r="I118" s="583"/>
      <c r="J118" s="583"/>
      <c r="K118" s="584"/>
      <c r="L118" s="585"/>
      <c r="M118" s="586"/>
      <c r="N118" s="1152"/>
      <c r="O118" s="1152"/>
      <c r="P118" s="2624"/>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9" thickTop="1">
      <c r="A120" s="593"/>
      <c r="B120" s="538" t="s">
        <v>2569</v>
      </c>
      <c r="C120" s="554" t="str">
        <f>C41</f>
        <v>84-122</v>
      </c>
      <c r="D120" s="554">
        <f>E41</f>
        <v>398</v>
      </c>
      <c r="E120" s="554">
        <f>G41</f>
        <v>313</v>
      </c>
      <c r="F120" s="554" t="str">
        <f>I41</f>
        <v>200-350</v>
      </c>
      <c r="G120" s="554"/>
      <c r="H120" s="554"/>
      <c r="I120" s="554"/>
      <c r="J120" s="554"/>
      <c r="K120" s="554"/>
      <c r="L120" s="580"/>
      <c r="M120" s="581"/>
      <c r="N120" s="1154"/>
      <c r="O120" s="1154"/>
      <c r="P120" s="2625"/>
      <c r="Q120" s="559"/>
    </row>
    <row r="121" spans="1:17" s="471" customFormat="1" ht="14.5" thickBot="1">
      <c r="A121" s="553"/>
      <c r="B121" s="535"/>
      <c r="C121" s="560">
        <v>100</v>
      </c>
      <c r="D121" s="536">
        <v>98</v>
      </c>
      <c r="E121" s="536">
        <v>98</v>
      </c>
      <c r="F121" s="536">
        <v>98</v>
      </c>
      <c r="G121" s="536"/>
      <c r="H121" s="536"/>
      <c r="I121" s="536"/>
      <c r="J121" s="536"/>
      <c r="K121" s="536"/>
      <c r="L121" s="536"/>
      <c r="M121" s="536"/>
      <c r="N121" s="1154"/>
      <c r="O121" s="1154"/>
      <c r="P121" s="2625"/>
      <c r="Q121" s="559"/>
    </row>
    <row r="122" spans="1:17" ht="14.5" thickTop="1">
      <c r="A122" s="599"/>
      <c r="B122" s="538" t="s">
        <v>2615</v>
      </c>
      <c r="C122" s="3008" t="s">
        <v>3330</v>
      </c>
      <c r="D122" s="3008" t="s">
        <v>3331</v>
      </c>
      <c r="E122" s="3008" t="s">
        <v>3332</v>
      </c>
      <c r="F122" s="3011" t="s">
        <v>3334</v>
      </c>
      <c r="G122" s="583"/>
      <c r="H122" s="583"/>
      <c r="I122" s="583"/>
      <c r="J122" s="583"/>
      <c r="K122" s="584"/>
      <c r="L122" s="585"/>
      <c r="M122" s="586"/>
      <c r="N122" s="1152"/>
      <c r="O122" s="1152"/>
      <c r="P122" s="2624"/>
      <c r="Q122" s="504"/>
    </row>
    <row r="123" spans="1:17" ht="14.5" thickBot="1">
      <c r="A123" s="534"/>
      <c r="B123" s="543"/>
      <c r="C123" s="544">
        <v>100</v>
      </c>
      <c r="D123" s="544">
        <f t="shared" ref="D123:M123" si="33">C123-$K42</f>
        <v>98.5</v>
      </c>
      <c r="E123" s="544">
        <f t="shared" si="33"/>
        <v>97</v>
      </c>
      <c r="F123" s="544">
        <f t="shared" si="33"/>
        <v>95.5</v>
      </c>
      <c r="G123" s="544">
        <f t="shared" si="33"/>
        <v>94</v>
      </c>
      <c r="H123" s="544">
        <f t="shared" si="33"/>
        <v>92.5</v>
      </c>
      <c r="I123" s="544">
        <f t="shared" si="33"/>
        <v>91</v>
      </c>
      <c r="J123" s="544">
        <f t="shared" si="33"/>
        <v>89.5</v>
      </c>
      <c r="K123" s="544">
        <f t="shared" si="33"/>
        <v>88</v>
      </c>
      <c r="L123" s="544">
        <f t="shared" si="33"/>
        <v>86.5</v>
      </c>
      <c r="M123" s="544">
        <f t="shared" si="33"/>
        <v>85</v>
      </c>
      <c r="N123" s="1153"/>
      <c r="O123" s="1153"/>
      <c r="P123" s="2624"/>
      <c r="Q123" s="504"/>
    </row>
    <row r="124" spans="1:17" ht="28.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5"/>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28.5" customHeight="1" thickTop="1">
      <c r="A126" s="593"/>
      <c r="B126" s="538" t="str">
        <f>B44</f>
        <v>赠送面积</v>
      </c>
      <c r="C126" s="3016" t="str">
        <f>C44</f>
        <v>256-310（250%-300%）</v>
      </c>
      <c r="D126" s="3016" t="str">
        <f>E44</f>
        <v>324（81%）</v>
      </c>
      <c r="E126" s="3016" t="str">
        <f>G44</f>
        <v>295（94%）</v>
      </c>
      <c r="F126" s="3016" t="str">
        <f>I44</f>
        <v>200-350（100%）</v>
      </c>
      <c r="G126" s="554"/>
      <c r="H126" s="555"/>
      <c r="I126" s="555"/>
      <c r="J126" s="555"/>
      <c r="K126" s="555"/>
      <c r="L126" s="556"/>
      <c r="M126" s="557"/>
      <c r="N126" s="1154"/>
      <c r="O126" s="1154"/>
      <c r="P126" s="2625"/>
      <c r="Q126" s="559"/>
    </row>
    <row r="127" spans="1:17" s="471" customFormat="1" ht="14.5" thickBot="1">
      <c r="A127" s="553"/>
      <c r="B127" s="543"/>
      <c r="C127" s="560">
        <v>100</v>
      </c>
      <c r="D127" s="536">
        <v>85</v>
      </c>
      <c r="E127" s="536">
        <v>85</v>
      </c>
      <c r="F127" s="536">
        <v>85</v>
      </c>
      <c r="G127" s="560"/>
      <c r="H127" s="562"/>
      <c r="I127" s="562"/>
      <c r="J127" s="562"/>
      <c r="K127" s="562"/>
      <c r="L127" s="562"/>
      <c r="M127" s="563"/>
      <c r="N127" s="1154"/>
      <c r="O127" s="1154"/>
      <c r="P127" s="2625"/>
      <c r="Q127" s="559"/>
    </row>
    <row r="128" spans="1:17" ht="14.5" thickTop="1">
      <c r="A128" s="599"/>
      <c r="B128" s="538">
        <f>B45</f>
        <v>111</v>
      </c>
      <c r="C128" s="554"/>
      <c r="D128" s="554"/>
      <c r="E128" s="554"/>
      <c r="F128" s="554"/>
      <c r="G128" s="583"/>
      <c r="H128" s="583"/>
      <c r="I128" s="583"/>
      <c r="J128" s="583"/>
      <c r="K128" s="584"/>
      <c r="L128" s="585"/>
      <c r="M128" s="586"/>
      <c r="N128" s="1152"/>
      <c r="O128" s="1152"/>
      <c r="P128" s="2624"/>
      <c r="Q128" s="504"/>
    </row>
    <row r="129" spans="1:17" ht="14.5" thickBot="1">
      <c r="A129" s="534"/>
      <c r="B129" s="543"/>
      <c r="C129" s="560"/>
      <c r="D129" s="560"/>
      <c r="E129" s="560"/>
      <c r="F129" s="560"/>
      <c r="G129" s="536"/>
      <c r="H129" s="536"/>
      <c r="I129" s="536"/>
      <c r="J129" s="536"/>
      <c r="K129" s="536"/>
      <c r="L129" s="536"/>
      <c r="M129" s="537"/>
      <c r="N129" s="1153"/>
      <c r="O129" s="1153"/>
      <c r="P129" s="2624"/>
      <c r="Q129" s="504"/>
    </row>
    <row r="130" spans="1:17" ht="14.5" thickTop="1">
      <c r="A130" s="599"/>
      <c r="B130" s="546">
        <f>B46</f>
        <v>111</v>
      </c>
      <c r="C130" s="554"/>
      <c r="D130" s="554"/>
      <c r="E130" s="554"/>
      <c r="F130" s="554"/>
      <c r="G130" s="587"/>
      <c r="H130" s="587"/>
      <c r="I130" s="587"/>
      <c r="J130" s="587"/>
      <c r="K130" s="523"/>
      <c r="L130" s="524"/>
      <c r="M130" s="590"/>
      <c r="N130" s="1152"/>
      <c r="O130" s="1152"/>
      <c r="P130" s="2624"/>
      <c r="Q130" s="504"/>
    </row>
    <row r="131" spans="1:17" ht="14.5" thickBot="1">
      <c r="A131" s="2630"/>
      <c r="B131" s="569"/>
      <c r="C131" s="570"/>
      <c r="D131" s="570"/>
      <c r="E131" s="570"/>
      <c r="F131" s="570"/>
      <c r="G131" s="591"/>
      <c r="H131" s="591"/>
      <c r="I131" s="591"/>
      <c r="J131" s="591"/>
      <c r="K131" s="591"/>
      <c r="L131" s="591"/>
      <c r="M131" s="592"/>
      <c r="N131" s="1153"/>
      <c r="O131" s="1153"/>
      <c r="P131" s="2624"/>
      <c r="Q131" s="504"/>
    </row>
    <row r="136" spans="1:17" ht="14.5" thickBot="1">
      <c r="B136" s="2631" t="s">
        <v>2617</v>
      </c>
    </row>
    <row r="137" spans="1:17" ht="15.5">
      <c r="B137" s="2632" t="s">
        <v>2618</v>
      </c>
      <c r="C137" s="2633"/>
      <c r="D137" s="2633"/>
      <c r="E137" s="2633"/>
      <c r="F137" s="2633"/>
      <c r="G137" s="2634"/>
      <c r="H137" s="2635"/>
      <c r="I137" s="2636" t="s">
        <v>2619</v>
      </c>
      <c r="J137" s="2633"/>
      <c r="K137" s="2637"/>
    </row>
    <row r="138" spans="1:17" ht="15.5">
      <c r="B138" s="2638"/>
      <c r="C138" s="146" t="s">
        <v>2620</v>
      </c>
      <c r="D138" s="146" t="s">
        <v>2621</v>
      </c>
      <c r="E138" s="2639" t="s">
        <v>2622</v>
      </c>
      <c r="F138" s="2640" t="s">
        <v>2623</v>
      </c>
      <c r="G138" s="146" t="s">
        <v>2621</v>
      </c>
      <c r="H138" s="147" t="s">
        <v>2622</v>
      </c>
      <c r="I138" s="2641"/>
      <c r="J138" s="146" t="s">
        <v>2624</v>
      </c>
      <c r="K138" s="147" t="s">
        <v>2625</v>
      </c>
    </row>
    <row r="139" spans="1:17" ht="15.5">
      <c r="B139" s="1084">
        <v>6</v>
      </c>
      <c r="C139" s="1085">
        <v>96</v>
      </c>
      <c r="D139" s="2642" t="s">
        <v>2626</v>
      </c>
      <c r="E139" s="1086">
        <v>100</v>
      </c>
      <c r="F139" s="1087">
        <v>102.5</v>
      </c>
      <c r="G139" s="2642" t="s">
        <v>2626</v>
      </c>
      <c r="H139" s="1088">
        <v>105</v>
      </c>
      <c r="I139" s="2643" t="s">
        <v>2627</v>
      </c>
      <c r="J139" s="1085">
        <v>20</v>
      </c>
      <c r="K139" s="1089">
        <f>C145/(J139-2)</f>
        <v>4.0555555555555553E-3</v>
      </c>
    </row>
    <row r="140" spans="1:17" ht="15.5">
      <c r="B140" s="1090">
        <v>5</v>
      </c>
      <c r="C140" s="1091">
        <v>100</v>
      </c>
      <c r="D140" s="1091"/>
      <c r="E140" s="1092"/>
      <c r="F140" s="1093">
        <v>102</v>
      </c>
      <c r="G140" s="1091"/>
      <c r="H140" s="1094"/>
      <c r="I140" s="2644" t="s">
        <v>2628</v>
      </c>
      <c r="J140" s="315">
        <f>ROUNDUP((J139-1)/2,0)</f>
        <v>10</v>
      </c>
      <c r="K140" s="1095">
        <v>100</v>
      </c>
    </row>
    <row r="141" spans="1:17" ht="15.5">
      <c r="B141" s="1090">
        <v>4</v>
      </c>
      <c r="C141" s="1091">
        <v>102</v>
      </c>
      <c r="D141" s="1091"/>
      <c r="E141" s="1092"/>
      <c r="F141" s="1093">
        <v>101.5</v>
      </c>
      <c r="G141" s="1091"/>
      <c r="H141" s="1094"/>
      <c r="I141" s="2644" t="s">
        <v>2629</v>
      </c>
      <c r="J141" s="315">
        <v>1</v>
      </c>
      <c r="K141" s="1096">
        <f>ROUND(100+(J141-J140)*K139*100,1)</f>
        <v>96.4</v>
      </c>
    </row>
    <row r="142" spans="1:17" ht="15.5">
      <c r="B142" s="1090">
        <v>3</v>
      </c>
      <c r="C142" s="1091">
        <v>103</v>
      </c>
      <c r="D142" s="1091"/>
      <c r="E142" s="1092"/>
      <c r="F142" s="1093">
        <v>101</v>
      </c>
      <c r="G142" s="1091"/>
      <c r="H142" s="1094"/>
      <c r="I142" s="2644" t="s">
        <v>2630</v>
      </c>
      <c r="J142" s="315">
        <f>J139</f>
        <v>20</v>
      </c>
      <c r="K142" s="1097">
        <v>95</v>
      </c>
    </row>
    <row r="143" spans="1:17" ht="15.5">
      <c r="B143" s="1090">
        <v>2</v>
      </c>
      <c r="C143" s="1091">
        <v>100</v>
      </c>
      <c r="D143" s="1091"/>
      <c r="E143" s="1092"/>
      <c r="F143" s="1093">
        <v>100.5</v>
      </c>
      <c r="G143" s="1091"/>
      <c r="H143" s="1094"/>
      <c r="I143" s="2644" t="s">
        <v>2631</v>
      </c>
      <c r="J143" s="1091">
        <v>15</v>
      </c>
      <c r="K143" s="1096">
        <f>ROUND(100+(J143-J140)*K139*100,1)</f>
        <v>102</v>
      </c>
    </row>
    <row r="144" spans="1:17" ht="15.5">
      <c r="B144" s="1090">
        <v>1</v>
      </c>
      <c r="C144" s="1091">
        <v>98</v>
      </c>
      <c r="D144" s="2645" t="s">
        <v>2632</v>
      </c>
      <c r="E144" s="1092">
        <v>102</v>
      </c>
      <c r="F144" s="1098">
        <v>100</v>
      </c>
      <c r="G144" s="2645" t="s">
        <v>2632</v>
      </c>
      <c r="H144" s="1094">
        <v>105</v>
      </c>
      <c r="I144" s="2644" t="s">
        <v>2631</v>
      </c>
      <c r="J144" s="1091">
        <v>18</v>
      </c>
      <c r="K144" s="1096">
        <f>ROUND(100+(J144-J140)*K139*100,1)</f>
        <v>103.2</v>
      </c>
    </row>
    <row r="145" spans="2:11" ht="16" thickBot="1">
      <c r="B145" s="2646" t="s">
        <v>2633</v>
      </c>
      <c r="C145" s="1099">
        <f>ROUND(MAX(C139:C144)/MIN(C139:C144)-1,3)</f>
        <v>7.2999999999999995E-2</v>
      </c>
      <c r="D145" s="1100"/>
      <c r="E145" s="1100"/>
      <c r="F145" s="2647" t="s">
        <v>2634</v>
      </c>
      <c r="G145" s="2648"/>
      <c r="H145" s="2649"/>
      <c r="I145" s="2650" t="s">
        <v>2631</v>
      </c>
      <c r="J145" s="1101">
        <v>8</v>
      </c>
      <c r="K145" s="1102">
        <f>ROUND(100+(J145-J140)*K139*100,1)</f>
        <v>99.2</v>
      </c>
    </row>
    <row r="147" spans="2:11">
      <c r="B147" s="2631" t="s">
        <v>2635</v>
      </c>
    </row>
    <row r="148" spans="2:11">
      <c r="B148" s="263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zoomScale="85" zoomScaleNormal="85" zoomScaleSheetLayoutView="90" workbookViewId="0">
      <selection activeCell="F43" sqref="F4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5.08984375" style="1933" customWidth="1"/>
    <col min="12" max="12" width="16.36328125" style="302" customWidth="1"/>
    <col min="13" max="13" width="13" style="302" customWidth="1"/>
    <col min="14" max="14" width="13.7265625" style="1841" customWidth="1"/>
    <col min="15" max="15" width="5.08984375" style="1841" customWidth="1"/>
    <col min="16" max="16" width="25.7265625" style="1841" customWidth="1"/>
    <col min="17" max="17" width="13.7265625" style="1841" customWidth="1"/>
    <col min="18" max="18" width="20.453125" style="1841" customWidth="1"/>
    <col min="19" max="19" width="13.26953125" style="1841" customWidth="1"/>
    <col min="20" max="37" width="9" style="1841"/>
    <col min="38" max="16384" width="9" style="302"/>
  </cols>
  <sheetData>
    <row r="1" spans="1:37" s="337" customFormat="1" ht="21">
      <c r="A1" s="1832" t="s">
        <v>1584</v>
      </c>
      <c r="B1" s="782"/>
      <c r="C1" s="1836" t="s">
        <v>3304</v>
      </c>
      <c r="D1" s="1819" t="s">
        <v>3284</v>
      </c>
      <c r="E1" s="1820" t="s">
        <v>1382</v>
      </c>
      <c r="F1" s="1283">
        <f ca="1">J53</f>
        <v>24.733000000000001</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201121</v>
      </c>
      <c r="C2" s="1844" t="s">
        <v>1511</v>
      </c>
      <c r="D2" s="1844"/>
      <c r="E2" s="1845"/>
      <c r="F2" s="1846"/>
      <c r="G2" s="1847"/>
      <c r="H2" s="1839"/>
      <c r="I2" s="1839"/>
      <c r="J2" s="1839"/>
      <c r="K2" s="1840"/>
      <c r="L2" s="1839"/>
      <c r="M2" s="1839"/>
    </row>
    <row r="3" spans="1:37" ht="18" customHeight="1" thickBot="1">
      <c r="A3" s="1848" t="s">
        <v>1512</v>
      </c>
      <c r="B3" s="1849">
        <f ca="1">IF(ISERROR(B2*10000/F43),0,ROUND(B2*10000/F43,0))</f>
        <v>76925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15478</v>
      </c>
      <c r="D5" s="1821" t="s">
        <v>1397</v>
      </c>
      <c r="E5" s="1293"/>
      <c r="F5" s="1294"/>
      <c r="G5" s="1850"/>
      <c r="H5" s="344">
        <v>1</v>
      </c>
      <c r="I5" s="345" t="s">
        <v>1396</v>
      </c>
      <c r="J5" s="1292">
        <f ca="1">J6+J10+J12</f>
        <v>0</v>
      </c>
      <c r="K5" s="1821" t="s">
        <v>1397</v>
      </c>
      <c r="L5" s="1293"/>
      <c r="M5" s="1294"/>
    </row>
    <row r="6" spans="1:37" ht="18" customHeight="1">
      <c r="A6" s="1291" t="s">
        <v>1032</v>
      </c>
      <c r="B6" s="3370" t="s">
        <v>1398</v>
      </c>
      <c r="C6" s="1296">
        <f ca="1">ROUND(F6*F8*F7*(1-F9)/10000,0)</f>
        <v>15459</v>
      </c>
      <c r="D6" s="164" t="s">
        <v>3026</v>
      </c>
      <c r="E6" s="347" t="s">
        <v>1400</v>
      </c>
      <c r="F6" s="348">
        <f ca="1">INDIRECT("'数据-取费表'!u"&amp;$G$1)</f>
        <v>18</v>
      </c>
      <c r="G6" s="1850"/>
      <c r="H6" s="1291" t="s">
        <v>1032</v>
      </c>
      <c r="I6" s="3370" t="s">
        <v>1398</v>
      </c>
      <c r="J6" s="346">
        <f ca="1">ROUND(M6*M8*M7*(1-M9)/10000,0)</f>
        <v>0</v>
      </c>
      <c r="K6" s="164" t="s">
        <v>3025</v>
      </c>
      <c r="L6" s="347" t="s">
        <v>1400</v>
      </c>
      <c r="M6" s="348">
        <f ca="1">INDIRECT("'数据-取费表'!z"&amp;$G$1)</f>
        <v>0</v>
      </c>
    </row>
    <row r="7" spans="1:37" ht="18" customHeight="1">
      <c r="A7" s="1295"/>
      <c r="B7" s="3371"/>
      <c r="C7" s="1297"/>
      <c r="D7" s="352"/>
      <c r="E7" s="1298" t="s">
        <v>1401</v>
      </c>
      <c r="F7" s="348">
        <f ca="1">IF(INDIRECT("'数据-取费表'!ah"&amp;$G$1)="",INDIRECT("'数据-取费表'!k"&amp;$G$1),INDIRECT("'数据-取费表'!ah"&amp;$G$1))</f>
        <v>26144.92</v>
      </c>
      <c r="G7" s="1850"/>
      <c r="H7" s="349"/>
      <c r="I7" s="3371"/>
      <c r="J7" s="351"/>
      <c r="K7" s="352"/>
      <c r="L7" s="347" t="s">
        <v>1401</v>
      </c>
      <c r="M7" s="348">
        <f ca="1">F7</f>
        <v>26144.92</v>
      </c>
    </row>
    <row r="8" spans="1:37" ht="18" customHeight="1">
      <c r="A8" s="349"/>
      <c r="B8" s="3371"/>
      <c r="C8" s="351"/>
      <c r="D8" s="352"/>
      <c r="E8" s="347" t="s">
        <v>1402</v>
      </c>
      <c r="F8" s="348">
        <f ca="1">INDIRECT("'数据-取费表'!ai"&amp;$G$1)</f>
        <v>365</v>
      </c>
      <c r="G8" s="1850"/>
      <c r="H8" s="349"/>
      <c r="I8" s="3371"/>
      <c r="J8" s="351"/>
      <c r="K8" s="352"/>
      <c r="L8" s="347" t="s">
        <v>1402</v>
      </c>
      <c r="M8" s="348">
        <f ca="1">INDIRECT("'数据-取费表'!ai"&amp;$G$1)</f>
        <v>365</v>
      </c>
    </row>
    <row r="9" spans="1:37" ht="18" customHeight="1">
      <c r="A9" s="349"/>
      <c r="B9" s="3372"/>
      <c r="C9" s="351"/>
      <c r="D9" s="352"/>
      <c r="E9" s="347" t="s">
        <v>1403</v>
      </c>
      <c r="F9" s="357">
        <f ca="1">INDIRECT("'数据-取费表'!w"&amp;$G$1)</f>
        <v>0.1</v>
      </c>
      <c r="G9" s="1850"/>
      <c r="H9" s="349"/>
      <c r="I9" s="3372"/>
      <c r="J9" s="351"/>
      <c r="K9" s="352"/>
      <c r="L9" s="358" t="s">
        <v>1403</v>
      </c>
      <c r="M9" s="359">
        <f ca="1">INDIRECT("'数据-取费表'!ab"&amp;$G$1)</f>
        <v>0</v>
      </c>
    </row>
    <row r="10" spans="1:37" ht="18" customHeight="1">
      <c r="A10" s="1291" t="s">
        <v>1036</v>
      </c>
      <c r="B10" s="1822" t="s">
        <v>1404</v>
      </c>
      <c r="C10" s="361">
        <f ca="1">ROUND(IF(F10="押一",C6/12*F11,IF(F10="押二",C6/12*2*F11,IF(F10="押三",C6/12*3*F11,C11*F11))),0)</f>
        <v>19</v>
      </c>
      <c r="D10" s="1823" t="s">
        <v>3035</v>
      </c>
      <c r="E10" s="358" t="s">
        <v>1405</v>
      </c>
      <c r="F10" s="1366" t="s">
        <v>3322</v>
      </c>
      <c r="G10" s="1850"/>
      <c r="H10" s="1291" t="s">
        <v>1036</v>
      </c>
      <c r="I10" s="1822" t="s">
        <v>1404</v>
      </c>
      <c r="J10" s="346">
        <f ca="1">ROUND(IF(M10="押一",J6/12*M11,IF(M10="押二",J6/12*2*M11,IF(M10="押三",J6/12*3*M11,J11*M11))),0)</f>
        <v>0</v>
      </c>
      <c r="K10" s="1823" t="s">
        <v>3034</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80695</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47263</v>
      </c>
      <c r="D14" s="1799" t="s">
        <v>1413</v>
      </c>
      <c r="E14" s="1793"/>
      <c r="F14" s="364"/>
      <c r="G14" s="1850"/>
      <c r="H14" s="1201" t="s">
        <v>1032</v>
      </c>
      <c r="I14" s="347" t="s">
        <v>1414</v>
      </c>
      <c r="J14" s="24">
        <f ca="1">C29</f>
        <v>80695</v>
      </c>
      <c r="K14" s="15"/>
      <c r="L14" s="979"/>
      <c r="M14" s="980"/>
    </row>
    <row r="15" spans="1:37" s="1857" customFormat="1" ht="18" customHeight="1" thickBot="1">
      <c r="A15" s="1201" t="s">
        <v>1033</v>
      </c>
      <c r="B15" s="347" t="s">
        <v>1415</v>
      </c>
      <c r="C15" s="24">
        <f ca="1">ROUND(C14*F15,0)</f>
        <v>2363</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1973</v>
      </c>
      <c r="K16" s="1337" t="s">
        <v>1420</v>
      </c>
      <c r="L16" s="1338"/>
      <c r="M16" s="1294"/>
    </row>
    <row r="17" spans="1:37" s="1857" customFormat="1" ht="18" customHeight="1">
      <c r="A17" s="1201" t="s">
        <v>1385</v>
      </c>
      <c r="B17" s="347" t="s">
        <v>1421</v>
      </c>
      <c r="C17" s="24">
        <f ca="1">ROUND(F17*(F43+INDIRECT("'数据-取费表'!S"&amp;$G$1))/10000,0)</f>
        <v>1368</v>
      </c>
      <c r="D17" s="347" t="s">
        <v>1422</v>
      </c>
      <c r="E17" s="347" t="s">
        <v>1423</v>
      </c>
      <c r="F17" s="26">
        <f>'数据-取费表'!B35</f>
        <v>200</v>
      </c>
      <c r="G17" s="1853"/>
      <c r="H17" s="1201" t="s">
        <v>1032</v>
      </c>
      <c r="I17" s="347" t="s">
        <v>1424</v>
      </c>
      <c r="J17" s="24">
        <f ca="1">ROUND(IF(项目基本情况!B11="自然人",J6*M17/(1+'数据-取费表'!C42),J18+J19+J20),1)</f>
        <v>762.6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709</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51703</v>
      </c>
      <c r="D19" s="140" t="s">
        <v>1431</v>
      </c>
      <c r="E19" s="1817"/>
      <c r="F19" s="26"/>
      <c r="G19" s="1850"/>
      <c r="H19" s="1201" t="s">
        <v>1033</v>
      </c>
      <c r="I19" s="347" t="s">
        <v>1432</v>
      </c>
      <c r="J19" s="24">
        <f ca="1">IF(K19="按租金收入计税",ROUND(J6*M19/(1+'数据-取费表'!C42),2),ROUND(C29*M19*0.7,2))</f>
        <v>677.84</v>
      </c>
      <c r="K19" s="1827" t="s">
        <v>1433</v>
      </c>
      <c r="L19" s="347" t="s">
        <v>1417</v>
      </c>
      <c r="M19" s="367">
        <f>IF(K19="按租金收入计税",'数据-取费表'!B51,'数据-取费表'!B50)</f>
        <v>1.2E-2</v>
      </c>
    </row>
    <row r="20" spans="1:37" s="1857" customFormat="1" ht="18" customHeight="1">
      <c r="A20" s="1201" t="s">
        <v>1036</v>
      </c>
      <c r="B20" s="347" t="s">
        <v>1434</v>
      </c>
      <c r="C20" s="24">
        <f ca="1">ROUND(C19*F20,0)</f>
        <v>1551</v>
      </c>
      <c r="D20" s="369" t="s">
        <v>1435</v>
      </c>
      <c r="E20" s="347" t="s">
        <v>1417</v>
      </c>
      <c r="F20" s="367">
        <f>'数据-取费表'!B37</f>
        <v>0.03</v>
      </c>
      <c r="G20" s="1853"/>
      <c r="H20" s="1201" t="s">
        <v>1384</v>
      </c>
      <c r="I20" s="164" t="s">
        <v>1436</v>
      </c>
      <c r="J20" s="25">
        <f ca="1">ROUND(M20*M21/10000,2)</f>
        <v>84.79</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0.03</v>
      </c>
      <c r="G21" s="1853"/>
      <c r="H21" s="372"/>
      <c r="I21" s="356"/>
      <c r="J21" s="29"/>
      <c r="K21" s="373"/>
      <c r="L21" s="347" t="s">
        <v>1442</v>
      </c>
      <c r="M21" s="348">
        <f ca="1">INDIRECT("'数据-取费表'!r"&amp;$G$1)</f>
        <v>56525.21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1210.4000000000001</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3839</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-1973</v>
      </c>
      <c r="K25" s="1345" t="s">
        <v>1459</v>
      </c>
      <c r="L25" s="1346"/>
      <c r="M25" s="1347"/>
    </row>
    <row r="26" spans="1:37" ht="13">
      <c r="A26" s="1201" t="s">
        <v>1031</v>
      </c>
      <c r="B26" s="347" t="s">
        <v>1460</v>
      </c>
      <c r="C26" s="24">
        <f ca="1">ROUND((C19+C20)*F26,0)</f>
        <v>15976</v>
      </c>
      <c r="D26" s="369" t="s">
        <v>1461</v>
      </c>
      <c r="E26" s="358" t="s">
        <v>1462</v>
      </c>
      <c r="F26" s="357">
        <f ca="1">INDIRECT("'数据-取费表'!q"&amp;$G$1)</f>
        <v>0.3</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80695</v>
      </c>
      <c r="D29" s="1342"/>
      <c r="E29" s="1340"/>
      <c r="F29" s="1343"/>
      <c r="G29" s="1853"/>
      <c r="H29" s="380" t="s">
        <v>1030</v>
      </c>
      <c r="I29" s="381" t="s">
        <v>1474</v>
      </c>
      <c r="J29" s="382">
        <f ca="1">ROUND(J26/(1+F40)^F41,0)</f>
        <v>0</v>
      </c>
      <c r="K29" s="383" t="s">
        <v>1475</v>
      </c>
      <c r="L29" s="384"/>
      <c r="M29" s="385">
        <f ca="1">INDIRECT("'数据-取费表'!k"&amp;$G$1)</f>
        <v>26144.92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4240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2676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824.48</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1766.74</v>
      </c>
      <c r="D33" s="1827" t="s">
        <v>3323</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84.79</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56525.21</v>
      </c>
      <c r="G35" s="1850"/>
      <c r="H35" s="745"/>
      <c r="I35" s="1859"/>
      <c r="J35" s="1860"/>
      <c r="K35" s="1861"/>
      <c r="L35" s="1858"/>
      <c r="M35" s="1858"/>
    </row>
    <row r="36" spans="1:18" ht="18" customHeight="1">
      <c r="A36" s="1352" t="s">
        <v>1036</v>
      </c>
      <c r="B36" s="347" t="s">
        <v>1444</v>
      </c>
      <c r="C36" s="24">
        <f ca="1">ROUND(C29*F36,1)</f>
        <v>1210.4000000000001</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121</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232.2</v>
      </c>
      <c r="D38" s="1342" t="s">
        <v>1454</v>
      </c>
      <c r="E38" s="1340" t="s">
        <v>1450</v>
      </c>
      <c r="F38" s="1336">
        <f ca="1">INDIRECT("'数据-取费表'!Am"&amp;$G$1)</f>
        <v>1.4999999999999999E-2</v>
      </c>
      <c r="G38" s="1850"/>
      <c r="H38" s="1858"/>
      <c r="I38" s="1859"/>
      <c r="J38" s="1860"/>
      <c r="K38" s="1864"/>
      <c r="L38" s="1858"/>
      <c r="M38" s="1858"/>
    </row>
    <row r="39" spans="1:18" ht="24.65" customHeight="1" thickTop="1">
      <c r="A39" s="1329" t="s">
        <v>1028</v>
      </c>
      <c r="B39" s="1344" t="s">
        <v>1478</v>
      </c>
      <c r="C39" s="355">
        <f ca="1">C5-C30</f>
        <v>11238</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201121</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24.733000000000001</v>
      </c>
      <c r="G41" s="1850"/>
      <c r="H41" s="732"/>
      <c r="I41" s="1859"/>
      <c r="J41" s="1860"/>
      <c r="K41" s="751"/>
      <c r="L41" s="732"/>
      <c r="M41" s="732"/>
    </row>
    <row r="42" spans="1:18" ht="18" customHeight="1">
      <c r="A42" s="353"/>
      <c r="B42" s="354"/>
      <c r="C42" s="355"/>
      <c r="D42" s="373"/>
      <c r="E42" s="347" t="s">
        <v>1472</v>
      </c>
      <c r="F42" s="357">
        <f ca="1">INDIRECT("'数据-取费表'!v"&amp;$G$1)</f>
        <v>0.03</v>
      </c>
      <c r="G42" s="1850"/>
      <c r="H42" s="732"/>
      <c r="I42" s="1859"/>
      <c r="J42" s="1860"/>
      <c r="K42" s="751"/>
      <c r="L42" s="732"/>
      <c r="M42" s="732"/>
    </row>
    <row r="43" spans="1:18" ht="18" customHeight="1" thickBot="1">
      <c r="A43" s="380" t="s">
        <v>1030</v>
      </c>
      <c r="B43" s="381" t="s">
        <v>1482</v>
      </c>
      <c r="C43" s="382">
        <f ca="1">ROUND(C40*10000/F43,0)</f>
        <v>76925</v>
      </c>
      <c r="D43" s="383" t="s">
        <v>1483</v>
      </c>
      <c r="E43" s="384" t="s">
        <v>1484</v>
      </c>
      <c r="F43" s="385">
        <f ca="1">INDIRECT("'数据-取费表'!k"&amp;$G$1)</f>
        <v>26144.92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4" thickBot="1">
      <c r="A46" s="1869" t="s">
        <v>1515</v>
      </c>
      <c r="C46" s="1870">
        <f ca="1">C68-C40</f>
        <v>-310486</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3285</v>
      </c>
      <c r="K47" s="1881" t="s">
        <v>1522</v>
      </c>
      <c r="L47" s="1882">
        <f ca="1">INDIRECT("'数据-取费表'!d"&amp;$G$1)</f>
        <v>40</v>
      </c>
      <c r="M47" s="1837" t="str">
        <f>IF(ISNUMBER(FIND("住宅",C1)),"住宅","非住宅")</f>
        <v>非住宅</v>
      </c>
      <c r="O47" s="1883" t="s">
        <v>1037</v>
      </c>
      <c r="P47" s="1884" t="s">
        <v>1523</v>
      </c>
      <c r="Q47" s="1885">
        <f ca="1">C40+J29</f>
        <v>201121</v>
      </c>
      <c r="R47" s="1885" t="s">
        <v>1524</v>
      </c>
    </row>
    <row r="48" spans="1:18" s="1841" customFormat="1" ht="43.5" thickBot="1">
      <c r="A48" s="1360" t="s">
        <v>1132</v>
      </c>
      <c r="B48" s="345" t="s">
        <v>1396</v>
      </c>
      <c r="C48" s="1816">
        <f ca="1">C49+C53+C55</f>
        <v>0</v>
      </c>
      <c r="D48" s="1362"/>
      <c r="E48" s="1363"/>
      <c r="F48" s="1181"/>
      <c r="G48" s="792"/>
      <c r="H48" s="793"/>
      <c r="I48" s="1886" t="s">
        <v>1525</v>
      </c>
      <c r="J48" s="1887" t="s">
        <v>3286</v>
      </c>
      <c r="K48" s="1888" t="s">
        <v>1526</v>
      </c>
      <c r="L48" s="1889">
        <f ca="1">INDIRECT("'数据-取费表'!f"&amp;$G$1)</f>
        <v>27.28</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3027</v>
      </c>
      <c r="E49" s="1829" t="s">
        <v>1486</v>
      </c>
      <c r="F49" s="1281"/>
      <c r="G49" s="1890"/>
      <c r="H49" s="793"/>
      <c r="I49" s="1886" t="s">
        <v>1529</v>
      </c>
      <c r="J49" s="1891"/>
      <c r="K49" s="1888" t="s">
        <v>1530</v>
      </c>
      <c r="L49" s="1892"/>
      <c r="O49" s="1893" t="s">
        <v>1039</v>
      </c>
      <c r="P49" s="1884" t="s">
        <v>1531</v>
      </c>
      <c r="Q49" s="1885">
        <f ca="1">C29</f>
        <v>80695</v>
      </c>
      <c r="R49" s="1885" t="s">
        <v>1524</v>
      </c>
    </row>
    <row r="50" spans="1:18" s="1841" customFormat="1" ht="13.5" thickBot="1">
      <c r="A50" s="1195"/>
      <c r="B50" s="1198"/>
      <c r="C50" s="1368"/>
      <c r="D50" s="1172"/>
      <c r="E50" s="1277" t="s">
        <v>1401</v>
      </c>
      <c r="F50" s="1278">
        <f ca="1">F7</f>
        <v>26144.92</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64439</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24.733000000000001</v>
      </c>
      <c r="R52" s="1885" t="s">
        <v>1541</v>
      </c>
    </row>
    <row r="53" spans="1:18" s="1841" customFormat="1" ht="26.5" thickBot="1">
      <c r="A53" s="1405" t="s">
        <v>1134</v>
      </c>
      <c r="B53" s="1830" t="s">
        <v>1404</v>
      </c>
      <c r="C53" s="361">
        <f ca="1">ROUND(IF(F53="押一",C49/12*F11,IF(F53="押二",C49/12*2*F11,IF(F53="押三",C49/12*3*F11,C54*F11))),0)</f>
        <v>0</v>
      </c>
      <c r="D53" s="1823" t="s">
        <v>3034</v>
      </c>
      <c r="E53" s="358" t="s">
        <v>1405</v>
      </c>
      <c r="F53" s="1366"/>
      <c r="I53" s="1904" t="s">
        <v>1542</v>
      </c>
      <c r="J53" s="2944">
        <f ca="1">IF(M47="住宅",IF(D1="——",MAX(J51,L48),MAX(J51,L48-'数据-取费表'!B24)),IF(D1="——",MIN(J51,L48),MIN(J51,L48-'数据-取费表'!B24)))</f>
        <v>24.733000000000001</v>
      </c>
      <c r="K53" s="3368" t="s">
        <v>1543</v>
      </c>
      <c r="L53" s="3369"/>
      <c r="O53" s="1883" t="s">
        <v>1043</v>
      </c>
      <c r="P53" s="1884" t="s">
        <v>1544</v>
      </c>
      <c r="Q53" s="1885">
        <f ca="1">Q47+Q48</f>
        <v>201121</v>
      </c>
      <c r="R53" s="1885" t="s">
        <v>1044</v>
      </c>
    </row>
    <row r="54" spans="1:18" s="1841" customFormat="1" ht="26.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40" thickTop="1" thickBot="1">
      <c r="A56" s="1176">
        <v>2</v>
      </c>
      <c r="B56" s="1177" t="s">
        <v>1409</v>
      </c>
      <c r="C56" s="276">
        <f ca="1">C13</f>
        <v>80695</v>
      </c>
      <c r="D56" s="1912"/>
      <c r="E56" s="1913"/>
      <c r="F56" s="1905"/>
      <c r="I56" s="1914" t="s">
        <v>1549</v>
      </c>
      <c r="J56" s="1915" t="s">
        <v>3204</v>
      </c>
      <c r="K56" s="1886" t="s">
        <v>1550</v>
      </c>
      <c r="L56" s="1889" t="str">
        <f ca="1">IF(L48&lt;J51,"——",L48-J53)</f>
        <v>——</v>
      </c>
      <c r="O56" s="1883" t="s">
        <v>1037</v>
      </c>
      <c r="P56" s="1884" t="s">
        <v>1523</v>
      </c>
      <c r="Q56" s="1885">
        <f ca="1">C40+J29</f>
        <v>201121</v>
      </c>
      <c r="R56" s="1885" t="s">
        <v>1524</v>
      </c>
    </row>
    <row r="57" spans="1:18" s="1841" customFormat="1" ht="26.5" thickBot="1">
      <c r="A57" s="1916"/>
      <c r="B57" s="1169" t="s">
        <v>1473</v>
      </c>
      <c r="C57" s="282">
        <f ca="1">C29</f>
        <v>80695</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6.5" thickBot="1">
      <c r="A58" s="360" t="s">
        <v>1027</v>
      </c>
      <c r="B58" s="1177" t="s">
        <v>1419</v>
      </c>
      <c r="C58" s="361">
        <f ca="1">ROUND(C59+C64+C65+C66,0)</f>
        <v>8195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6.5" thickBot="1">
      <c r="A59" s="1201" t="s">
        <v>1032</v>
      </c>
      <c r="B59" s="1169" t="s">
        <v>1424</v>
      </c>
      <c r="C59" s="24">
        <f ca="1">ROUND(IF(项目基本情况!B11="自然人",C48*F59,C60+C61+C62),1)</f>
        <v>6863.2</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6778.38</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84.79</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201121</v>
      </c>
      <c r="R62" s="1885" t="s">
        <v>1044</v>
      </c>
    </row>
    <row r="63" spans="1:18" s="1841" customFormat="1" ht="13.5" thickBot="1">
      <c r="A63" s="372"/>
      <c r="B63" s="1175"/>
      <c r="C63" s="29"/>
      <c r="D63" s="1185"/>
      <c r="E63" s="1169" t="s">
        <v>1494</v>
      </c>
      <c r="F63" s="348">
        <f t="shared" ca="1" si="0"/>
        <v>56525.21</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1210.4000000000001</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121</v>
      </c>
      <c r="D65" s="1183" t="s">
        <v>1449</v>
      </c>
      <c r="E65" s="1169" t="s">
        <v>1450</v>
      </c>
      <c r="F65" s="376">
        <f t="shared" ca="1" si="0"/>
        <v>1.5E-3</v>
      </c>
      <c r="I65" s="1927" t="s">
        <v>1574</v>
      </c>
      <c r="J65" s="1928">
        <v>40</v>
      </c>
      <c r="K65" s="1928">
        <v>30</v>
      </c>
      <c r="L65" s="1928">
        <v>50</v>
      </c>
      <c r="M65" s="1930">
        <v>0.02</v>
      </c>
      <c r="O65" s="1883" t="s">
        <v>1037</v>
      </c>
      <c r="P65" s="1884" t="s">
        <v>1575</v>
      </c>
      <c r="Q65" s="1885">
        <f ca="1">C40+J29</f>
        <v>201121</v>
      </c>
      <c r="R65" s="1885" t="s">
        <v>1524</v>
      </c>
    </row>
    <row r="66" spans="1:18" s="1841" customFormat="1" ht="16"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26.5" thickBot="1">
      <c r="A67" s="1176" t="s">
        <v>1028</v>
      </c>
      <c r="B67" s="1186" t="s">
        <v>1458</v>
      </c>
      <c r="C67" s="361">
        <f ca="1">C48-C58</f>
        <v>-8195</v>
      </c>
      <c r="D67" s="1182" t="s">
        <v>1459</v>
      </c>
      <c r="E67" s="1187"/>
      <c r="F67" s="1188"/>
      <c r="O67" s="1893" t="s">
        <v>1039</v>
      </c>
      <c r="P67" s="1884" t="s">
        <v>1557</v>
      </c>
      <c r="Q67" s="1931">
        <f ca="1">L51</f>
        <v>64439</v>
      </c>
      <c r="R67" s="1885" t="s">
        <v>1577</v>
      </c>
    </row>
    <row r="68" spans="1:18" s="1841" customFormat="1" ht="16" thickBot="1">
      <c r="A68" s="1166" t="s">
        <v>1029</v>
      </c>
      <c r="B68" s="1167" t="s">
        <v>1480</v>
      </c>
      <c r="C68" s="346">
        <f ca="1">ROUND(C67*(1-((1+F70)/(1+F68))^F69)/(F68-F70),0)</f>
        <v>-109365</v>
      </c>
      <c r="D68" s="1184" t="s">
        <v>1464</v>
      </c>
      <c r="E68" s="1169" t="s">
        <v>1465</v>
      </c>
      <c r="F68" s="357">
        <f ca="1">F40</f>
        <v>5.5E-2</v>
      </c>
      <c r="O68" s="1893" t="s">
        <v>1040</v>
      </c>
      <c r="P68" s="1932" t="s">
        <v>1578</v>
      </c>
      <c r="Q68" s="1885">
        <f ca="1">ROUND(Q69-Q70*Q71,0)</f>
        <v>4379</v>
      </c>
      <c r="R68" s="1885" t="s">
        <v>1048</v>
      </c>
    </row>
    <row r="69" spans="1:18" s="1841" customFormat="1" ht="13.5" thickBot="1">
      <c r="A69" s="1170"/>
      <c r="B69" s="1171"/>
      <c r="C69" s="351"/>
      <c r="D69" s="1189" t="s">
        <v>1468</v>
      </c>
      <c r="E69" s="1169" t="s">
        <v>1469</v>
      </c>
      <c r="F69" s="379">
        <f ca="1">F41</f>
        <v>24.733000000000001</v>
      </c>
      <c r="O69" s="1893" t="s">
        <v>1045</v>
      </c>
      <c r="P69" s="1932" t="s">
        <v>1579</v>
      </c>
      <c r="Q69" s="1885">
        <f ca="1">C39</f>
        <v>11238</v>
      </c>
      <c r="R69" s="1885" t="s">
        <v>1524</v>
      </c>
    </row>
    <row r="70" spans="1:18" s="1841" customFormat="1" ht="13.5" thickBot="1">
      <c r="A70" s="1173"/>
      <c r="B70" s="1174"/>
      <c r="C70" s="355"/>
      <c r="D70" s="1185"/>
      <c r="E70" s="1169" t="s">
        <v>1472</v>
      </c>
      <c r="F70" s="1275"/>
      <c r="O70" s="1893" t="s">
        <v>1046</v>
      </c>
      <c r="P70" s="1932" t="s">
        <v>1580</v>
      </c>
      <c r="Q70" s="1885">
        <f ca="1">C13</f>
        <v>80695</v>
      </c>
      <c r="R70" s="1885" t="s">
        <v>1524</v>
      </c>
    </row>
    <row r="71" spans="1:18" s="1841" customFormat="1" ht="13.5" thickBot="1">
      <c r="A71" s="1190" t="s">
        <v>1030</v>
      </c>
      <c r="B71" s="1191" t="s">
        <v>1482</v>
      </c>
      <c r="C71" s="382">
        <f ca="1">ROUND(C68*10000/F71,0)</f>
        <v>-41830</v>
      </c>
      <c r="D71" s="1192" t="s">
        <v>1483</v>
      </c>
      <c r="E71" s="1193" t="s">
        <v>1484</v>
      </c>
      <c r="F71" s="385">
        <f ca="1">F43</f>
        <v>26144.92</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6859</v>
      </c>
      <c r="D75" s="1841"/>
      <c r="E75" s="1841"/>
      <c r="F75" s="1841"/>
      <c r="K75" s="1867"/>
      <c r="L75" s="1841"/>
      <c r="O75" s="1883" t="s">
        <v>1043</v>
      </c>
      <c r="P75" s="1884" t="s">
        <v>1544</v>
      </c>
      <c r="Q75" s="1885">
        <f ca="1">Q65+Q66</f>
        <v>201121</v>
      </c>
      <c r="R75" s="1885" t="s">
        <v>1044</v>
      </c>
    </row>
    <row r="76" spans="1:18" ht="13">
      <c r="B76" s="388" t="s">
        <v>1502</v>
      </c>
      <c r="C76" s="389">
        <f ca="1">INDIRECT("'数据-取费表'!j"&amp;$G$1)</f>
        <v>8.5000000000000006E-2</v>
      </c>
      <c r="I76" s="1841"/>
      <c r="J76" s="1841"/>
      <c r="K76" s="1867"/>
      <c r="L76" s="1841"/>
    </row>
    <row r="77" spans="1:18" ht="13.5">
      <c r="B77" s="390" t="s">
        <v>1503</v>
      </c>
      <c r="C77" s="391"/>
      <c r="I77" s="1841"/>
      <c r="J77" s="1841"/>
      <c r="K77" s="1867"/>
      <c r="L77" s="1841"/>
    </row>
    <row r="78" spans="1:18" ht="13.5">
      <c r="B78" s="314" t="s">
        <v>1504</v>
      </c>
      <c r="C78" s="392"/>
    </row>
    <row r="79" spans="1:18" ht="13">
      <c r="B79" s="386" t="s">
        <v>1505</v>
      </c>
      <c r="C79" s="318">
        <f ca="1">1-C80</f>
        <v>0.39</v>
      </c>
    </row>
    <row r="80" spans="1:18" ht="13">
      <c r="B80" s="386" t="s">
        <v>1506</v>
      </c>
      <c r="C80" s="318">
        <f ca="1">ROUND(C75/C39,3)</f>
        <v>0.61</v>
      </c>
    </row>
    <row r="81" spans="2:3" ht="13.5">
      <c r="B81" s="314" t="s">
        <v>1507</v>
      </c>
      <c r="C81" s="282"/>
    </row>
    <row r="82" spans="2:3" ht="13">
      <c r="B82" s="317" t="s">
        <v>1508</v>
      </c>
      <c r="C82" s="319">
        <f ca="1">1-C83</f>
        <v>0.59899999999999998</v>
      </c>
    </row>
    <row r="83" spans="2:3" ht="13">
      <c r="B83" s="317" t="s">
        <v>1509</v>
      </c>
      <c r="C83" s="318">
        <f ca="1">ROUND(C13/C40,3)</f>
        <v>0.40100000000000002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3" customWidth="1"/>
    <col min="2" max="16384" width="9" style="1943"/>
  </cols>
  <sheetData>
    <row r="1" spans="1:1" ht="23">
      <c r="A1" s="1942" t="s">
        <v>1606</v>
      </c>
    </row>
    <row r="2" spans="1:1">
      <c r="A2" s="1944"/>
    </row>
    <row r="3" spans="1:1" ht="18">
      <c r="A3" s="1945" t="str">
        <f>项目基本情况!B5&amp;"："</f>
        <v>三亚市巨源旅业开发有限公司：</v>
      </c>
    </row>
    <row r="4" spans="1:1" ht="35">
      <c r="A4" s="1946" t="str">
        <f>"受贵公司委托，我公司对"&amp;项目基本情况!S1&amp;"进行了预评估。"</f>
        <v>受贵公司委托，我公司对海南省三亚市海棠湾镇海棠湾旅游区出让国有建设用地使用权及在建建筑物房地产抵押价值进行了预评估。</v>
      </c>
    </row>
    <row r="5" spans="1:1" ht="18">
      <c r="A5" s="1947" t="s">
        <v>1607</v>
      </c>
    </row>
    <row r="6" spans="1:1" ht="17.5">
      <c r="A6" s="1948" t="s">
        <v>1608</v>
      </c>
    </row>
    <row r="7" spans="1:1" ht="7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三亚市海棠湾镇海棠湾旅游区出让国有建设用地使用权及在建建筑物房地产，为三亚市巨源旅业开发有限公司所有。根据《国有土地使用证》[]，估价对象（分摊）出让国有建设用地使用权面积为88343.87平方米，建筑面积为106874.1平方米。</v>
      </c>
    </row>
    <row r="8" spans="1:1" ht="53.5">
      <c r="A8" s="1949" t="s">
        <v>1609</v>
      </c>
    </row>
    <row r="9" spans="1:1" ht="17.5">
      <c r="A9" s="1948" t="s">
        <v>1610</v>
      </c>
    </row>
    <row r="10" spans="1:1" ht="8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三亚市海棠湾镇海棠湾旅游区出让国有建设用地使用权及在建建筑物房地产,属三亚市巨源旅业开发有限公司开发建设的商业项目，该项目尚在开发建设中。根据《国有土地使用证》[]，估价对象（分摊）出让国有建设用地使用权面积为88343.87平方米，规划建筑面积为106874.1平方米。</v>
      </c>
    </row>
    <row r="11" spans="1:1" ht="71">
      <c r="A11" s="1949" t="s">
        <v>1611</v>
      </c>
    </row>
    <row r="12" spans="1:1" ht="18">
      <c r="A12" s="1947" t="s">
        <v>1612</v>
      </c>
    </row>
    <row r="13" spans="1:1" ht="38.25" customHeight="1">
      <c r="A13" s="1950" t="str">
        <f>IF(项目基本情况!B8="抵押",IF(项目基本情况!B5=项目基本情况!B6,定义!C51,定义!B51),定义!D51)</f>
        <v>为估价委托人在向光大兴陇信托有限责任公司办理贷款手续过程中，确定房地产抵押贷款额度提供参考依据而评估房地产抵押价值。</v>
      </c>
    </row>
    <row r="14" spans="1:1" ht="18">
      <c r="A14" s="1951" t="s">
        <v>1613</v>
      </c>
    </row>
    <row r="15" spans="1:1" ht="17.5">
      <c r="A15" s="1952" t="str">
        <f>TEXT(项目基本情况!D3,"yyyy年m月d日;;")&amp;IF(项目基本情况!D3=项目基本情况!B3,"（评估专业人员实地查勘之日）","")</f>
        <v>2020年3月23日</v>
      </c>
    </row>
    <row r="16" spans="1:1" ht="18">
      <c r="A16" s="1951" t="s">
        <v>1614</v>
      </c>
    </row>
    <row r="17" spans="1:1" ht="70">
      <c r="A17" s="1946" t="s">
        <v>1615</v>
      </c>
    </row>
    <row r="18" spans="1:1" ht="70">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6" t="str">
        <f>IF(项目基本情况!B9="房地产市场价值","——",IF(项目基本情况!E9="——","",定义!C57))</f>
        <v/>
      </c>
    </row>
    <row r="23" spans="1:1" ht="18">
      <c r="A23" s="1951" t="s">
        <v>1604</v>
      </c>
    </row>
    <row r="24" spans="1:1" ht="17.5">
      <c r="A24" s="1953" t="str">
        <f>"本次评估采用的主估价方法为"&amp;结果表!K4&amp;"和"&amp;结果表!L4&amp;"。"</f>
        <v>本次评估采用的主估价方法为成本法和假设开发法。</v>
      </c>
    </row>
    <row r="25" spans="1:1" ht="17.5">
      <c r="A25" s="1953"/>
    </row>
    <row r="26" spans="1:1" ht="1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33"/>
  <sheetViews>
    <sheetView topLeftCell="A25" workbookViewId="0">
      <selection activeCell="B33" sqref="B33"/>
    </sheetView>
  </sheetViews>
  <sheetFormatPr defaultRowHeight="14"/>
  <cols>
    <col min="1" max="1" width="6.36328125" customWidth="1"/>
    <col min="2" max="2" width="14.08984375" customWidth="1"/>
    <col min="3" max="3" width="14.26953125" customWidth="1"/>
    <col min="4" max="4" width="16.08984375" customWidth="1"/>
    <col min="5" max="5" width="16.90625" customWidth="1"/>
  </cols>
  <sheetData>
    <row r="1" spans="1:4">
      <c r="B1" s="3003" t="s">
        <v>3388</v>
      </c>
      <c r="C1" s="3003" t="s">
        <v>3389</v>
      </c>
      <c r="D1" s="3003" t="s">
        <v>3390</v>
      </c>
    </row>
    <row r="2" spans="1:4">
      <c r="A2" s="3003" t="s">
        <v>3382</v>
      </c>
      <c r="B2">
        <v>27354</v>
      </c>
      <c r="C2">
        <v>72666</v>
      </c>
      <c r="D2">
        <v>26565</v>
      </c>
    </row>
    <row r="3" spans="1:4">
      <c r="A3" s="3003" t="s">
        <v>3383</v>
      </c>
      <c r="B3">
        <v>30636</v>
      </c>
      <c r="C3">
        <v>86290</v>
      </c>
      <c r="D3">
        <v>28166</v>
      </c>
    </row>
    <row r="4" spans="1:4">
      <c r="A4" s="3003" t="s">
        <v>3384</v>
      </c>
      <c r="B4">
        <v>101178</v>
      </c>
      <c r="C4">
        <v>276835</v>
      </c>
      <c r="D4">
        <v>27361</v>
      </c>
    </row>
    <row r="5" spans="1:4">
      <c r="A5" s="3003" t="s">
        <v>3385</v>
      </c>
      <c r="B5">
        <v>113456</v>
      </c>
      <c r="C5">
        <v>318783</v>
      </c>
      <c r="D5">
        <v>28097</v>
      </c>
    </row>
    <row r="6" spans="1:4">
      <c r="A6" s="3003" t="s">
        <v>3386</v>
      </c>
      <c r="B6">
        <v>82015</v>
      </c>
      <c r="C6">
        <v>235377</v>
      </c>
      <c r="D6">
        <v>28699</v>
      </c>
    </row>
    <row r="7" spans="1:4">
      <c r="A7" s="3003" t="s">
        <v>3387</v>
      </c>
      <c r="B7">
        <v>111195</v>
      </c>
      <c r="C7">
        <v>331325</v>
      </c>
      <c r="D7">
        <v>29797</v>
      </c>
    </row>
    <row r="25" spans="1:5" ht="14.5" thickBot="1"/>
    <row r="26" spans="1:5">
      <c r="A26" s="3037" t="s">
        <v>3391</v>
      </c>
      <c r="B26" s="3038" t="s">
        <v>3388</v>
      </c>
      <c r="C26" s="3038" t="s">
        <v>3392</v>
      </c>
      <c r="D26" s="3038" t="s">
        <v>3389</v>
      </c>
      <c r="E26" s="3039" t="s">
        <v>3390</v>
      </c>
    </row>
    <row r="27" spans="1:5">
      <c r="A27" s="3040" t="s">
        <v>3382</v>
      </c>
      <c r="B27" s="3036">
        <v>27354</v>
      </c>
      <c r="C27" s="3036">
        <v>252</v>
      </c>
      <c r="D27" s="3036">
        <v>72666.100000000006</v>
      </c>
      <c r="E27" s="3041">
        <v>26565</v>
      </c>
    </row>
    <row r="28" spans="1:5">
      <c r="A28" s="3040" t="s">
        <v>3383</v>
      </c>
      <c r="B28" s="3036">
        <v>30636</v>
      </c>
      <c r="C28" s="3036">
        <v>280</v>
      </c>
      <c r="D28" s="3036">
        <v>86289.9</v>
      </c>
      <c r="E28" s="3041">
        <v>28166</v>
      </c>
    </row>
    <row r="29" spans="1:5">
      <c r="A29" s="3040" t="s">
        <v>3384</v>
      </c>
      <c r="B29" s="3036">
        <v>101178</v>
      </c>
      <c r="C29" s="3036">
        <v>966</v>
      </c>
      <c r="D29" s="3036">
        <v>276835.20000000001</v>
      </c>
      <c r="E29" s="3041">
        <v>27361</v>
      </c>
    </row>
    <row r="30" spans="1:5">
      <c r="A30" s="3040" t="s">
        <v>3385</v>
      </c>
      <c r="B30" s="3036">
        <v>113456</v>
      </c>
      <c r="C30" s="3036">
        <v>1052</v>
      </c>
      <c r="D30" s="3036">
        <v>318782.5</v>
      </c>
      <c r="E30" s="3041">
        <v>28097</v>
      </c>
    </row>
    <row r="31" spans="1:5">
      <c r="A31" s="3040" t="s">
        <v>3386</v>
      </c>
      <c r="B31" s="3036">
        <v>82015</v>
      </c>
      <c r="C31" s="3036">
        <v>748</v>
      </c>
      <c r="D31" s="3036">
        <v>235376.6</v>
      </c>
      <c r="E31" s="3041">
        <v>28699</v>
      </c>
    </row>
    <row r="32" spans="1:5">
      <c r="A32" s="3040" t="s">
        <v>3387</v>
      </c>
      <c r="B32" s="3036">
        <v>111195</v>
      </c>
      <c r="C32" s="3036">
        <v>1036</v>
      </c>
      <c r="D32" s="3036">
        <v>331324.7</v>
      </c>
      <c r="E32" s="3041">
        <v>29797</v>
      </c>
    </row>
    <row r="33" spans="1:5" ht="14.5" thickBot="1">
      <c r="A33" s="3042" t="s">
        <v>3393</v>
      </c>
      <c r="B33" s="3043">
        <v>465834</v>
      </c>
      <c r="C33" s="3043">
        <v>4334</v>
      </c>
      <c r="D33" s="3043">
        <v>1321275</v>
      </c>
      <c r="E33" s="3044">
        <v>28364</v>
      </c>
    </row>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7265625" style="302" customWidth="1"/>
    <col min="6" max="6" width="10.6328125" style="302" customWidth="1"/>
    <col min="7" max="7" width="4.90625" style="302" customWidth="1"/>
    <col min="8" max="8" width="8.453125" style="302" customWidth="1"/>
    <col min="9" max="9" width="21.26953125" style="302" customWidth="1"/>
    <col min="10" max="10" width="12.26953125" style="302" customWidth="1"/>
    <col min="11" max="11" width="40.08984375" style="1933" customWidth="1"/>
    <col min="12" max="12" width="16.36328125" style="302" customWidth="1"/>
    <col min="13" max="13" width="13" style="302" customWidth="1"/>
    <col min="14" max="14" width="13.7265625" style="1841" customWidth="1"/>
    <col min="15" max="15" width="5.08984375" style="1841" customWidth="1"/>
    <col min="16" max="16" width="25.7265625" style="1841" customWidth="1"/>
    <col min="17" max="17" width="13.7265625" style="1841" customWidth="1"/>
    <col min="18" max="18" width="20.453125" style="1841" customWidth="1"/>
    <col min="19" max="19" width="13.26953125" style="1841" customWidth="1"/>
    <col min="20" max="37" width="9" style="1841"/>
    <col min="38" max="16384" width="9" style="302"/>
  </cols>
  <sheetData>
    <row r="1" spans="1:37" s="337" customFormat="1" ht="21">
      <c r="A1" s="1832" t="s">
        <v>1584</v>
      </c>
      <c r="B1" s="782"/>
      <c r="C1" s="1836"/>
      <c r="D1" s="1819"/>
      <c r="E1" s="1820" t="s">
        <v>1382</v>
      </c>
      <c r="F1" s="1283">
        <f ca="1">J53</f>
        <v>-2.5470000000000002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370" t="s">
        <v>1398</v>
      </c>
      <c r="C6" s="1296">
        <f ca="1">ROUND(F6*F8*F7*(1-F9),0)</f>
        <v>0</v>
      </c>
      <c r="D6" s="164" t="s">
        <v>3023</v>
      </c>
      <c r="E6" s="347" t="s">
        <v>1400</v>
      </c>
      <c r="F6" s="348">
        <f ca="1">INDIRECT("'数据-取费表'!u"&amp;$G$1)</f>
        <v>0</v>
      </c>
      <c r="G6" s="1850"/>
      <c r="H6" s="1291" t="s">
        <v>1032</v>
      </c>
      <c r="I6" s="3370" t="s">
        <v>1398</v>
      </c>
      <c r="J6" s="346">
        <f ca="1">ROUND(M6*M8*M7*(1-M9),0)</f>
        <v>0</v>
      </c>
      <c r="K6" s="1833" t="s">
        <v>3024</v>
      </c>
      <c r="L6" s="347" t="s">
        <v>1400</v>
      </c>
      <c r="M6" s="348">
        <f ca="1">INDIRECT("'数据-取费表'!z"&amp;$G$1)</f>
        <v>0</v>
      </c>
    </row>
    <row r="7" spans="1:37" ht="18" customHeight="1">
      <c r="A7" s="1295"/>
      <c r="B7" s="3371"/>
      <c r="C7" s="1297"/>
      <c r="D7" s="352"/>
      <c r="E7" s="1298" t="s">
        <v>1401</v>
      </c>
      <c r="F7" s="348">
        <f ca="1">IF(INDIRECT("'数据-取费表'!ah"&amp;$G$1)="",INDIRECT("'数据-取费表'!k"&amp;$G$1),INDIRECT("'数据-取费表'!ah"&amp;$G$1))</f>
        <v>0</v>
      </c>
      <c r="G7" s="1850"/>
      <c r="H7" s="349"/>
      <c r="I7" s="3371"/>
      <c r="J7" s="351"/>
      <c r="K7" s="352"/>
      <c r="L7" s="347" t="s">
        <v>1401</v>
      </c>
      <c r="M7" s="348">
        <f ca="1">F7</f>
        <v>0</v>
      </c>
    </row>
    <row r="8" spans="1:37" ht="18" customHeight="1">
      <c r="A8" s="349"/>
      <c r="B8" s="3371"/>
      <c r="C8" s="351"/>
      <c r="D8" s="352"/>
      <c r="E8" s="347" t="s">
        <v>1402</v>
      </c>
      <c r="F8" s="348">
        <f ca="1">INDIRECT("'数据-取费表'!ai"&amp;$G$1)</f>
        <v>0</v>
      </c>
      <c r="G8" s="1850"/>
      <c r="H8" s="349"/>
      <c r="I8" s="3371"/>
      <c r="J8" s="351"/>
      <c r="K8" s="352"/>
      <c r="L8" s="347" t="s">
        <v>1402</v>
      </c>
      <c r="M8" s="348">
        <f ca="1">INDIRECT("'数据-取费表'!ai"&amp;$G$1)</f>
        <v>0</v>
      </c>
    </row>
    <row r="9" spans="1:37" ht="18" customHeight="1">
      <c r="A9" s="349"/>
      <c r="B9" s="3372"/>
      <c r="C9" s="351"/>
      <c r="D9" s="352"/>
      <c r="E9" s="347" t="s">
        <v>1403</v>
      </c>
      <c r="F9" s="357">
        <f ca="1">INDIRECT("'数据-取费表'!w"&amp;$G$1)</f>
        <v>0</v>
      </c>
      <c r="G9" s="1850"/>
      <c r="H9" s="349"/>
      <c r="I9" s="3372"/>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3034</v>
      </c>
      <c r="E10" s="358" t="s">
        <v>1405</v>
      </c>
      <c r="F10" s="1366"/>
      <c r="G10" s="1850"/>
      <c r="H10" s="1291" t="s">
        <v>1036</v>
      </c>
      <c r="I10" s="1822" t="s">
        <v>1404</v>
      </c>
      <c r="J10" s="346">
        <f ca="1">ROUND(IF(M10="押一",J6/12*M11,IF(M10="押二",J6/12*2*M11,IF(M10="押三",J6/12*3*M11,J11*M11))),0)</f>
        <v>0</v>
      </c>
      <c r="K10" s="1834" t="s">
        <v>3036</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0.03</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0.03</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5"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4"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3.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-2.5470000000000002</v>
      </c>
      <c r="R52" s="1885" t="s">
        <v>1541</v>
      </c>
    </row>
    <row r="53" spans="1:18" s="1841" customFormat="1" ht="30.75" customHeight="1" thickBot="1">
      <c r="A53" s="1361" t="s">
        <v>1134</v>
      </c>
      <c r="B53" s="369" t="s">
        <v>1404</v>
      </c>
      <c r="C53" s="361">
        <f ca="1">ROUND(IF(F53="押一",C49/12*F11,IF(F53="押二",C49/12*2*F11,IF(F53="押三",C49/12*3*F11,C54*F11))),0)</f>
        <v>0</v>
      </c>
      <c r="D53" s="1823" t="s">
        <v>3037</v>
      </c>
      <c r="E53" s="358" t="s">
        <v>1405</v>
      </c>
      <c r="F53" s="1366"/>
      <c r="I53" s="1904" t="s">
        <v>1542</v>
      </c>
      <c r="J53" s="2944">
        <f ca="1">IF(M47="住宅",IF(D1="——",MAX(J51,L48),MAX(J51,L48-'数据-取费表'!B24)),IF(D1="——",MIN(J51,L48),MIN(J51,L48-'数据-取费表'!B24)))</f>
        <v>-2.5470000000000002</v>
      </c>
      <c r="K53" s="3368" t="s">
        <v>1543</v>
      </c>
      <c r="L53" s="336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6.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6.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6.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2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ht="13">
      <c r="B76" s="388" t="s">
        <v>1502</v>
      </c>
      <c r="C76" s="389">
        <f ca="1">INDIRECT("'数据-取费表'!j"&amp;$G$1)</f>
        <v>0</v>
      </c>
      <c r="I76" s="1841"/>
      <c r="J76" s="1841"/>
      <c r="K76" s="1867"/>
      <c r="L76" s="1841"/>
    </row>
    <row r="77" spans="1:18" ht="13.5">
      <c r="B77" s="390" t="s">
        <v>1503</v>
      </c>
      <c r="C77" s="391"/>
      <c r="I77" s="1841"/>
      <c r="J77" s="1841"/>
      <c r="K77" s="1867"/>
      <c r="L77" s="1841"/>
    </row>
    <row r="78" spans="1:18" ht="13.5">
      <c r="B78" s="314" t="s">
        <v>1504</v>
      </c>
      <c r="C78" s="392"/>
    </row>
    <row r="79" spans="1:18" ht="13">
      <c r="B79" s="386" t="s">
        <v>1505</v>
      </c>
      <c r="C79" s="318" t="e">
        <f ca="1">1-C80</f>
        <v>#DIV/0!</v>
      </c>
    </row>
    <row r="80" spans="1:18" ht="13">
      <c r="B80" s="386" t="s">
        <v>1506</v>
      </c>
      <c r="C80" s="318" t="e">
        <f ca="1">ROUND(C75/C39,3)</f>
        <v>#DIV/0!</v>
      </c>
    </row>
    <row r="81" spans="2:3" ht="13.5">
      <c r="B81" s="314" t="s">
        <v>1507</v>
      </c>
      <c r="C81" s="282"/>
    </row>
    <row r="82" spans="2:3" ht="13">
      <c r="B82" s="317" t="s">
        <v>1508</v>
      </c>
      <c r="C82" s="319" t="e">
        <f ca="1">1-C83</f>
        <v>#DIV/0!</v>
      </c>
    </row>
    <row r="83" spans="2:3" ht="1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3"/>
  <sheetViews>
    <sheetView workbookViewId="0">
      <selection activeCell="P31" sqref="P31"/>
    </sheetView>
  </sheetViews>
  <sheetFormatPr defaultColWidth="9" defaultRowHeight="14"/>
  <cols>
    <col min="1" max="1" width="23.6328125" style="1943" customWidth="1"/>
    <col min="2" max="2" width="12" style="1943" customWidth="1"/>
    <col min="3" max="3" width="9" style="1943"/>
    <col min="4" max="4" width="14.08984375" style="1943" customWidth="1"/>
    <col min="5" max="5" width="9" style="1943"/>
    <col min="6" max="6" width="12.90625" style="1943" customWidth="1"/>
    <col min="7" max="16384" width="9" style="1943"/>
  </cols>
  <sheetData>
    <row r="1" spans="1:6" ht="21">
      <c r="A1" s="2558" t="s">
        <v>2521</v>
      </c>
      <c r="B1" s="2559"/>
      <c r="C1" s="2559"/>
      <c r="D1" s="2559"/>
      <c r="E1" s="2560"/>
    </row>
    <row r="2" spans="1:6" ht="15.5">
      <c r="A2" s="2561" t="s">
        <v>2325</v>
      </c>
      <c r="B2" s="2562">
        <f ca="1">SUMIF(B6:B13,"&lt;&gt;#ref!",B6:B13)</f>
        <v>201121</v>
      </c>
      <c r="C2" s="2563" t="s">
        <v>2514</v>
      </c>
      <c r="D2" s="2564" t="s">
        <v>2515</v>
      </c>
      <c r="E2" s="2565">
        <f>SUM(E6:E13)</f>
        <v>68381.440000000002</v>
      </c>
    </row>
    <row r="3" spans="1:6" ht="15.5">
      <c r="A3" s="2561" t="s">
        <v>1390</v>
      </c>
      <c r="B3" s="2562">
        <f ca="1">ROUND(B2*10000/E2,0)</f>
        <v>29412</v>
      </c>
      <c r="C3" s="2563" t="s">
        <v>2522</v>
      </c>
      <c r="D3" s="2566"/>
      <c r="E3" s="2567"/>
    </row>
    <row r="4" spans="1:6" ht="15.5">
      <c r="A4" s="2568"/>
      <c r="B4" s="2566"/>
      <c r="C4" s="2566"/>
      <c r="D4" s="2566"/>
      <c r="E4" s="2567"/>
    </row>
    <row r="5" spans="1:6">
      <c r="A5" s="2569" t="s">
        <v>2516</v>
      </c>
      <c r="B5" s="3373" t="s">
        <v>2517</v>
      </c>
      <c r="C5" s="3373"/>
      <c r="D5" s="2570"/>
      <c r="E5" s="2571" t="s">
        <v>2518</v>
      </c>
      <c r="F5" s="2572" t="s">
        <v>2519</v>
      </c>
    </row>
    <row r="6" spans="1:6">
      <c r="A6" s="2573">
        <f>'数据-取费表'!AN6</f>
        <v>0</v>
      </c>
      <c r="B6" s="2572" t="e">
        <f ca="1">IF(F6="是",'数据-取费表'!AO6,0)</f>
        <v>#REF!</v>
      </c>
      <c r="C6" s="2563" t="s">
        <v>2514</v>
      </c>
      <c r="D6" s="2566"/>
      <c r="E6" s="2574">
        <f>IF(OR(A6=0,F6="否"),0,'数据-取费表'!K6+'数据-取费表'!S6)</f>
        <v>0</v>
      </c>
      <c r="F6" s="2575" t="s">
        <v>2520</v>
      </c>
    </row>
    <row r="7" spans="1:6">
      <c r="A7" s="2573" t="str">
        <f>'数据-取费表'!AN7</f>
        <v>收益法</v>
      </c>
      <c r="B7" s="2572">
        <f ca="1">IF(F7="是",'数据-取费表'!AO7,0)</f>
        <v>201121</v>
      </c>
      <c r="C7" s="2563" t="s">
        <v>2514</v>
      </c>
      <c r="D7" s="2566"/>
      <c r="E7" s="2574">
        <f>IF(OR(A7=0,F7="否"),0,'数据-取费表'!K7+'数据-取费表'!S7)</f>
        <v>68381.440000000002</v>
      </c>
      <c r="F7" s="2575" t="s">
        <v>2520</v>
      </c>
    </row>
    <row r="8" spans="1:6">
      <c r="A8" s="2573">
        <f>'数据-取费表'!AN8</f>
        <v>0</v>
      </c>
      <c r="B8" s="2572" t="e">
        <f ca="1">IF(F8="是",'数据-取费表'!AO8,0)</f>
        <v>#REF!</v>
      </c>
      <c r="C8" s="2563" t="s">
        <v>2514</v>
      </c>
      <c r="D8" s="2566"/>
      <c r="E8" s="2574">
        <f>IF(OR(A8=0,F8="否"),0,'数据-取费表'!K8+'数据-取费表'!S8)</f>
        <v>0</v>
      </c>
      <c r="F8" s="2575" t="s">
        <v>2520</v>
      </c>
    </row>
    <row r="9" spans="1:6">
      <c r="A9" s="2573">
        <f>'数据-取费表'!AN9</f>
        <v>0</v>
      </c>
      <c r="B9" s="2572" t="e">
        <f ca="1">IF(F9="是",'数据-取费表'!AO9,0)</f>
        <v>#REF!</v>
      </c>
      <c r="C9" s="2563" t="s">
        <v>2514</v>
      </c>
      <c r="D9" s="2566"/>
      <c r="E9" s="2574">
        <f>IF(OR(A9=0,F9="否"),0,'数据-取费表'!K9+'数据-取费表'!S9)</f>
        <v>0</v>
      </c>
      <c r="F9" s="2575" t="s">
        <v>2520</v>
      </c>
    </row>
    <row r="10" spans="1:6">
      <c r="A10" s="2573">
        <f>'数据-取费表'!AN10</f>
        <v>0</v>
      </c>
      <c r="B10" s="2572" t="e">
        <f ca="1">IF(F10="是",'数据-取费表'!AO10,0)</f>
        <v>#REF!</v>
      </c>
      <c r="C10" s="2563" t="s">
        <v>2514</v>
      </c>
      <c r="D10" s="2566"/>
      <c r="E10" s="2574">
        <f>IF(OR(A10=0,F10="否"),0,'数据-取费表'!K10+'数据-取费表'!S10)</f>
        <v>0</v>
      </c>
      <c r="F10" s="2575" t="s">
        <v>2520</v>
      </c>
    </row>
    <row r="11" spans="1:6">
      <c r="A11" s="2573">
        <f>'数据-取费表'!AN11</f>
        <v>0</v>
      </c>
      <c r="B11" s="2572" t="e">
        <f ca="1">IF(F11="是",'数据-取费表'!AO11,0)</f>
        <v>#REF!</v>
      </c>
      <c r="C11" s="2563" t="s">
        <v>2514</v>
      </c>
      <c r="D11" s="2566"/>
      <c r="E11" s="2574">
        <f>IF(OR(A11=0,F11="否"),0,'数据-取费表'!K11+'数据-取费表'!S11)</f>
        <v>0</v>
      </c>
      <c r="F11" s="2575" t="s">
        <v>2520</v>
      </c>
    </row>
    <row r="12" spans="1:6">
      <c r="A12" s="2573">
        <f>'数据-取费表'!AN12</f>
        <v>0</v>
      </c>
      <c r="B12" s="2572" t="e">
        <f ca="1">IF(F12="是",'数据-取费表'!AO12,0)</f>
        <v>#REF!</v>
      </c>
      <c r="C12" s="2563" t="s">
        <v>2514</v>
      </c>
      <c r="D12" s="2566"/>
      <c r="E12" s="2574">
        <f>IF(OR(A12=0,F12="否"),0,'数据-取费表'!K12+'数据-取费表'!S12)</f>
        <v>0</v>
      </c>
      <c r="F12" s="2575" t="s">
        <v>2520</v>
      </c>
    </row>
    <row r="13" spans="1:6" ht="14.5" thickBot="1">
      <c r="A13" s="2576">
        <f>'数据-取费表'!AN13</f>
        <v>0</v>
      </c>
      <c r="B13" s="2572" t="e">
        <f ca="1">IF(F13="是",'数据-取费表'!AO13,0)</f>
        <v>#REF!</v>
      </c>
      <c r="C13" s="2577" t="s">
        <v>2514</v>
      </c>
      <c r="D13" s="2578"/>
      <c r="E13" s="2574">
        <f>IF(OR(A13=0,F13="否"),0,'数据-取费表'!K13+'数据-取费表'!S13)</f>
        <v>0</v>
      </c>
      <c r="F13" s="257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D00-000000000000}">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P31" sqref="P31"/>
    </sheetView>
  </sheetViews>
  <sheetFormatPr defaultRowHeight="14"/>
  <cols>
    <col min="1" max="1" width="10.453125" customWidth="1"/>
    <col min="2" max="2" width="12.90625" customWidth="1"/>
    <col min="3" max="3" width="8.7265625" customWidth="1"/>
  </cols>
  <sheetData>
    <row r="1" spans="1:9" ht="15">
      <c r="A1" s="3390" t="s">
        <v>1073</v>
      </c>
      <c r="B1" s="3391"/>
      <c r="C1" s="3392"/>
      <c r="D1" s="3393">
        <f>SUM(I10,I15,I20,I21,I23)</f>
        <v>0</v>
      </c>
      <c r="E1" s="3393"/>
      <c r="F1" s="3393"/>
      <c r="G1" s="3393"/>
      <c r="H1" s="3393"/>
      <c r="I1" s="3394"/>
    </row>
    <row r="2" spans="1:9">
      <c r="A2" s="3380" t="s">
        <v>1074</v>
      </c>
      <c r="B2" s="3381" t="s">
        <v>1075</v>
      </c>
      <c r="C2" s="3381"/>
      <c r="D2" s="1301" t="s">
        <v>1076</v>
      </c>
      <c r="E2" s="1301" t="s">
        <v>1077</v>
      </c>
      <c r="F2" s="1301" t="s">
        <v>1078</v>
      </c>
      <c r="G2" s="1301" t="s">
        <v>1079</v>
      </c>
      <c r="H2" s="1301" t="s">
        <v>1080</v>
      </c>
      <c r="I2" s="1302" t="s">
        <v>1081</v>
      </c>
    </row>
    <row r="3" spans="1:9">
      <c r="A3" s="3380"/>
      <c r="B3" s="3381" t="s">
        <v>1082</v>
      </c>
      <c r="C3" s="3381"/>
      <c r="D3" s="1303"/>
      <c r="E3" s="1301"/>
      <c r="F3" s="1304"/>
      <c r="G3" s="1304"/>
      <c r="H3" s="1305"/>
      <c r="I3" s="1306">
        <f>ROUND(D3*E3*F3*G3*H3/10000,0)</f>
        <v>0</v>
      </c>
    </row>
    <row r="4" spans="1:9">
      <c r="A4" s="3380"/>
      <c r="B4" s="3381" t="s">
        <v>1083</v>
      </c>
      <c r="C4" s="3381"/>
      <c r="D4" s="1303"/>
      <c r="E4" s="1301"/>
      <c r="F4" s="1304"/>
      <c r="G4" s="1304"/>
      <c r="H4" s="1305"/>
      <c r="I4" s="1306">
        <f t="shared" ref="I4:I9" si="0">ROUND(D4*E4*F4*G4*H4/10000,0)</f>
        <v>0</v>
      </c>
    </row>
    <row r="5" spans="1:9">
      <c r="A5" s="3380"/>
      <c r="B5" s="3381" t="s">
        <v>1084</v>
      </c>
      <c r="C5" s="3381"/>
      <c r="D5" s="1303"/>
      <c r="E5" s="1301"/>
      <c r="F5" s="1304"/>
      <c r="G5" s="1304"/>
      <c r="H5" s="1305"/>
      <c r="I5" s="1306">
        <f t="shared" si="0"/>
        <v>0</v>
      </c>
    </row>
    <row r="6" spans="1:9">
      <c r="A6" s="3380"/>
      <c r="B6" s="3381" t="s">
        <v>1085</v>
      </c>
      <c r="C6" s="3381"/>
      <c r="D6" s="1303"/>
      <c r="E6" s="1301"/>
      <c r="F6" s="1304"/>
      <c r="G6" s="1304"/>
      <c r="H6" s="1305"/>
      <c r="I6" s="1306">
        <f t="shared" si="0"/>
        <v>0</v>
      </c>
    </row>
    <row r="7" spans="1:9">
      <c r="A7" s="3380"/>
      <c r="B7" s="3381" t="s">
        <v>1086</v>
      </c>
      <c r="C7" s="3381"/>
      <c r="D7" s="1303"/>
      <c r="E7" s="1301"/>
      <c r="F7" s="1304"/>
      <c r="G7" s="1304"/>
      <c r="H7" s="1305"/>
      <c r="I7" s="1306">
        <f t="shared" si="0"/>
        <v>0</v>
      </c>
    </row>
    <row r="8" spans="1:9">
      <c r="A8" s="3380"/>
      <c r="B8" s="3381" t="s">
        <v>1087</v>
      </c>
      <c r="C8" s="3381"/>
      <c r="D8" s="1303"/>
      <c r="E8" s="1301"/>
      <c r="F8" s="1304"/>
      <c r="G8" s="1304"/>
      <c r="H8" s="1305"/>
      <c r="I8" s="1306">
        <f t="shared" si="0"/>
        <v>0</v>
      </c>
    </row>
    <row r="9" spans="1:9">
      <c r="A9" s="3380"/>
      <c r="B9" s="3381" t="s">
        <v>1088</v>
      </c>
      <c r="C9" s="3381"/>
      <c r="D9" s="1303"/>
      <c r="E9" s="1301"/>
      <c r="F9" s="1304"/>
      <c r="G9" s="1304"/>
      <c r="H9" s="1305"/>
      <c r="I9" s="1306">
        <f t="shared" si="0"/>
        <v>0</v>
      </c>
    </row>
    <row r="10" spans="1:9">
      <c r="A10" s="3380"/>
      <c r="B10" s="3382" t="s">
        <v>1089</v>
      </c>
      <c r="C10" s="3382"/>
      <c r="D10" s="1307"/>
      <c r="E10" s="1307" t="e">
        <f>ROUND(D1*10000/D10/H9,0)</f>
        <v>#DIV/0!</v>
      </c>
      <c r="F10" s="1308"/>
      <c r="G10" s="1308"/>
      <c r="H10" s="1309"/>
      <c r="I10" s="1310">
        <f>SUM(I3:I9)</f>
        <v>0</v>
      </c>
    </row>
    <row r="11" spans="1:9" ht="15">
      <c r="A11" s="3380" t="s">
        <v>1090</v>
      </c>
      <c r="B11" s="3381" t="s">
        <v>1091</v>
      </c>
      <c r="C11" s="3381"/>
      <c r="D11" s="1303" t="s">
        <v>1092</v>
      </c>
      <c r="E11" s="1303" t="s">
        <v>1093</v>
      </c>
      <c r="F11" s="1304" t="s">
        <v>1094</v>
      </c>
      <c r="G11" s="1304" t="s">
        <v>1080</v>
      </c>
      <c r="H11" s="1311" t="s">
        <v>1095</v>
      </c>
      <c r="I11" s="1302" t="s">
        <v>1081</v>
      </c>
    </row>
    <row r="12" spans="1:9">
      <c r="A12" s="3380"/>
      <c r="B12" s="3381" t="s">
        <v>1096</v>
      </c>
      <c r="C12" s="3381"/>
      <c r="D12" s="1303"/>
      <c r="E12" s="1303"/>
      <c r="F12" s="1304"/>
      <c r="G12" s="1305"/>
      <c r="H12" s="1312"/>
      <c r="I12" s="1302">
        <f>ROUND(D12*E12*F12*G12/10000,0)</f>
        <v>0</v>
      </c>
    </row>
    <row r="13" spans="1:9">
      <c r="A13" s="3380"/>
      <c r="B13" s="3381" t="s">
        <v>1097</v>
      </c>
      <c r="C13" s="3381"/>
      <c r="D13" s="1303"/>
      <c r="E13" s="1303"/>
      <c r="F13" s="1304"/>
      <c r="G13" s="1305"/>
      <c r="H13" s="1312"/>
      <c r="I13" s="1302">
        <f>ROUND(D13*E13*F13*G13/10000,0)</f>
        <v>0</v>
      </c>
    </row>
    <row r="14" spans="1:9">
      <c r="A14" s="3380"/>
      <c r="B14" s="3381" t="s">
        <v>1098</v>
      </c>
      <c r="C14" s="3381"/>
      <c r="D14" s="1303"/>
      <c r="E14" s="1303"/>
      <c r="F14" s="1304"/>
      <c r="G14" s="1305"/>
      <c r="H14" s="1312"/>
      <c r="I14" s="1302">
        <f>ROUND(D14*E14*F14*G14/10000,0)</f>
        <v>0</v>
      </c>
    </row>
    <row r="15" spans="1:9">
      <c r="A15" s="3380"/>
      <c r="B15" s="3382" t="s">
        <v>1089</v>
      </c>
      <c r="C15" s="3382"/>
      <c r="D15" s="1307"/>
      <c r="E15" s="1307">
        <f>SUM(E12:E14)</f>
        <v>0</v>
      </c>
      <c r="F15" s="1308"/>
      <c r="G15" s="1305"/>
      <c r="H15" s="1312"/>
      <c r="I15" s="1313">
        <f>SUM(I12:I14)</f>
        <v>0</v>
      </c>
    </row>
    <row r="16" spans="1:9" ht="26">
      <c r="A16" s="3380" t="s">
        <v>1099</v>
      </c>
      <c r="B16" s="3381" t="s">
        <v>1100</v>
      </c>
      <c r="C16" s="3381"/>
      <c r="D16" s="1303" t="s">
        <v>1076</v>
      </c>
      <c r="E16" s="1314" t="s">
        <v>1101</v>
      </c>
      <c r="F16" s="1304" t="s">
        <v>1102</v>
      </c>
      <c r="G16" s="1305" t="s">
        <v>1080</v>
      </c>
      <c r="H16" s="1311" t="s">
        <v>1095</v>
      </c>
      <c r="I16" s="1302" t="s">
        <v>1081</v>
      </c>
    </row>
    <row r="17" spans="1:9" ht="15">
      <c r="A17" s="3380"/>
      <c r="B17" s="3381" t="s">
        <v>1103</v>
      </c>
      <c r="C17" s="3381"/>
      <c r="D17" s="1303"/>
      <c r="E17" s="1303"/>
      <c r="F17" s="1304"/>
      <c r="G17" s="1305"/>
      <c r="H17" s="1315"/>
      <c r="I17" s="1316">
        <f>ROUND(D17*E17*F17*G17/10000,0)</f>
        <v>0</v>
      </c>
    </row>
    <row r="18" spans="1:9" ht="15">
      <c r="A18" s="3380"/>
      <c r="B18" s="3381" t="s">
        <v>1104</v>
      </c>
      <c r="C18" s="3381"/>
      <c r="D18" s="1303"/>
      <c r="E18" s="1303"/>
      <c r="F18" s="1304"/>
      <c r="G18" s="1305"/>
      <c r="H18" s="1315"/>
      <c r="I18" s="1316">
        <f>ROUND(D18*E18*F18*G18/10000,0)</f>
        <v>0</v>
      </c>
    </row>
    <row r="19" spans="1:9" ht="15">
      <c r="A19" s="3380"/>
      <c r="B19" s="3381" t="s">
        <v>1105</v>
      </c>
      <c r="C19" s="3381"/>
      <c r="D19" s="1303"/>
      <c r="E19" s="1303"/>
      <c r="F19" s="1304"/>
      <c r="G19" s="1305"/>
      <c r="H19" s="1315"/>
      <c r="I19" s="1316">
        <f>ROUND(D19*E19*F19*G19/10000,0)</f>
        <v>0</v>
      </c>
    </row>
    <row r="20" spans="1:9">
      <c r="A20" s="3380"/>
      <c r="B20" s="3382" t="s">
        <v>1089</v>
      </c>
      <c r="C20" s="3382"/>
      <c r="D20" s="1307">
        <f>SUM(D17:D19)</f>
        <v>0</v>
      </c>
      <c r="E20" s="1307"/>
      <c r="F20" s="1308"/>
      <c r="G20" s="1305"/>
      <c r="H20" s="1312"/>
      <c r="I20" s="1313">
        <f>SUM(I17:I19)</f>
        <v>0</v>
      </c>
    </row>
    <row r="21" spans="1:9">
      <c r="A21" s="3380" t="s">
        <v>1106</v>
      </c>
      <c r="B21" s="3383"/>
      <c r="C21" s="3383"/>
      <c r="D21" s="3383"/>
      <c r="E21" s="3383"/>
      <c r="F21" s="3383"/>
      <c r="G21" s="3383"/>
      <c r="H21" s="1764">
        <v>0.1</v>
      </c>
      <c r="I21" s="1310">
        <f>ROUND(I10*H21,0)</f>
        <v>0</v>
      </c>
    </row>
    <row r="22" spans="1:9" ht="15">
      <c r="A22" s="3384" t="s">
        <v>1107</v>
      </c>
      <c r="B22" s="3385"/>
      <c r="C22" s="3386"/>
      <c r="D22" s="1317" t="s">
        <v>1108</v>
      </c>
      <c r="E22" s="1317" t="s">
        <v>1109</v>
      </c>
      <c r="F22" s="1318" t="s">
        <v>1110</v>
      </c>
      <c r="G22" s="1318" t="s">
        <v>1111</v>
      </c>
      <c r="H22" s="1311" t="s">
        <v>1112</v>
      </c>
      <c r="I22" s="1302" t="s">
        <v>1113</v>
      </c>
    </row>
    <row r="23" spans="1:9" ht="14.5" thickBot="1">
      <c r="A23" s="3387"/>
      <c r="B23" s="3388"/>
      <c r="C23" s="3389"/>
      <c r="D23" s="1319"/>
      <c r="E23" s="1319"/>
      <c r="F23" s="1319"/>
      <c r="G23" s="1320"/>
      <c r="H23" s="1321"/>
      <c r="I23" s="1322">
        <f>ROUND(E23*D23*F23*(1-G23)/10000,0)</f>
        <v>0</v>
      </c>
    </row>
    <row r="26" spans="1:9">
      <c r="A26" s="1323" t="s">
        <v>1114</v>
      </c>
      <c r="B26" s="1323"/>
      <c r="C26" s="1323"/>
      <c r="D26" s="1323"/>
      <c r="E26" s="3377">
        <f>C27-C30-C31-C32</f>
        <v>0</v>
      </c>
      <c r="F26" s="3377"/>
      <c r="G26" s="3377"/>
      <c r="H26" s="1737" t="s">
        <v>1336</v>
      </c>
    </row>
    <row r="27" spans="1:9">
      <c r="A27" s="1324">
        <v>1</v>
      </c>
      <c r="B27" s="1325" t="s">
        <v>1115</v>
      </c>
      <c r="C27" s="1325">
        <f>C28+C29</f>
        <v>0</v>
      </c>
      <c r="D27" s="1325"/>
      <c r="E27" s="3378"/>
      <c r="F27" s="3378"/>
      <c r="G27" s="3378"/>
    </row>
    <row r="28" spans="1:9">
      <c r="A28" s="1326" t="s">
        <v>1116</v>
      </c>
      <c r="B28" s="1325" t="s">
        <v>1117</v>
      </c>
      <c r="C28" s="1325"/>
      <c r="D28" s="1325"/>
      <c r="E28" s="3378"/>
      <c r="F28" s="3378"/>
      <c r="G28" s="337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79"/>
      <c r="F32" s="3379"/>
      <c r="G32" s="3379"/>
    </row>
    <row r="33" spans="1:7" hidden="1">
      <c r="A33" s="3374" t="s">
        <v>1126</v>
      </c>
      <c r="B33" s="3375"/>
      <c r="C33" s="3375"/>
      <c r="D33" s="3376"/>
      <c r="E33" s="3377"/>
      <c r="F33" s="3377"/>
      <c r="G33" s="3377"/>
    </row>
    <row r="34" spans="1:7" hidden="1">
      <c r="A34" s="1328">
        <v>1</v>
      </c>
      <c r="B34" s="1325" t="s">
        <v>1127</v>
      </c>
      <c r="C34" s="1325"/>
      <c r="D34" s="1325"/>
      <c r="E34" s="3378"/>
      <c r="F34" s="3378"/>
      <c r="G34" s="3378"/>
    </row>
    <row r="35" spans="1:7" hidden="1">
      <c r="A35" s="1328">
        <v>2</v>
      </c>
      <c r="B35" s="1325" t="s">
        <v>1128</v>
      </c>
      <c r="C35" s="1325"/>
      <c r="D35" s="1325"/>
      <c r="E35" s="3378"/>
      <c r="F35" s="3378"/>
      <c r="G35" s="3378"/>
    </row>
    <row r="36" spans="1:7" hidden="1">
      <c r="A36" s="1328">
        <v>3</v>
      </c>
      <c r="B36" s="1325" t="s">
        <v>1129</v>
      </c>
      <c r="C36" s="1325"/>
      <c r="D36" s="1325"/>
      <c r="E36" s="3378"/>
      <c r="F36" s="3378"/>
      <c r="G36" s="3378"/>
    </row>
    <row r="37" spans="1:7" hidden="1">
      <c r="A37" s="1328">
        <v>4</v>
      </c>
      <c r="B37" s="1325" t="s">
        <v>1130</v>
      </c>
      <c r="C37" s="1325"/>
      <c r="D37" s="1325"/>
      <c r="E37" s="3378"/>
      <c r="F37" s="3378"/>
      <c r="G37" s="3378"/>
    </row>
    <row r="38" spans="1:7" hidden="1">
      <c r="A38" s="3374" t="s">
        <v>1131</v>
      </c>
      <c r="B38" s="3375"/>
      <c r="C38" s="3375"/>
      <c r="D38" s="3376"/>
      <c r="E38" s="3377"/>
      <c r="F38" s="3377"/>
      <c r="G38" s="33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5.0898437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2618"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2523</v>
      </c>
      <c r="B1" s="2579" t="s">
        <v>2637</v>
      </c>
      <c r="C1" s="1634" t="s">
        <v>2525</v>
      </c>
      <c r="D1" s="1621"/>
      <c r="E1" s="2651"/>
      <c r="F1" s="2581"/>
      <c r="G1" s="1631" t="s">
        <v>2638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2327</v>
      </c>
      <c r="B3" s="609" t="e">
        <f ca="1">IF(C2="——",C49,ROUND(B2*10000/D3,0))</f>
        <v>#DIV/0!</v>
      </c>
      <c r="C3" s="400" t="s">
        <v>2639</v>
      </c>
      <c r="D3" s="399">
        <f>IF(D1="",'数据-汇总表'!E3,SUMIF('数据-汇总表'!$C19:$C33,D1,'数据-汇总表'!$E19:$E33))</f>
        <v>106874.1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28" t="s">
        <v>2643</v>
      </c>
      <c r="AC4" s="3329" t="s">
        <v>2644</v>
      </c>
    </row>
    <row r="5" spans="1:29">
      <c r="A5" s="404"/>
      <c r="B5" s="405"/>
      <c r="C5" s="3349" t="s">
        <v>2537</v>
      </c>
      <c r="D5" s="3350"/>
      <c r="E5" s="3356" t="s">
        <v>2538</v>
      </c>
      <c r="F5" s="3357"/>
      <c r="G5" s="3349" t="s">
        <v>2539</v>
      </c>
      <c r="H5" s="3350"/>
      <c r="I5" s="3349" t="s">
        <v>2540</v>
      </c>
      <c r="J5" s="3350"/>
      <c r="K5" s="610"/>
      <c r="L5" s="1130"/>
      <c r="M5" s="1131"/>
      <c r="N5" s="1131"/>
      <c r="O5" s="1131"/>
      <c r="P5" s="3337"/>
      <c r="Q5" s="3338"/>
      <c r="R5" s="3343"/>
      <c r="S5" s="3344"/>
      <c r="T5" s="3343"/>
      <c r="U5" s="3344"/>
      <c r="V5" s="3328"/>
      <c r="W5" s="3328"/>
      <c r="X5" s="1812"/>
      <c r="Y5" s="3343"/>
      <c r="Z5" s="3344"/>
      <c r="AA5" s="3330"/>
      <c r="AB5" s="3328"/>
      <c r="AC5" s="3330"/>
    </row>
    <row r="6" spans="1:29" ht="15" thickBot="1">
      <c r="A6" s="406"/>
      <c r="B6" s="407"/>
      <c r="C6" s="3347" t="s">
        <v>2541</v>
      </c>
      <c r="D6" s="3348"/>
      <c r="E6" s="3354" t="s">
        <v>2541</v>
      </c>
      <c r="F6" s="3355"/>
      <c r="G6" s="3347" t="s">
        <v>2541</v>
      </c>
      <c r="H6" s="3348"/>
      <c r="I6" s="3347" t="s">
        <v>2541</v>
      </c>
      <c r="J6" s="3348"/>
      <c r="K6" s="610" t="s">
        <v>2542</v>
      </c>
      <c r="L6" s="1130"/>
      <c r="M6" s="1131"/>
      <c r="N6" s="1131"/>
      <c r="O6" s="1131"/>
      <c r="P6" s="3339"/>
      <c r="Q6" s="3340"/>
      <c r="R6" s="3343"/>
      <c r="S6" s="3344"/>
      <c r="T6" s="3345"/>
      <c r="U6" s="3346"/>
      <c r="V6" s="3328"/>
      <c r="W6" s="3328"/>
      <c r="X6" s="1812"/>
      <c r="Y6" s="3345"/>
      <c r="Z6" s="3346"/>
      <c r="AA6" s="3331"/>
      <c r="AB6" s="3328"/>
      <c r="AC6" s="3331"/>
    </row>
    <row r="7" spans="1:29" s="117" customFormat="1" ht="14.5" thickBot="1">
      <c r="A7" s="408" t="s">
        <v>2543</v>
      </c>
      <c r="B7" s="409"/>
      <c r="C7" s="410">
        <f>'数据-取费表'!B2</f>
        <v>43913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51" t="s">
        <v>2544</v>
      </c>
      <c r="Q7" s="3353"/>
      <c r="R7" s="770" t="s">
        <v>17</v>
      </c>
      <c r="S7" s="771">
        <f t="shared" ref="S7:S15" si="0">F7</f>
        <v>0</v>
      </c>
      <c r="T7" s="770" t="s">
        <v>17</v>
      </c>
      <c r="U7" s="771">
        <f t="shared" ref="U7:U15" si="1">H7</f>
        <v>0</v>
      </c>
      <c r="V7" s="770" t="s">
        <v>17</v>
      </c>
      <c r="W7" s="771">
        <f t="shared" ref="W7:W15" si="2">J7</f>
        <v>0</v>
      </c>
      <c r="X7" s="772"/>
      <c r="Y7" s="3351" t="s">
        <v>2544</v>
      </c>
      <c r="Z7" s="3352"/>
      <c r="AA7" s="773" t="e">
        <f>D7/F7</f>
        <v>#DIV/0!</v>
      </c>
      <c r="AB7" s="773" t="e">
        <f>D7/H7</f>
        <v>#DIV/0!</v>
      </c>
      <c r="AC7" s="773" t="e">
        <f>D7/J7</f>
        <v>#DIV/0!</v>
      </c>
    </row>
    <row r="8" spans="1:29" s="117" customFormat="1" ht="14.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51" t="s">
        <v>2547</v>
      </c>
      <c r="Q8" s="3352"/>
      <c r="R8" s="770" t="s">
        <v>17</v>
      </c>
      <c r="S8" s="771">
        <f t="shared" si="0"/>
        <v>0</v>
      </c>
      <c r="T8" s="770" t="s">
        <v>17</v>
      </c>
      <c r="U8" s="771">
        <f t="shared" si="1"/>
        <v>0</v>
      </c>
      <c r="V8" s="770" t="s">
        <v>17</v>
      </c>
      <c r="W8" s="771">
        <f t="shared" si="2"/>
        <v>0</v>
      </c>
      <c r="X8" s="772"/>
      <c r="Y8" s="3351" t="s">
        <v>2547</v>
      </c>
      <c r="Z8" s="335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21"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773">
        <f t="shared" si="5"/>
        <v>1</v>
      </c>
    </row>
    <row r="10" spans="1:29" s="427" customFormat="1" ht="2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21"/>
      <c r="Q10" s="1794"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21"/>
      <c r="Q11" s="1794"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773" t="e">
        <f t="shared" si="5"/>
        <v>#N/A</v>
      </c>
    </row>
    <row r="12" spans="1:29" s="117" customFormat="1" ht="15.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21"/>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21"/>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6"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21"/>
      <c r="Q14" s="1794">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70">
      <c r="A15" s="440" t="s">
        <v>2554</v>
      </c>
      <c r="B15" s="69" t="s">
        <v>2648</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64" t="s">
        <v>2555</v>
      </c>
      <c r="Q15" s="1809" t="str">
        <f t="shared" si="6"/>
        <v>商业繁华度</v>
      </c>
      <c r="R15" s="774" t="s">
        <v>17</v>
      </c>
      <c r="S15" s="775">
        <f t="shared" si="0"/>
        <v>100</v>
      </c>
      <c r="T15" s="774" t="s">
        <v>17</v>
      </c>
      <c r="U15" s="775">
        <f t="shared" si="1"/>
        <v>100</v>
      </c>
      <c r="V15" s="774" t="s">
        <v>17</v>
      </c>
      <c r="W15" s="775">
        <f t="shared" si="2"/>
        <v>100</v>
      </c>
      <c r="X15" s="1812"/>
      <c r="Y15" s="3324" t="s">
        <v>2555</v>
      </c>
      <c r="Z15" s="1813" t="str">
        <f t="shared" si="7"/>
        <v>商业繁华度</v>
      </c>
      <c r="AA15" s="1810">
        <f t="shared" si="3"/>
        <v>1</v>
      </c>
      <c r="AB15" s="1810">
        <f t="shared" si="4"/>
        <v>1</v>
      </c>
      <c r="AC15" s="1810">
        <f t="shared" si="5"/>
        <v>1</v>
      </c>
    </row>
    <row r="16" spans="1:29" ht="15.5">
      <c r="A16" s="428"/>
      <c r="B16" s="446"/>
      <c r="C16" s="447"/>
      <c r="D16" s="448"/>
      <c r="E16" s="447"/>
      <c r="F16" s="449"/>
      <c r="G16" s="447"/>
      <c r="H16" s="450"/>
      <c r="I16" s="447"/>
      <c r="J16" s="448"/>
      <c r="K16" s="615"/>
      <c r="L16" s="1140"/>
      <c r="M16" s="1131"/>
      <c r="N16" s="1131"/>
      <c r="O16" s="1131"/>
      <c r="P16" s="3365"/>
      <c r="Q16" s="1809"/>
      <c r="R16" s="774"/>
      <c r="S16" s="775"/>
      <c r="T16" s="774"/>
      <c r="U16" s="775"/>
      <c r="V16" s="774"/>
      <c r="W16" s="775"/>
      <c r="X16" s="1812"/>
      <c r="Y16" s="3325"/>
      <c r="Z16" s="1813"/>
      <c r="AA16" s="1810">
        <v>1</v>
      </c>
      <c r="AB16" s="1810">
        <v>1</v>
      </c>
      <c r="AC16" s="1810">
        <v>1</v>
      </c>
    </row>
    <row r="17" spans="1:29" ht="84">
      <c r="A17" s="428"/>
      <c r="B17" s="451" t="s">
        <v>2093</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6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5">
      <c r="A18" s="428"/>
      <c r="B18" s="456"/>
      <c r="C18" s="2604"/>
      <c r="D18" s="450"/>
      <c r="E18" s="2606"/>
      <c r="F18" s="453"/>
      <c r="G18" s="2605"/>
      <c r="H18" s="448"/>
      <c r="I18" s="2606"/>
      <c r="J18" s="448"/>
      <c r="K18" s="615"/>
      <c r="L18" s="1140"/>
      <c r="M18" s="1131"/>
      <c r="N18" s="1131"/>
      <c r="O18" s="1131"/>
      <c r="P18" s="3365"/>
      <c r="Q18" s="1809"/>
      <c r="R18" s="774"/>
      <c r="S18" s="775"/>
      <c r="T18" s="774"/>
      <c r="U18" s="775"/>
      <c r="V18" s="774"/>
      <c r="W18" s="775"/>
      <c r="X18" s="1812"/>
      <c r="Y18" s="3325"/>
      <c r="Z18" s="1813"/>
      <c r="AA18" s="1810">
        <v>1</v>
      </c>
      <c r="AB18" s="1810">
        <v>1</v>
      </c>
      <c r="AC18" s="1810">
        <v>1</v>
      </c>
    </row>
    <row r="19" spans="1:29" ht="42">
      <c r="A19" s="428"/>
      <c r="B19" s="451" t="s">
        <v>2649</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65"/>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1810">
        <f t="shared" si="5"/>
        <v>1</v>
      </c>
    </row>
    <row r="20" spans="1:29" ht="15.5">
      <c r="A20" s="428"/>
      <c r="B20" s="456"/>
      <c r="C20" s="447"/>
      <c r="D20" s="448"/>
      <c r="E20" s="2601"/>
      <c r="F20" s="449"/>
      <c r="G20" s="2600"/>
      <c r="H20" s="448"/>
      <c r="I20" s="2601"/>
      <c r="J20" s="448"/>
      <c r="K20" s="615"/>
      <c r="L20" s="1140"/>
      <c r="M20" s="1131"/>
      <c r="N20" s="1131"/>
      <c r="O20" s="1131"/>
      <c r="P20" s="3365"/>
      <c r="Q20" s="1809"/>
      <c r="R20" s="774"/>
      <c r="S20" s="775"/>
      <c r="T20" s="774"/>
      <c r="U20" s="775"/>
      <c r="V20" s="774"/>
      <c r="W20" s="775"/>
      <c r="X20" s="1812"/>
      <c r="Y20" s="3325"/>
      <c r="Z20" s="1813"/>
      <c r="AA20" s="1810">
        <v>1</v>
      </c>
      <c r="AB20" s="1810">
        <v>1</v>
      </c>
      <c r="AC20" s="1810">
        <v>1</v>
      </c>
    </row>
    <row r="21" spans="1:29" ht="28">
      <c r="A21" s="428"/>
      <c r="B21" s="1384" t="s">
        <v>2650</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65"/>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5">
      <c r="A22" s="428"/>
      <c r="B22" s="1384"/>
      <c r="C22" s="2604"/>
      <c r="D22" s="448"/>
      <c r="E22" s="447"/>
      <c r="F22" s="449"/>
      <c r="G22" s="447"/>
      <c r="H22" s="448"/>
      <c r="I22" s="447"/>
      <c r="J22" s="448"/>
      <c r="K22" s="1383"/>
      <c r="L22" s="1140"/>
      <c r="M22" s="1131"/>
      <c r="N22" s="1131"/>
      <c r="O22" s="1131"/>
      <c r="P22" s="3365"/>
      <c r="Q22" s="1809"/>
      <c r="R22" s="774"/>
      <c r="S22" s="775"/>
      <c r="T22" s="774"/>
      <c r="U22" s="775"/>
      <c r="V22" s="774"/>
      <c r="W22" s="775"/>
      <c r="X22" s="1812"/>
      <c r="Y22" s="3325"/>
      <c r="Z22" s="1813"/>
      <c r="AA22" s="1810">
        <v>1</v>
      </c>
      <c r="AB22" s="1810">
        <v>1</v>
      </c>
      <c r="AC22" s="1810">
        <v>1</v>
      </c>
    </row>
    <row r="23" spans="1:29" ht="56">
      <c r="A23" s="428"/>
      <c r="B23" s="451" t="s">
        <v>2098</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65"/>
      <c r="Q23" s="1809" t="str">
        <f>B23</f>
        <v>自然及人文环境</v>
      </c>
      <c r="R23" s="774" t="s">
        <v>17</v>
      </c>
      <c r="S23" s="775">
        <f>F23</f>
        <v>100</v>
      </c>
      <c r="T23" s="774" t="s">
        <v>17</v>
      </c>
      <c r="U23" s="775">
        <f>H23</f>
        <v>100</v>
      </c>
      <c r="V23" s="774" t="s">
        <v>17</v>
      </c>
      <c r="W23" s="775">
        <f>J23</f>
        <v>100</v>
      </c>
      <c r="X23" s="1812"/>
      <c r="Y23" s="3325"/>
      <c r="Z23" s="1813" t="str">
        <f>Q23</f>
        <v>自然及人文环境</v>
      </c>
      <c r="AA23" s="1810">
        <f t="shared" si="3"/>
        <v>1</v>
      </c>
      <c r="AB23" s="1810">
        <f t="shared" si="4"/>
        <v>1</v>
      </c>
      <c r="AC23" s="1810">
        <f t="shared" si="5"/>
        <v>1</v>
      </c>
    </row>
    <row r="24" spans="1:29" ht="15.5">
      <c r="A24" s="428"/>
      <c r="B24" s="456"/>
      <c r="C24" s="447"/>
      <c r="D24" s="448"/>
      <c r="E24" s="2601"/>
      <c r="F24" s="449"/>
      <c r="G24" s="2600"/>
      <c r="H24" s="448"/>
      <c r="I24" s="2601"/>
      <c r="J24" s="448"/>
      <c r="K24" s="615"/>
      <c r="L24" s="1140"/>
      <c r="M24" s="1131"/>
      <c r="N24" s="1131"/>
      <c r="O24" s="1131"/>
      <c r="P24" s="3365"/>
      <c r="Q24" s="1809"/>
      <c r="R24" s="774"/>
      <c r="S24" s="775"/>
      <c r="T24" s="774"/>
      <c r="U24" s="775"/>
      <c r="V24" s="774"/>
      <c r="W24" s="775"/>
      <c r="X24" s="1812"/>
      <c r="Y24" s="3325"/>
      <c r="Z24" s="1813"/>
      <c r="AA24" s="1810">
        <v>1</v>
      </c>
      <c r="AB24" s="1810">
        <v>1</v>
      </c>
      <c r="AC24" s="1810">
        <v>1</v>
      </c>
    </row>
    <row r="25" spans="1:29" ht="15.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65"/>
      <c r="Q25" s="1809" t="str">
        <f t="shared" ref="Q25:Q46" si="11">B25</f>
        <v>临街状况</v>
      </c>
      <c r="R25" s="774" t="s">
        <v>17</v>
      </c>
      <c r="S25" s="775">
        <f>F25</f>
        <v>100</v>
      </c>
      <c r="T25" s="774" t="s">
        <v>17</v>
      </c>
      <c r="U25" s="775">
        <f>H25</f>
        <v>100</v>
      </c>
      <c r="V25" s="774" t="s">
        <v>17</v>
      </c>
      <c r="W25" s="775">
        <f>J25</f>
        <v>100</v>
      </c>
      <c r="X25" s="1812"/>
      <c r="Y25" s="3325"/>
      <c r="Z25" s="1813" t="str">
        <f>Q25</f>
        <v>临街状况</v>
      </c>
      <c r="AA25" s="1810">
        <f t="shared" si="3"/>
        <v>1</v>
      </c>
      <c r="AB25" s="1810">
        <f t="shared" si="4"/>
        <v>1</v>
      </c>
      <c r="AC25" s="1810">
        <f t="shared" si="5"/>
        <v>1</v>
      </c>
    </row>
    <row r="26" spans="1:29" ht="15.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65"/>
      <c r="Q26" s="1809" t="str">
        <f t="shared" si="11"/>
        <v>平面位置/可视性</v>
      </c>
      <c r="R26" s="774" t="s">
        <v>17</v>
      </c>
      <c r="S26" s="775">
        <f>F26</f>
        <v>100</v>
      </c>
      <c r="T26" s="774" t="s">
        <v>17</v>
      </c>
      <c r="U26" s="775">
        <f>H26</f>
        <v>100</v>
      </c>
      <c r="V26" s="774" t="s">
        <v>17</v>
      </c>
      <c r="W26" s="775">
        <f>J26</f>
        <v>100</v>
      </c>
      <c r="X26" s="1812"/>
      <c r="Y26" s="3325"/>
      <c r="Z26" s="1813" t="str">
        <f>Q26</f>
        <v>平面位置/可视性</v>
      </c>
      <c r="AA26" s="1810">
        <f t="shared" si="3"/>
        <v>1</v>
      </c>
      <c r="AB26" s="1810">
        <f t="shared" si="4"/>
        <v>1</v>
      </c>
      <c r="AC26" s="1810">
        <f t="shared" si="5"/>
        <v>1</v>
      </c>
    </row>
    <row r="27" spans="1:29" s="117" customFormat="1" ht="15.5">
      <c r="A27" s="431"/>
      <c r="B27" s="451" t="s">
        <v>2653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365"/>
      <c r="Q27" s="1794" t="str">
        <f t="shared" si="11"/>
        <v>人流量</v>
      </c>
      <c r="R27" s="770" t="s">
        <v>17</v>
      </c>
      <c r="S27" s="771">
        <f>F27</f>
        <v>100</v>
      </c>
      <c r="T27" s="770" t="s">
        <v>17</v>
      </c>
      <c r="U27" s="771">
        <f>H27</f>
        <v>100</v>
      </c>
      <c r="V27" s="770" t="s">
        <v>17</v>
      </c>
      <c r="W27" s="771">
        <f>J27</f>
        <v>100</v>
      </c>
      <c r="X27" s="772"/>
      <c r="Y27" s="3325"/>
      <c r="Z27" s="55" t="str">
        <f>Q27</f>
        <v>人流量</v>
      </c>
      <c r="AA27" s="1810">
        <f>D27/F27</f>
        <v>1</v>
      </c>
      <c r="AB27" s="1810">
        <f>D27/H27</f>
        <v>1</v>
      </c>
      <c r="AC27" s="1810">
        <f>D27/J27</f>
        <v>1</v>
      </c>
    </row>
    <row r="28" spans="1:29" ht="15.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6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325"/>
      <c r="Z28" s="1813" t="str">
        <f t="shared" ref="Z28:Z46" si="15">Q28</f>
        <v>楼层</v>
      </c>
      <c r="AA28" s="1810">
        <f t="shared" si="3"/>
        <v>1</v>
      </c>
      <c r="AB28" s="1810">
        <f t="shared" si="4"/>
        <v>1</v>
      </c>
      <c r="AC28" s="1810">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65"/>
      <c r="Q29" s="1809">
        <f t="shared" si="11"/>
        <v>111</v>
      </c>
      <c r="R29" s="774" t="s">
        <v>17</v>
      </c>
      <c r="S29" s="775">
        <f t="shared" si="12"/>
        <v>100</v>
      </c>
      <c r="T29" s="774" t="s">
        <v>17</v>
      </c>
      <c r="U29" s="775">
        <f t="shared" si="13"/>
        <v>100</v>
      </c>
      <c r="V29" s="774" t="s">
        <v>17</v>
      </c>
      <c r="W29" s="775">
        <f t="shared" si="14"/>
        <v>100</v>
      </c>
      <c r="X29" s="1812"/>
      <c r="Y29" s="3325"/>
      <c r="Z29" s="1813">
        <f t="shared" si="15"/>
        <v>111</v>
      </c>
      <c r="AA29" s="1810">
        <f t="shared" si="3"/>
        <v>1</v>
      </c>
      <c r="AB29" s="1810">
        <f t="shared" si="4"/>
        <v>1</v>
      </c>
      <c r="AC29" s="1810">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65"/>
      <c r="Q30" s="1809">
        <f t="shared" si="11"/>
        <v>111</v>
      </c>
      <c r="R30" s="774" t="s">
        <v>17</v>
      </c>
      <c r="S30" s="775">
        <f t="shared" si="12"/>
        <v>100</v>
      </c>
      <c r="T30" s="774" t="s">
        <v>17</v>
      </c>
      <c r="U30" s="775">
        <f t="shared" si="13"/>
        <v>100</v>
      </c>
      <c r="V30" s="774" t="s">
        <v>17</v>
      </c>
      <c r="W30" s="775">
        <f t="shared" si="14"/>
        <v>100</v>
      </c>
      <c r="X30" s="1812"/>
      <c r="Y30" s="3325"/>
      <c r="Z30" s="1813">
        <f t="shared" si="15"/>
        <v>111</v>
      </c>
      <c r="AA30" s="1810">
        <f t="shared" si="3"/>
        <v>1</v>
      </c>
      <c r="AB30" s="1810">
        <f t="shared" si="4"/>
        <v>1</v>
      </c>
      <c r="AC30" s="1810">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65"/>
      <c r="Q31" s="1809">
        <f t="shared" si="11"/>
        <v>111</v>
      </c>
      <c r="R31" s="774" t="s">
        <v>17</v>
      </c>
      <c r="S31" s="775">
        <f t="shared" si="12"/>
        <v>100</v>
      </c>
      <c r="T31" s="774" t="s">
        <v>17</v>
      </c>
      <c r="U31" s="775">
        <f t="shared" si="13"/>
        <v>100</v>
      </c>
      <c r="V31" s="774" t="s">
        <v>17</v>
      </c>
      <c r="W31" s="775">
        <f t="shared" si="14"/>
        <v>100</v>
      </c>
      <c r="X31" s="1812"/>
      <c r="Y31" s="3325"/>
      <c r="Z31" s="1813">
        <f t="shared" si="15"/>
        <v>111</v>
      </c>
      <c r="AA31" s="1810">
        <f t="shared" si="3"/>
        <v>1</v>
      </c>
      <c r="AB31" s="1810">
        <f t="shared" si="4"/>
        <v>1</v>
      </c>
      <c r="AC31" s="1810">
        <f t="shared" si="5"/>
        <v>1</v>
      </c>
    </row>
    <row r="32" spans="1:29" ht="15.5">
      <c r="A32" s="440" t="s">
        <v>2558</v>
      </c>
      <c r="B32" s="71" t="s">
        <v>2655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360" t="s">
        <v>2560</v>
      </c>
      <c r="Q32" s="1809" t="str">
        <f t="shared" si="11"/>
        <v>商业类型</v>
      </c>
      <c r="R32" s="774" t="s">
        <v>17</v>
      </c>
      <c r="S32" s="775">
        <f t="shared" si="12"/>
        <v>100</v>
      </c>
      <c r="T32" s="774" t="s">
        <v>17</v>
      </c>
      <c r="U32" s="775">
        <f t="shared" si="13"/>
        <v>100</v>
      </c>
      <c r="V32" s="774" t="s">
        <v>17</v>
      </c>
      <c r="W32" s="775">
        <f t="shared" si="14"/>
        <v>100</v>
      </c>
      <c r="X32" s="1812"/>
      <c r="Y32" s="3327" t="s">
        <v>2560</v>
      </c>
      <c r="Z32" s="1813" t="str">
        <f t="shared" si="15"/>
        <v>商业类型</v>
      </c>
      <c r="AA32" s="1810">
        <f t="shared" si="3"/>
        <v>1</v>
      </c>
      <c r="AB32" s="1810">
        <f t="shared" si="4"/>
        <v>1</v>
      </c>
      <c r="AC32" s="1810">
        <f t="shared" si="5"/>
        <v>1</v>
      </c>
    </row>
    <row r="33" spans="1:29" s="471" customFormat="1" ht="15.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61"/>
      <c r="Q33" s="776" t="str">
        <f t="shared" si="11"/>
        <v>项目建筑规模</v>
      </c>
      <c r="R33" s="777" t="s">
        <v>17</v>
      </c>
      <c r="S33" s="778" t="e">
        <f t="shared" si="12"/>
        <v>#N/A</v>
      </c>
      <c r="T33" s="777" t="s">
        <v>17</v>
      </c>
      <c r="U33" s="778" t="e">
        <f t="shared" si="13"/>
        <v>#N/A</v>
      </c>
      <c r="V33" s="777" t="s">
        <v>17</v>
      </c>
      <c r="W33" s="778" t="e">
        <f t="shared" si="14"/>
        <v>#N/A</v>
      </c>
      <c r="X33" s="779"/>
      <c r="Y33" s="3327"/>
      <c r="Z33" s="780" t="str">
        <f t="shared" si="15"/>
        <v>项目建筑规模</v>
      </c>
      <c r="AA33" s="1810" t="e">
        <f t="shared" si="3"/>
        <v>#N/A</v>
      </c>
      <c r="AB33" s="1810" t="e">
        <f t="shared" si="4"/>
        <v>#N/A</v>
      </c>
      <c r="AC33" s="1810" t="e">
        <f t="shared" si="5"/>
        <v>#N/A</v>
      </c>
    </row>
    <row r="34" spans="1:29" ht="15.5">
      <c r="A34" s="472"/>
      <c r="B34" s="422" t="s">
        <v>2562</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361"/>
      <c r="Q34" s="1809" t="str">
        <f t="shared" si="11"/>
        <v>建筑结构</v>
      </c>
      <c r="R34" s="774" t="s">
        <v>17</v>
      </c>
      <c r="S34" s="775">
        <f t="shared" si="12"/>
        <v>100</v>
      </c>
      <c r="T34" s="774" t="s">
        <v>17</v>
      </c>
      <c r="U34" s="775">
        <f t="shared" si="13"/>
        <v>100</v>
      </c>
      <c r="V34" s="774" t="s">
        <v>17</v>
      </c>
      <c r="W34" s="775">
        <f t="shared" si="14"/>
        <v>100</v>
      </c>
      <c r="X34" s="1812"/>
      <c r="Y34" s="3327"/>
      <c r="Z34" s="1813" t="str">
        <f t="shared" si="15"/>
        <v>建筑结构</v>
      </c>
      <c r="AA34" s="1810">
        <f t="shared" si="3"/>
        <v>1</v>
      </c>
      <c r="AB34" s="1810">
        <f t="shared" si="4"/>
        <v>1</v>
      </c>
      <c r="AC34" s="1810">
        <f t="shared" si="5"/>
        <v>1</v>
      </c>
    </row>
    <row r="35" spans="1:29" ht="15.5">
      <c r="A35" s="472"/>
      <c r="B35" s="422" t="s">
        <v>2656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361"/>
      <c r="Q35" s="1809" t="str">
        <f t="shared" si="11"/>
        <v>公共部分装修</v>
      </c>
      <c r="R35" s="774" t="s">
        <v>17</v>
      </c>
      <c r="S35" s="775">
        <f t="shared" si="12"/>
        <v>100</v>
      </c>
      <c r="T35" s="774" t="s">
        <v>17</v>
      </c>
      <c r="U35" s="775">
        <f t="shared" si="13"/>
        <v>100</v>
      </c>
      <c r="V35" s="774" t="s">
        <v>17</v>
      </c>
      <c r="W35" s="775">
        <f t="shared" si="14"/>
        <v>100</v>
      </c>
      <c r="X35" s="1812"/>
      <c r="Y35" s="3327"/>
      <c r="Z35" s="1813" t="str">
        <f t="shared" si="15"/>
        <v>公共部分装修</v>
      </c>
      <c r="AA35" s="1810">
        <f t="shared" si="3"/>
        <v>1</v>
      </c>
      <c r="AB35" s="1810">
        <f t="shared" si="4"/>
        <v>1</v>
      </c>
      <c r="AC35" s="1810">
        <f t="shared" si="5"/>
        <v>1</v>
      </c>
    </row>
    <row r="36" spans="1:29" ht="15.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61"/>
      <c r="Q36" s="1809" t="str">
        <f t="shared" si="11"/>
        <v>成新度</v>
      </c>
      <c r="R36" s="774" t="s">
        <v>17</v>
      </c>
      <c r="S36" s="775" t="e">
        <f t="shared" si="12"/>
        <v>#N/A</v>
      </c>
      <c r="T36" s="774" t="s">
        <v>17</v>
      </c>
      <c r="U36" s="775" t="e">
        <f t="shared" si="13"/>
        <v>#N/A</v>
      </c>
      <c r="V36" s="774" t="s">
        <v>17</v>
      </c>
      <c r="W36" s="775" t="e">
        <f t="shared" si="14"/>
        <v>#N/A</v>
      </c>
      <c r="X36" s="1812"/>
      <c r="Y36" s="3327"/>
      <c r="Z36" s="1813" t="str">
        <f t="shared" si="15"/>
        <v>成新度</v>
      </c>
      <c r="AA36" s="1810" t="e">
        <f t="shared" si="3"/>
        <v>#N/A</v>
      </c>
      <c r="AB36" s="1810" t="e">
        <f t="shared" si="4"/>
        <v>#N/A</v>
      </c>
      <c r="AC36" s="1810" t="e">
        <f t="shared" si="5"/>
        <v>#N/A</v>
      </c>
    </row>
    <row r="37" spans="1:29" s="117" customFormat="1" ht="15.5">
      <c r="A37" s="473"/>
      <c r="B37" s="422" t="s">
        <v>2658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361"/>
      <c r="Q37" s="1794" t="str">
        <f t="shared" si="11"/>
        <v>市政基础设施</v>
      </c>
      <c r="R37" s="770" t="s">
        <v>17</v>
      </c>
      <c r="S37" s="771">
        <f t="shared" si="12"/>
        <v>100</v>
      </c>
      <c r="T37" s="770" t="s">
        <v>17</v>
      </c>
      <c r="U37" s="771">
        <f t="shared" si="13"/>
        <v>100</v>
      </c>
      <c r="V37" s="770" t="s">
        <v>17</v>
      </c>
      <c r="W37" s="771">
        <f t="shared" si="14"/>
        <v>100</v>
      </c>
      <c r="X37" s="772"/>
      <c r="Y37" s="3327"/>
      <c r="Z37" s="55" t="str">
        <f t="shared" si="15"/>
        <v>市政基础设施</v>
      </c>
      <c r="AA37" s="773">
        <f t="shared" si="3"/>
        <v>1</v>
      </c>
      <c r="AB37" s="773">
        <f t="shared" si="4"/>
        <v>1</v>
      </c>
      <c r="AC37" s="773">
        <f t="shared" si="5"/>
        <v>1</v>
      </c>
    </row>
    <row r="38" spans="1:29" ht="15.5">
      <c r="A38" s="472"/>
      <c r="B38" s="422" t="s">
        <v>2659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361" t="s">
        <v>2560</v>
      </c>
      <c r="Q38" s="1809" t="str">
        <f t="shared" si="11"/>
        <v>业态</v>
      </c>
      <c r="R38" s="774" t="s">
        <v>17</v>
      </c>
      <c r="S38" s="775">
        <f t="shared" si="12"/>
        <v>100</v>
      </c>
      <c r="T38" s="774" t="s">
        <v>17</v>
      </c>
      <c r="U38" s="775">
        <f t="shared" si="13"/>
        <v>100</v>
      </c>
      <c r="V38" s="774" t="s">
        <v>17</v>
      </c>
      <c r="W38" s="775">
        <f t="shared" si="14"/>
        <v>100</v>
      </c>
      <c r="X38" s="1812"/>
      <c r="Y38" s="3327" t="s">
        <v>2560</v>
      </c>
      <c r="Z38" s="1813" t="str">
        <f t="shared" si="15"/>
        <v>业态</v>
      </c>
      <c r="AA38" s="1810">
        <f t="shared" si="3"/>
        <v>1</v>
      </c>
      <c r="AB38" s="1810">
        <f t="shared" si="4"/>
        <v>1</v>
      </c>
      <c r="AC38" s="1810">
        <f t="shared" si="5"/>
        <v>1</v>
      </c>
    </row>
    <row r="39" spans="1:29" ht="15.5">
      <c r="A39" s="472"/>
      <c r="B39" s="422" t="s">
        <v>2660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361"/>
      <c r="Q39" s="1809" t="str">
        <f t="shared" si="11"/>
        <v>层高</v>
      </c>
      <c r="R39" s="774" t="s">
        <v>17</v>
      </c>
      <c r="S39" s="775">
        <f t="shared" si="12"/>
        <v>100</v>
      </c>
      <c r="T39" s="774" t="s">
        <v>17</v>
      </c>
      <c r="U39" s="775">
        <f t="shared" si="13"/>
        <v>100</v>
      </c>
      <c r="V39" s="774" t="s">
        <v>17</v>
      </c>
      <c r="W39" s="775">
        <f t="shared" si="14"/>
        <v>100</v>
      </c>
      <c r="X39" s="1812"/>
      <c r="Y39" s="3327"/>
      <c r="Z39" s="1813" t="str">
        <f t="shared" si="15"/>
        <v>层高</v>
      </c>
      <c r="AA39" s="1810">
        <f t="shared" si="3"/>
        <v>1</v>
      </c>
      <c r="AB39" s="1810">
        <f t="shared" si="4"/>
        <v>1</v>
      </c>
      <c r="AC39" s="1810">
        <f t="shared" si="5"/>
        <v>1</v>
      </c>
    </row>
    <row r="40" spans="1:29" ht="15.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61"/>
      <c r="Q40" s="1809" t="str">
        <f t="shared" si="11"/>
        <v>单套建筑面积</v>
      </c>
      <c r="R40" s="774" t="s">
        <v>17</v>
      </c>
      <c r="S40" s="775">
        <f t="shared" si="12"/>
        <v>100</v>
      </c>
      <c r="T40" s="774" t="s">
        <v>17</v>
      </c>
      <c r="U40" s="775">
        <f t="shared" si="13"/>
        <v>100</v>
      </c>
      <c r="V40" s="774" t="s">
        <v>17</v>
      </c>
      <c r="W40" s="775">
        <f t="shared" si="14"/>
        <v>100</v>
      </c>
      <c r="X40" s="1812"/>
      <c r="Y40" s="3327"/>
      <c r="Z40" s="1813" t="str">
        <f t="shared" si="15"/>
        <v>单套建筑面积</v>
      </c>
      <c r="AA40" s="1810">
        <f t="shared" si="3"/>
        <v>1</v>
      </c>
      <c r="AB40" s="1810">
        <f t="shared" si="4"/>
        <v>1</v>
      </c>
      <c r="AC40" s="1810">
        <f t="shared" si="5"/>
        <v>1</v>
      </c>
    </row>
    <row r="41" spans="1:29" s="471" customFormat="1" ht="15.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61"/>
      <c r="Q41" s="776" t="str">
        <f t="shared" si="11"/>
        <v>进深比</v>
      </c>
      <c r="R41" s="777" t="s">
        <v>17</v>
      </c>
      <c r="S41" s="778">
        <f t="shared" si="12"/>
        <v>100</v>
      </c>
      <c r="T41" s="777" t="s">
        <v>17</v>
      </c>
      <c r="U41" s="778">
        <f t="shared" si="13"/>
        <v>100</v>
      </c>
      <c r="V41" s="777" t="s">
        <v>17</v>
      </c>
      <c r="W41" s="778">
        <f t="shared" si="14"/>
        <v>100</v>
      </c>
      <c r="X41" s="779"/>
      <c r="Y41" s="3327"/>
      <c r="Z41" s="780" t="str">
        <f t="shared" si="15"/>
        <v>进深比</v>
      </c>
      <c r="AA41" s="1810">
        <f t="shared" si="3"/>
        <v>1</v>
      </c>
      <c r="AB41" s="1810">
        <f t="shared" si="4"/>
        <v>1</v>
      </c>
      <c r="AC41" s="1810">
        <f t="shared" si="5"/>
        <v>1</v>
      </c>
    </row>
    <row r="42" spans="1:29" ht="15.5">
      <c r="A42" s="472"/>
      <c r="B42" s="422" t="s">
        <v>2663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361"/>
      <c r="Q42" s="1809" t="str">
        <f t="shared" si="11"/>
        <v>内部装修</v>
      </c>
      <c r="R42" s="774" t="s">
        <v>17</v>
      </c>
      <c r="S42" s="775">
        <f t="shared" si="12"/>
        <v>100</v>
      </c>
      <c r="T42" s="774" t="s">
        <v>17</v>
      </c>
      <c r="U42" s="775">
        <f t="shared" si="13"/>
        <v>100</v>
      </c>
      <c r="V42" s="774" t="s">
        <v>17</v>
      </c>
      <c r="W42" s="775">
        <f t="shared" si="14"/>
        <v>100</v>
      </c>
      <c r="X42" s="1812"/>
      <c r="Y42" s="3327"/>
      <c r="Z42" s="1813" t="str">
        <f t="shared" si="15"/>
        <v>内部装修</v>
      </c>
      <c r="AA42" s="1810">
        <f t="shared" si="3"/>
        <v>1</v>
      </c>
      <c r="AB42" s="1810">
        <f t="shared" si="4"/>
        <v>1</v>
      </c>
      <c r="AC42" s="1810">
        <f t="shared" si="5"/>
        <v>1</v>
      </c>
    </row>
    <row r="43" spans="1:29" ht="28">
      <c r="A43" s="472"/>
      <c r="B43" s="422" t="s">
        <v>2571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361"/>
      <c r="Q43" s="1809" t="str">
        <f t="shared" si="11"/>
        <v>内部装修维护情况</v>
      </c>
      <c r="R43" s="774" t="s">
        <v>17</v>
      </c>
      <c r="S43" s="775">
        <f t="shared" si="12"/>
        <v>100</v>
      </c>
      <c r="T43" s="774" t="s">
        <v>17</v>
      </c>
      <c r="U43" s="775">
        <f t="shared" si="13"/>
        <v>100</v>
      </c>
      <c r="V43" s="774" t="s">
        <v>17</v>
      </c>
      <c r="W43" s="775">
        <f t="shared" si="14"/>
        <v>100</v>
      </c>
      <c r="X43" s="1812"/>
      <c r="Y43" s="3327"/>
      <c r="Z43" s="1813" t="str">
        <f t="shared" si="15"/>
        <v>内部装修维护情况</v>
      </c>
      <c r="AA43" s="1810">
        <f t="shared" si="3"/>
        <v>1</v>
      </c>
      <c r="AB43" s="1810">
        <f t="shared" si="4"/>
        <v>1</v>
      </c>
      <c r="AC43" s="1810">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61"/>
      <c r="Q44" s="1794">
        <f t="shared" si="11"/>
        <v>111</v>
      </c>
      <c r="R44" s="770" t="s">
        <v>17</v>
      </c>
      <c r="S44" s="771">
        <f t="shared" si="12"/>
        <v>100</v>
      </c>
      <c r="T44" s="770" t="s">
        <v>17</v>
      </c>
      <c r="U44" s="771">
        <f t="shared" si="13"/>
        <v>100</v>
      </c>
      <c r="V44" s="770" t="s">
        <v>17</v>
      </c>
      <c r="W44" s="771">
        <f t="shared" si="14"/>
        <v>100</v>
      </c>
      <c r="X44" s="772"/>
      <c r="Y44" s="3327"/>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61"/>
      <c r="Q45" s="1809">
        <f t="shared" si="11"/>
        <v>111</v>
      </c>
      <c r="R45" s="774" t="s">
        <v>17</v>
      </c>
      <c r="S45" s="775">
        <f t="shared" si="12"/>
        <v>100</v>
      </c>
      <c r="T45" s="774" t="s">
        <v>17</v>
      </c>
      <c r="U45" s="775">
        <f t="shared" si="13"/>
        <v>100</v>
      </c>
      <c r="V45" s="774" t="s">
        <v>17</v>
      </c>
      <c r="W45" s="775">
        <f t="shared" si="14"/>
        <v>100</v>
      </c>
      <c r="X45" s="1812"/>
      <c r="Y45" s="3327"/>
      <c r="Z45" s="1813">
        <f t="shared" si="15"/>
        <v>111</v>
      </c>
      <c r="AA45" s="1810">
        <f t="shared" si="3"/>
        <v>1</v>
      </c>
      <c r="AB45" s="1810">
        <f t="shared" si="4"/>
        <v>1</v>
      </c>
      <c r="AC45" s="1810">
        <f t="shared" si="5"/>
        <v>1</v>
      </c>
    </row>
    <row r="46" spans="1:29" ht="16"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62"/>
      <c r="Q46" s="1809">
        <f t="shared" si="11"/>
        <v>111</v>
      </c>
      <c r="R46" s="774" t="s">
        <v>17</v>
      </c>
      <c r="S46" s="775">
        <f t="shared" si="12"/>
        <v>100</v>
      </c>
      <c r="T46" s="774" t="s">
        <v>17</v>
      </c>
      <c r="U46" s="775">
        <f t="shared" si="13"/>
        <v>100</v>
      </c>
      <c r="V46" s="774" t="s">
        <v>17</v>
      </c>
      <c r="W46" s="775">
        <f t="shared" si="14"/>
        <v>100</v>
      </c>
      <c r="X46" s="1812"/>
      <c r="Y46" s="3363"/>
      <c r="Z46" s="1813">
        <f t="shared" si="15"/>
        <v>111</v>
      </c>
      <c r="AA46" s="1810">
        <f t="shared" si="3"/>
        <v>1</v>
      </c>
      <c r="AB46" s="1810">
        <f t="shared" si="4"/>
        <v>1</v>
      </c>
      <c r="AC46" s="1810">
        <f t="shared" si="5"/>
        <v>1</v>
      </c>
    </row>
    <row r="47" spans="1:29">
      <c r="A47" s="479" t="s">
        <v>2572</v>
      </c>
      <c r="B47" s="480"/>
      <c r="C47" s="1407" t="s">
        <v>1</v>
      </c>
      <c r="D47" s="1408"/>
      <c r="E47" s="1409"/>
      <c r="F47" s="1410"/>
      <c r="G47" s="1411"/>
      <c r="H47" s="1412"/>
      <c r="I47" s="1409"/>
      <c r="J47" s="1412"/>
      <c r="K47" s="783"/>
      <c r="L47" s="1143"/>
      <c r="M47" s="1144"/>
      <c r="N47" s="1131"/>
      <c r="O47" s="1144"/>
      <c r="P47" s="3322" t="str">
        <f>A47</f>
        <v>成交单价（元/平方米）</v>
      </c>
      <c r="Q47" s="3322"/>
      <c r="R47" s="3328">
        <f>E47</f>
        <v>0</v>
      </c>
      <c r="S47" s="3328"/>
      <c r="T47" s="3328">
        <f>G47</f>
        <v>0</v>
      </c>
      <c r="U47" s="3328"/>
      <c r="V47" s="3328">
        <f>I47</f>
        <v>0</v>
      </c>
      <c r="W47" s="3328"/>
      <c r="X47" s="759"/>
      <c r="Y47" s="781"/>
      <c r="Z47" s="759"/>
      <c r="AA47" s="759"/>
      <c r="AB47" s="759"/>
      <c r="AC47" s="759"/>
    </row>
    <row r="48" spans="1:29" ht="14.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322" t="str">
        <f>A48</f>
        <v>比较价值（元/平方米）</v>
      </c>
      <c r="Q48" s="3322"/>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759"/>
      <c r="Y48" s="759"/>
      <c r="Z48" s="759"/>
      <c r="AA48" s="759"/>
      <c r="AB48" s="759"/>
      <c r="AC48" s="759"/>
    </row>
    <row r="49" spans="1:29" ht="14.5" thickBot="1">
      <c r="A49" s="492" t="s">
        <v>2665</v>
      </c>
      <c r="B49" s="493"/>
      <c r="C49" s="1417" t="e">
        <f>R49</f>
        <v>#DIV/0!</v>
      </c>
      <c r="D49" s="1417"/>
      <c r="E49" s="1417"/>
      <c r="F49" s="1417"/>
      <c r="G49" s="1417"/>
      <c r="H49" s="1417"/>
      <c r="I49" s="1417"/>
      <c r="J49" s="1417"/>
      <c r="K49" s="785"/>
      <c r="L49" s="1143"/>
      <c r="M49" s="1144"/>
      <c r="N49" s="1131"/>
      <c r="O49" s="1144"/>
      <c r="P49" s="3316" t="str">
        <f>A49</f>
        <v>估价对象XX用房的比较价值（楼面单价，元/平方米）</v>
      </c>
      <c r="Q49" s="3317"/>
      <c r="R49" s="3358" t="e">
        <f>IF(F1="售价",ROUND(AVERAGE(R48:V48),0),ROUND(AVERAGE(R48:V48),1))</f>
        <v>#DIV/0!</v>
      </c>
      <c r="S49" s="3358"/>
      <c r="T49" s="3358"/>
      <c r="U49" s="3358"/>
      <c r="V49" s="3358"/>
      <c r="W49" s="335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2669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c r="A58" s="505" t="s">
        <v>2543</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c r="A59" s="509"/>
      <c r="B59" s="510"/>
      <c r="C59" s="1573">
        <v>100</v>
      </c>
      <c r="D59" s="512"/>
      <c r="E59" s="512"/>
      <c r="F59" s="512"/>
      <c r="G59" s="512"/>
      <c r="H59" s="512"/>
      <c r="I59" s="512"/>
      <c r="J59" s="512"/>
      <c r="K59" s="512"/>
      <c r="L59" s="512"/>
      <c r="M59" s="513"/>
      <c r="N59" s="512"/>
      <c r="O59" s="513"/>
      <c r="P59" s="2622"/>
    </row>
    <row r="60" spans="1:29" s="117" customFormat="1" ht="14.5" thickBot="1">
      <c r="A60" s="515" t="s">
        <v>2580</v>
      </c>
      <c r="B60" s="516"/>
      <c r="C60" s="517"/>
      <c r="D60" s="518"/>
      <c r="E60" s="518"/>
      <c r="F60" s="518"/>
      <c r="G60" s="518"/>
      <c r="H60" s="518"/>
      <c r="I60" s="518"/>
      <c r="J60" s="518"/>
      <c r="K60" s="518"/>
      <c r="L60" s="518"/>
      <c r="M60" s="519"/>
      <c r="N60" s="518"/>
      <c r="O60" s="519"/>
      <c r="P60" s="2622"/>
      <c r="Q60" s="504"/>
    </row>
    <row r="61" spans="1:29" s="117" customFormat="1">
      <c r="A61" s="521" t="s">
        <v>2545</v>
      </c>
      <c r="B61" s="510"/>
      <c r="C61" s="522" t="s">
        <v>2647</v>
      </c>
      <c r="D61" s="523"/>
      <c r="E61" s="523"/>
      <c r="F61" s="523"/>
      <c r="G61" s="523"/>
      <c r="H61" s="523"/>
      <c r="I61" s="523"/>
      <c r="J61" s="523"/>
      <c r="K61" s="523"/>
      <c r="L61" s="524"/>
      <c r="M61" s="525"/>
      <c r="N61" s="1151"/>
      <c r="O61" s="1151"/>
      <c r="P61" s="2623"/>
      <c r="Q61" s="504"/>
    </row>
    <row r="62" spans="1:29" s="117" customFormat="1" ht="14.5" thickBot="1">
      <c r="A62" s="521"/>
      <c r="B62" s="510"/>
      <c r="C62" s="511">
        <v>100</v>
      </c>
      <c r="D62" s="512"/>
      <c r="E62" s="512"/>
      <c r="F62" s="512"/>
      <c r="G62" s="512"/>
      <c r="H62" s="512"/>
      <c r="I62" s="512"/>
      <c r="J62" s="512"/>
      <c r="K62" s="512"/>
      <c r="L62" s="512"/>
      <c r="M62" s="514"/>
      <c r="N62" s="1151"/>
      <c r="O62" s="1151"/>
      <c r="P62" s="2622"/>
      <c r="Q62" s="504"/>
    </row>
    <row r="63" spans="1:29">
      <c r="A63" s="527" t="s">
        <v>2583</v>
      </c>
      <c r="B63" s="528" t="s">
        <v>2549</v>
      </c>
      <c r="C63" s="529">
        <f>C9</f>
        <v>0</v>
      </c>
      <c r="D63" s="530"/>
      <c r="E63" s="530"/>
      <c r="F63" s="530"/>
      <c r="G63" s="530"/>
      <c r="H63" s="530"/>
      <c r="I63" s="530"/>
      <c r="J63" s="530"/>
      <c r="K63" s="531"/>
      <c r="L63" s="532"/>
      <c r="M63" s="533"/>
      <c r="N63" s="1152"/>
      <c r="O63" s="1152"/>
      <c r="P63" s="2624"/>
      <c r="Q63" s="504"/>
    </row>
    <row r="64" spans="1:29" ht="14.5" thickBot="1">
      <c r="A64" s="534"/>
      <c r="B64" s="535"/>
      <c r="C64" s="536">
        <v>100</v>
      </c>
      <c r="D64" s="536"/>
      <c r="E64" s="536"/>
      <c r="F64" s="536"/>
      <c r="G64" s="536"/>
      <c r="H64" s="536"/>
      <c r="I64" s="536"/>
      <c r="J64" s="536"/>
      <c r="K64" s="536"/>
      <c r="L64" s="536"/>
      <c r="M64" s="537"/>
      <c r="N64" s="1153"/>
      <c r="O64" s="1153"/>
      <c r="P64" s="2624"/>
      <c r="Q64" s="504"/>
    </row>
    <row r="65" spans="1:17" ht="28.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4"/>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4.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c r="A68" s="534"/>
      <c r="B68" s="548"/>
      <c r="C68" s="549"/>
      <c r="D68" s="549"/>
      <c r="E68" s="549"/>
      <c r="F68" s="549"/>
      <c r="G68" s="549"/>
      <c r="H68" s="549"/>
      <c r="I68" s="549"/>
      <c r="J68" s="549"/>
      <c r="K68" s="550"/>
      <c r="L68" s="551"/>
      <c r="M68" s="552"/>
      <c r="N68" s="1152"/>
      <c r="O68" s="1152"/>
      <c r="P68" s="2624"/>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4.5" thickTop="1">
      <c r="A70" s="553"/>
      <c r="B70" s="538">
        <f>B12</f>
        <v>111</v>
      </c>
      <c r="C70" s="554"/>
      <c r="D70" s="554"/>
      <c r="E70" s="554"/>
      <c r="F70" s="554"/>
      <c r="G70" s="554"/>
      <c r="H70" s="555"/>
      <c r="I70" s="555"/>
      <c r="J70" s="555"/>
      <c r="K70" s="555"/>
      <c r="L70" s="556"/>
      <c r="M70" s="557"/>
      <c r="N70" s="1154"/>
      <c r="O70" s="1154"/>
      <c r="P70" s="2625"/>
      <c r="Q70" s="559"/>
    </row>
    <row r="71" spans="1:17" s="471" customFormat="1" ht="14.5" thickBot="1">
      <c r="A71" s="553"/>
      <c r="B71" s="543"/>
      <c r="C71" s="560"/>
      <c r="D71" s="536"/>
      <c r="E71" s="536"/>
      <c r="F71" s="536"/>
      <c r="G71" s="536"/>
      <c r="H71" s="536"/>
      <c r="I71" s="536"/>
      <c r="J71" s="536"/>
      <c r="K71" s="536"/>
      <c r="L71" s="536"/>
      <c r="M71" s="537"/>
      <c r="N71" s="1153"/>
      <c r="O71" s="1153"/>
      <c r="P71" s="2625"/>
      <c r="Q71" s="559"/>
    </row>
    <row r="72" spans="1:17" s="471" customFormat="1" ht="14.5" thickTop="1">
      <c r="A72" s="553"/>
      <c r="B72" s="538">
        <f>B13</f>
        <v>111</v>
      </c>
      <c r="C72" s="554"/>
      <c r="D72" s="554"/>
      <c r="E72" s="554"/>
      <c r="F72" s="554"/>
      <c r="G72" s="554"/>
      <c r="H72" s="555"/>
      <c r="I72" s="555"/>
      <c r="J72" s="555"/>
      <c r="K72" s="555"/>
      <c r="L72" s="556"/>
      <c r="M72" s="557"/>
      <c r="N72" s="1154"/>
      <c r="O72" s="1154"/>
      <c r="P72" s="2626"/>
      <c r="Q72" s="561"/>
    </row>
    <row r="73" spans="1:17" s="471" customFormat="1" ht="14.5" thickBot="1">
      <c r="A73" s="553"/>
      <c r="B73" s="543"/>
      <c r="C73" s="560"/>
      <c r="D73" s="536"/>
      <c r="E73" s="536"/>
      <c r="F73" s="536"/>
      <c r="G73" s="560"/>
      <c r="H73" s="562"/>
      <c r="I73" s="562"/>
      <c r="J73" s="562"/>
      <c r="K73" s="562"/>
      <c r="L73" s="562"/>
      <c r="M73" s="563"/>
      <c r="N73" s="1154"/>
      <c r="O73" s="1154"/>
      <c r="P73" s="2625"/>
      <c r="Q73" s="559"/>
    </row>
    <row r="74" spans="1:17" s="471" customFormat="1" ht="14.5" thickTop="1">
      <c r="A74" s="553"/>
      <c r="B74" s="546">
        <f>B14</f>
        <v>111</v>
      </c>
      <c r="C74" s="554"/>
      <c r="D74" s="554"/>
      <c r="E74" s="554"/>
      <c r="F74" s="554"/>
      <c r="G74" s="523"/>
      <c r="H74" s="564"/>
      <c r="I74" s="564"/>
      <c r="J74" s="564"/>
      <c r="K74" s="564"/>
      <c r="L74" s="565"/>
      <c r="M74" s="566"/>
      <c r="N74" s="1154"/>
      <c r="O74" s="1154"/>
      <c r="P74" s="2627"/>
      <c r="Q74" s="559"/>
    </row>
    <row r="75" spans="1:17" s="471" customFormat="1" ht="14.5" thickBot="1">
      <c r="A75" s="568"/>
      <c r="B75" s="569"/>
      <c r="C75" s="570"/>
      <c r="D75" s="570"/>
      <c r="E75" s="570"/>
      <c r="F75" s="570"/>
      <c r="G75" s="570"/>
      <c r="H75" s="571"/>
      <c r="I75" s="571"/>
      <c r="J75" s="571"/>
      <c r="K75" s="571"/>
      <c r="L75" s="571"/>
      <c r="M75" s="572"/>
      <c r="N75" s="1154"/>
      <c r="O75" s="1154"/>
      <c r="P75" s="262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8"/>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4.5" thickTop="1">
      <c r="A78" s="534"/>
      <c r="B78" s="538" t="s">
        <v>2597</v>
      </c>
      <c r="C78" s="578" t="s">
        <v>2592</v>
      </c>
      <c r="D78" s="578" t="s">
        <v>2593</v>
      </c>
      <c r="E78" s="578" t="s">
        <v>2594</v>
      </c>
      <c r="F78" s="578" t="s">
        <v>2595</v>
      </c>
      <c r="G78" s="578" t="s">
        <v>2596</v>
      </c>
      <c r="H78" s="539"/>
      <c r="I78" s="539"/>
      <c r="J78" s="539"/>
      <c r="K78" s="540"/>
      <c r="L78" s="541"/>
      <c r="M78" s="542"/>
      <c r="N78" s="1152"/>
      <c r="O78" s="1152"/>
      <c r="P78" s="2624"/>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4.5" thickTop="1">
      <c r="A80" s="534"/>
      <c r="B80" s="538" t="s">
        <v>2598</v>
      </c>
      <c r="C80" s="578" t="s">
        <v>2592</v>
      </c>
      <c r="D80" s="578" t="s">
        <v>2593</v>
      </c>
      <c r="E80" s="578" t="s">
        <v>2594</v>
      </c>
      <c r="F80" s="578" t="s">
        <v>2595</v>
      </c>
      <c r="G80" s="578" t="s">
        <v>2596</v>
      </c>
      <c r="H80" s="539"/>
      <c r="I80" s="539"/>
      <c r="J80" s="539"/>
      <c r="K80" s="540"/>
      <c r="L80" s="541"/>
      <c r="M80" s="542"/>
      <c r="N80" s="1152"/>
      <c r="O80" s="1152"/>
      <c r="P80" s="2624"/>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4.5" thickTop="1">
      <c r="A82" s="534"/>
      <c r="B82" s="546" t="s">
        <v>2650</v>
      </c>
      <c r="C82" s="660" t="s">
        <v>2670</v>
      </c>
      <c r="D82" s="660" t="s">
        <v>2671</v>
      </c>
      <c r="E82" s="660" t="s">
        <v>2672</v>
      </c>
      <c r="F82" s="660" t="s">
        <v>2673</v>
      </c>
      <c r="G82" s="660" t="s">
        <v>2674</v>
      </c>
      <c r="H82" s="539"/>
      <c r="I82" s="539"/>
      <c r="J82" s="539"/>
      <c r="K82" s="539"/>
      <c r="L82" s="539"/>
      <c r="M82" s="1382"/>
      <c r="N82" s="1153"/>
      <c r="O82" s="1153"/>
      <c r="P82" s="2624"/>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4.5" thickTop="1">
      <c r="A84" s="534"/>
      <c r="B84" s="538" t="s">
        <v>2604</v>
      </c>
      <c r="C84" s="578" t="s">
        <v>2592</v>
      </c>
      <c r="D84" s="578" t="s">
        <v>2593</v>
      </c>
      <c r="E84" s="578" t="s">
        <v>2594</v>
      </c>
      <c r="F84" s="578" t="s">
        <v>2595</v>
      </c>
      <c r="G84" s="578" t="s">
        <v>2596</v>
      </c>
      <c r="H84" s="539"/>
      <c r="I84" s="539"/>
      <c r="J84" s="539"/>
      <c r="K84" s="540"/>
      <c r="L84" s="541"/>
      <c r="M84" s="542"/>
      <c r="N84" s="1152"/>
      <c r="O84" s="1152"/>
      <c r="P84" s="2624"/>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4.5" thickTop="1">
      <c r="A86" s="579"/>
      <c r="B86" s="538" t="s">
        <v>2675</v>
      </c>
      <c r="C86" s="554"/>
      <c r="D86" s="554"/>
      <c r="E86" s="554"/>
      <c r="F86" s="554"/>
      <c r="G86" s="554"/>
      <c r="H86" s="554"/>
      <c r="I86" s="554"/>
      <c r="J86" s="554"/>
      <c r="K86" s="554"/>
      <c r="L86" s="580"/>
      <c r="M86" s="581"/>
      <c r="N86" s="1151"/>
      <c r="O86" s="1151"/>
      <c r="P86" s="2624"/>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4.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4.5" thickBot="1">
      <c r="A89" s="579"/>
      <c r="B89" s="543"/>
      <c r="C89" s="560"/>
      <c r="D89" s="536"/>
      <c r="E89" s="536"/>
      <c r="F89" s="536"/>
      <c r="G89" s="536"/>
      <c r="H89" s="536"/>
      <c r="I89" s="536"/>
      <c r="J89" s="536"/>
      <c r="K89" s="536"/>
      <c r="L89" s="536"/>
      <c r="M89" s="536"/>
      <c r="N89" s="1153"/>
      <c r="O89" s="1153"/>
      <c r="P89" s="2624"/>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4.5" thickTop="1">
      <c r="A92" s="534"/>
      <c r="B92" s="538" t="str">
        <f>B28</f>
        <v>楼层</v>
      </c>
      <c r="C92" s="554"/>
      <c r="D92" s="554"/>
      <c r="E92" s="554"/>
      <c r="F92" s="554"/>
      <c r="G92" s="554"/>
      <c r="H92" s="554"/>
      <c r="I92" s="554"/>
      <c r="J92" s="554"/>
      <c r="K92" s="554"/>
      <c r="L92" s="580"/>
      <c r="M92" s="581"/>
      <c r="N92" s="1152"/>
      <c r="O92" s="1152"/>
      <c r="P92" s="2624"/>
      <c r="Q92" s="504"/>
    </row>
    <row r="93" spans="1:17" ht="14.5" thickBot="1">
      <c r="A93" s="534"/>
      <c r="B93" s="543"/>
      <c r="C93" s="536"/>
      <c r="D93" s="536"/>
      <c r="E93" s="536"/>
      <c r="F93" s="536"/>
      <c r="G93" s="536"/>
      <c r="H93" s="536"/>
      <c r="I93" s="536"/>
      <c r="J93" s="536"/>
      <c r="K93" s="536"/>
      <c r="L93" s="536"/>
      <c r="M93" s="537"/>
      <c r="N93" s="1153"/>
      <c r="O93" s="1153"/>
      <c r="P93" s="2624"/>
      <c r="Q93" s="504"/>
    </row>
    <row r="94" spans="1:17" ht="14.5" thickTop="1">
      <c r="A94" s="534"/>
      <c r="B94" s="538">
        <f>B29</f>
        <v>111</v>
      </c>
      <c r="C94" s="554"/>
      <c r="D94" s="554"/>
      <c r="E94" s="554"/>
      <c r="F94" s="554"/>
      <c r="G94" s="583"/>
      <c r="H94" s="583"/>
      <c r="I94" s="583"/>
      <c r="J94" s="583"/>
      <c r="K94" s="584"/>
      <c r="L94" s="585"/>
      <c r="M94" s="586"/>
      <c r="N94" s="1152"/>
      <c r="O94" s="1152"/>
      <c r="P94" s="2624"/>
      <c r="Q94" s="504"/>
    </row>
    <row r="95" spans="1:17" ht="14.5" thickBot="1">
      <c r="A95" s="534"/>
      <c r="B95" s="543"/>
      <c r="C95" s="560"/>
      <c r="D95" s="536"/>
      <c r="E95" s="536"/>
      <c r="F95" s="536"/>
      <c r="G95" s="536"/>
      <c r="H95" s="536"/>
      <c r="I95" s="536"/>
      <c r="J95" s="536"/>
      <c r="K95" s="536"/>
      <c r="L95" s="536"/>
      <c r="M95" s="537"/>
      <c r="N95" s="1153"/>
      <c r="O95" s="1153"/>
      <c r="P95" s="2624"/>
      <c r="Q95" s="504"/>
    </row>
    <row r="96" spans="1:17" ht="14.5" thickTop="1">
      <c r="A96" s="534"/>
      <c r="B96" s="538">
        <f>B30</f>
        <v>111</v>
      </c>
      <c r="C96" s="554"/>
      <c r="D96" s="554"/>
      <c r="E96" s="554"/>
      <c r="F96" s="554"/>
      <c r="G96" s="583"/>
      <c r="H96" s="583"/>
      <c r="I96" s="583"/>
      <c r="J96" s="583"/>
      <c r="K96" s="584"/>
      <c r="L96" s="585"/>
      <c r="M96" s="586"/>
      <c r="N96" s="1152"/>
      <c r="O96" s="1152"/>
      <c r="P96" s="2624"/>
      <c r="Q96" s="504"/>
    </row>
    <row r="97" spans="1:17" ht="14.5" thickBot="1">
      <c r="A97" s="534"/>
      <c r="B97" s="543"/>
      <c r="C97" s="560"/>
      <c r="D97" s="536"/>
      <c r="E97" s="536"/>
      <c r="F97" s="536"/>
      <c r="G97" s="536"/>
      <c r="H97" s="536"/>
      <c r="I97" s="536"/>
      <c r="J97" s="536"/>
      <c r="K97" s="536"/>
      <c r="L97" s="536"/>
      <c r="M97" s="537"/>
      <c r="N97" s="1153"/>
      <c r="O97" s="1153"/>
      <c r="P97" s="2624"/>
      <c r="Q97" s="504"/>
    </row>
    <row r="98" spans="1:17" ht="14.5" thickTop="1">
      <c r="A98" s="534"/>
      <c r="B98" s="546">
        <f>B31</f>
        <v>111</v>
      </c>
      <c r="C98" s="554"/>
      <c r="D98" s="554"/>
      <c r="E98" s="554"/>
      <c r="F98" s="554"/>
      <c r="G98" s="587"/>
      <c r="H98" s="587"/>
      <c r="I98" s="587"/>
      <c r="J98" s="587"/>
      <c r="K98" s="588"/>
      <c r="L98" s="589"/>
      <c r="M98" s="590"/>
      <c r="N98" s="1152"/>
      <c r="O98" s="1152"/>
      <c r="P98" s="2624"/>
      <c r="Q98" s="504"/>
    </row>
    <row r="99" spans="1:17" ht="14.5" thickBot="1">
      <c r="A99" s="2630"/>
      <c r="B99" s="569"/>
      <c r="C99" s="570"/>
      <c r="D99" s="570"/>
      <c r="E99" s="570"/>
      <c r="F99" s="570"/>
      <c r="G99" s="591"/>
      <c r="H99" s="591"/>
      <c r="I99" s="591"/>
      <c r="J99" s="591"/>
      <c r="K99" s="591"/>
      <c r="L99" s="591"/>
      <c r="M99" s="592"/>
      <c r="N99" s="1153"/>
      <c r="O99" s="1153"/>
      <c r="P99" s="2624"/>
      <c r="Q99" s="504"/>
    </row>
    <row r="100" spans="1:17">
      <c r="A100" s="527" t="s">
        <v>2558</v>
      </c>
      <c r="B100" s="528" t="s">
        <v>2676</v>
      </c>
      <c r="C100" s="530"/>
      <c r="D100" s="530"/>
      <c r="E100" s="530"/>
      <c r="F100" s="530"/>
      <c r="G100" s="530"/>
      <c r="H100" s="530"/>
      <c r="I100" s="530"/>
      <c r="J100" s="530"/>
      <c r="K100" s="531"/>
      <c r="L100" s="532"/>
      <c r="M100" s="533"/>
      <c r="N100" s="1152"/>
      <c r="O100" s="1152"/>
      <c r="P100" s="2624"/>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4.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4.5" thickBot="1">
      <c r="A104" s="553"/>
      <c r="B104" s="543"/>
      <c r="C104" s="560"/>
      <c r="D104" s="536"/>
      <c r="E104" s="536"/>
      <c r="F104" s="536"/>
      <c r="G104" s="536"/>
      <c r="H104" s="536"/>
      <c r="I104" s="536"/>
      <c r="J104" s="536"/>
      <c r="K104" s="536"/>
      <c r="L104" s="536"/>
      <c r="M104" s="537"/>
      <c r="N104" s="1153"/>
      <c r="O104" s="1153"/>
      <c r="P104" s="2625"/>
      <c r="Q104" s="559"/>
    </row>
    <row r="105" spans="1:17" ht="14.5" thickTop="1">
      <c r="A105" s="599"/>
      <c r="B105" s="538" t="s">
        <v>2609</v>
      </c>
      <c r="C105" s="554"/>
      <c r="D105" s="554"/>
      <c r="E105" s="583"/>
      <c r="F105" s="583"/>
      <c r="G105" s="583"/>
      <c r="H105" s="583"/>
      <c r="I105" s="583"/>
      <c r="J105" s="583"/>
      <c r="K105" s="584"/>
      <c r="L105" s="585"/>
      <c r="M105" s="586"/>
      <c r="N105" s="1152"/>
      <c r="O105" s="1152"/>
      <c r="P105" s="2624"/>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4.5" thickTop="1">
      <c r="A107" s="599"/>
      <c r="B107" s="538" t="s">
        <v>2611</v>
      </c>
      <c r="C107" s="554"/>
      <c r="D107" s="554"/>
      <c r="E107" s="554"/>
      <c r="F107" s="583"/>
      <c r="G107" s="583"/>
      <c r="H107" s="583"/>
      <c r="I107" s="583"/>
      <c r="J107" s="583"/>
      <c r="K107" s="584"/>
      <c r="L107" s="585"/>
      <c r="M107" s="586"/>
      <c r="N107" s="1152"/>
      <c r="O107" s="1152"/>
      <c r="P107" s="2624"/>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4.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4.5" thickTop="1">
      <c r="A112" s="593"/>
      <c r="B112" s="538" t="s">
        <v>2613</v>
      </c>
      <c r="C112" s="554"/>
      <c r="D112" s="554"/>
      <c r="E112" s="554"/>
      <c r="F112" s="554"/>
      <c r="G112" s="554"/>
      <c r="H112" s="583"/>
      <c r="I112" s="583"/>
      <c r="J112" s="583"/>
      <c r="K112" s="584"/>
      <c r="L112" s="585"/>
      <c r="M112" s="586"/>
      <c r="N112" s="1154"/>
      <c r="O112" s="1154"/>
      <c r="P112" s="2625"/>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4.5" thickTop="1">
      <c r="A114" s="599"/>
      <c r="B114" s="538" t="s">
        <v>2677</v>
      </c>
      <c r="C114" s="554"/>
      <c r="D114" s="554"/>
      <c r="E114" s="583"/>
      <c r="F114" s="583"/>
      <c r="G114" s="583"/>
      <c r="H114" s="583"/>
      <c r="I114" s="583"/>
      <c r="J114" s="583"/>
      <c r="K114" s="584"/>
      <c r="L114" s="585"/>
      <c r="M114" s="586"/>
      <c r="N114" s="1152"/>
      <c r="O114" s="1152"/>
      <c r="P114" s="2624"/>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4.5" thickTop="1">
      <c r="A116" s="599"/>
      <c r="B116" s="538" t="s">
        <v>2678</v>
      </c>
      <c r="C116" s="554"/>
      <c r="D116" s="554"/>
      <c r="E116" s="554"/>
      <c r="F116" s="554"/>
      <c r="G116" s="554"/>
      <c r="H116" s="583"/>
      <c r="I116" s="583"/>
      <c r="J116" s="583"/>
      <c r="K116" s="584"/>
      <c r="L116" s="585"/>
      <c r="M116" s="586"/>
      <c r="N116" s="1152"/>
      <c r="O116" s="1152"/>
      <c r="P116" s="2624"/>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4.5" thickTop="1">
      <c r="A118" s="599"/>
      <c r="B118" s="538" t="s">
        <v>2679</v>
      </c>
      <c r="C118" s="627"/>
      <c r="D118" s="627"/>
      <c r="E118" s="627"/>
      <c r="F118" s="627"/>
      <c r="G118" s="627"/>
      <c r="H118" s="555"/>
      <c r="I118" s="555"/>
      <c r="J118" s="555"/>
      <c r="K118" s="555"/>
      <c r="L118" s="556"/>
      <c r="M118" s="557"/>
      <c r="N118" s="1152"/>
      <c r="O118" s="1152"/>
      <c r="P118" s="2624"/>
      <c r="Q118" s="504"/>
    </row>
    <row r="119" spans="1:17" ht="14.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4.5" thickTop="1">
      <c r="A120" s="593"/>
      <c r="B120" s="538" t="s">
        <v>2680</v>
      </c>
      <c r="C120" s="583"/>
      <c r="D120" s="583"/>
      <c r="E120" s="583"/>
      <c r="F120" s="583"/>
      <c r="G120" s="555"/>
      <c r="H120" s="555"/>
      <c r="I120" s="555"/>
      <c r="J120" s="555"/>
      <c r="K120" s="555"/>
      <c r="L120" s="556"/>
      <c r="M120" s="557"/>
      <c r="N120" s="1154"/>
      <c r="O120" s="1154"/>
      <c r="P120" s="2625"/>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4.5" thickTop="1">
      <c r="A122" s="599"/>
      <c r="B122" s="538" t="s">
        <v>2615</v>
      </c>
      <c r="C122" s="554"/>
      <c r="D122" s="554"/>
      <c r="E122" s="554"/>
      <c r="F122" s="583"/>
      <c r="G122" s="583"/>
      <c r="H122" s="583"/>
      <c r="I122" s="583"/>
      <c r="J122" s="583"/>
      <c r="K122" s="584"/>
      <c r="L122" s="585"/>
      <c r="M122" s="586"/>
      <c r="N122" s="1152"/>
      <c r="O122" s="1152"/>
      <c r="P122" s="2624"/>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28.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5"/>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4.5" thickBot="1">
      <c r="A127" s="553"/>
      <c r="B127" s="543"/>
      <c r="C127" s="560"/>
      <c r="D127" s="536"/>
      <c r="E127" s="536"/>
      <c r="F127" s="536"/>
      <c r="G127" s="560"/>
      <c r="H127" s="562"/>
      <c r="I127" s="562"/>
      <c r="J127" s="562"/>
      <c r="K127" s="562"/>
      <c r="L127" s="562"/>
      <c r="M127" s="563"/>
      <c r="N127" s="1154"/>
      <c r="O127" s="1154"/>
      <c r="P127" s="2625"/>
      <c r="Q127" s="559"/>
    </row>
    <row r="128" spans="1:17" ht="14.5" thickTop="1">
      <c r="A128" s="599"/>
      <c r="B128" s="538">
        <f>B45</f>
        <v>111</v>
      </c>
      <c r="C128" s="554"/>
      <c r="D128" s="554"/>
      <c r="E128" s="554"/>
      <c r="F128" s="554"/>
      <c r="G128" s="583"/>
      <c r="H128" s="583"/>
      <c r="I128" s="583"/>
      <c r="J128" s="583"/>
      <c r="K128" s="584"/>
      <c r="L128" s="585"/>
      <c r="M128" s="586"/>
      <c r="N128" s="1152"/>
      <c r="O128" s="1152"/>
      <c r="P128" s="2624"/>
      <c r="Q128" s="504"/>
    </row>
    <row r="129" spans="1:17" ht="14.5" thickBot="1">
      <c r="A129" s="534"/>
      <c r="B129" s="543"/>
      <c r="C129" s="560"/>
      <c r="D129" s="536"/>
      <c r="E129" s="536"/>
      <c r="F129" s="536"/>
      <c r="G129" s="536"/>
      <c r="H129" s="536"/>
      <c r="I129" s="536"/>
      <c r="J129" s="536"/>
      <c r="K129" s="536"/>
      <c r="L129" s="536"/>
      <c r="M129" s="537"/>
      <c r="N129" s="1153"/>
      <c r="O129" s="1153"/>
      <c r="P129" s="2624"/>
      <c r="Q129" s="504"/>
    </row>
    <row r="130" spans="1:17" ht="14.5" thickTop="1">
      <c r="A130" s="599"/>
      <c r="B130" s="546">
        <f>B46</f>
        <v>111</v>
      </c>
      <c r="C130" s="554"/>
      <c r="D130" s="554"/>
      <c r="E130" s="554"/>
      <c r="F130" s="554"/>
      <c r="G130" s="587"/>
      <c r="H130" s="587"/>
      <c r="I130" s="587"/>
      <c r="J130" s="587"/>
      <c r="K130" s="523"/>
      <c r="L130" s="524"/>
      <c r="M130" s="590"/>
      <c r="N130" s="1152"/>
      <c r="O130" s="1152"/>
      <c r="P130" s="2624"/>
      <c r="Q130" s="504"/>
    </row>
    <row r="131" spans="1:17" ht="14.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43 E43 G43 I43" xr:uid="{00000000-0002-0000-1F00-000002000000}">
      <formula1>内部装修维护情况</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E18 G18 I18 C18" xr:uid="{00000000-0002-0000-1F00-000004000000}">
      <formula1>交通便捷度</formula1>
    </dataValidation>
    <dataValidation type="list" allowBlank="1" showInputMessage="1" showErrorMessage="1" sqref="E24 G24 I24 C24" xr:uid="{00000000-0002-0000-1F00-000005000000}">
      <formula1>环境</formula1>
    </dataValidation>
    <dataValidation type="list" allowBlank="1" showInputMessage="1" showErrorMessage="1" sqref="C25 E25 G25 I25" xr:uid="{00000000-0002-0000-1F00-000006000000}">
      <formula1>商业临街状况</formula1>
    </dataValidation>
    <dataValidation type="list" allowBlank="1" showInputMessage="1" showErrorMessage="1" sqref="C27 E27 G27 I27" xr:uid="{00000000-0002-0000-1F00-000007000000}">
      <formula1>商业人流量</formula1>
    </dataValidation>
    <dataValidation type="list" allowBlank="1" showInputMessage="1" showErrorMessage="1" sqref="C28 E28 G28 I28" xr:uid="{00000000-0002-0000-1F00-000008000000}">
      <formula1>商业楼层</formula1>
    </dataValidation>
    <dataValidation type="list" allowBlank="1" showInputMessage="1" showErrorMessage="1" sqref="C32 E32 G32 I32" xr:uid="{00000000-0002-0000-1F00-000009000000}">
      <formula1>商业类型</formula1>
    </dataValidation>
    <dataValidation type="list" allowBlank="1" showInputMessage="1" showErrorMessage="1" sqref="C34 E34 G34 I34" xr:uid="{00000000-0002-0000-1F00-00000A000000}">
      <formula1>商业建筑结构</formula1>
    </dataValidation>
    <dataValidation type="list" allowBlank="1" showInputMessage="1" showErrorMessage="1" sqref="C35 E35 G35 I35" xr:uid="{00000000-0002-0000-1F00-00000B000000}">
      <formula1>商业公共部分装修</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41 E41 G41 I41" xr:uid="{00000000-0002-0000-1F00-00000D000000}">
      <formula1>商业进深比</formula1>
    </dataValidation>
    <dataValidation type="list" allowBlank="1" showInputMessage="1" showErrorMessage="1" sqref="C42 E42 G42 I42" xr:uid="{00000000-0002-0000-1F00-00000E000000}">
      <formula1>商业内部装修</formula1>
    </dataValidation>
    <dataValidation type="list" allowBlank="1" showInputMessage="1" showErrorMessage="1" sqref="E9 G9 I9" xr:uid="{00000000-0002-0000-1F00-00000F000000}">
      <formula1>商业用途</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8 E8 G8 I8" xr:uid="{00000000-0002-0000-1F00-000012000000}">
      <formula1>商业交易情况</formula1>
    </dataValidation>
    <dataValidation type="list" allowBlank="1" showInputMessage="1" showErrorMessage="1" sqref="C16 E16 G16 I16" xr:uid="{00000000-0002-0000-1F00-000013000000}">
      <formula1>商业繁华度</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5.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2523</v>
      </c>
      <c r="B1" s="2663" t="s">
        <v>2681</v>
      </c>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106874.1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2640</v>
      </c>
      <c r="B4" s="402"/>
      <c r="C4" s="3319" t="s">
        <v>2641</v>
      </c>
      <c r="D4" s="3332"/>
      <c r="E4" s="3333" t="s">
        <v>2642</v>
      </c>
      <c r="F4" s="3334"/>
      <c r="G4" s="3319" t="s">
        <v>2643</v>
      </c>
      <c r="H4" s="3332"/>
      <c r="I4" s="3319" t="s">
        <v>2644</v>
      </c>
      <c r="J4" s="3332"/>
      <c r="K4" s="610" t="s">
        <v>2645</v>
      </c>
      <c r="L4" s="1130"/>
      <c r="M4" s="1131"/>
      <c r="N4" s="1131"/>
      <c r="O4" s="1131"/>
      <c r="P4" s="3401" t="s">
        <v>2646</v>
      </c>
      <c r="Q4" s="3402"/>
      <c r="R4" s="3405" t="s">
        <v>2642</v>
      </c>
      <c r="S4" s="3406"/>
      <c r="T4" s="3405" t="s">
        <v>2643</v>
      </c>
      <c r="U4" s="3406"/>
      <c r="V4" s="3407" t="s">
        <v>2644</v>
      </c>
      <c r="W4" s="3407"/>
      <c r="X4" s="2664"/>
      <c r="Y4" s="3405" t="s">
        <v>2646</v>
      </c>
      <c r="Z4" s="3406"/>
      <c r="AA4" s="3409" t="s">
        <v>2642</v>
      </c>
      <c r="AB4" s="3409" t="s">
        <v>2643</v>
      </c>
      <c r="AC4" s="3398" t="s">
        <v>2644</v>
      </c>
    </row>
    <row r="5" spans="1:29">
      <c r="A5" s="404"/>
      <c r="B5" s="405"/>
      <c r="C5" s="3349" t="s">
        <v>2537</v>
      </c>
      <c r="D5" s="3350"/>
      <c r="E5" s="3356" t="s">
        <v>2538</v>
      </c>
      <c r="F5" s="3357"/>
      <c r="G5" s="3349" t="s">
        <v>2539</v>
      </c>
      <c r="H5" s="3350"/>
      <c r="I5" s="3349" t="s">
        <v>2540</v>
      </c>
      <c r="J5" s="3350"/>
      <c r="K5" s="610"/>
      <c r="L5" s="1130"/>
      <c r="M5" s="1131"/>
      <c r="N5" s="1131"/>
      <c r="O5" s="1131"/>
      <c r="P5" s="3403"/>
      <c r="Q5" s="3338"/>
      <c r="R5" s="3343"/>
      <c r="S5" s="3344"/>
      <c r="T5" s="3343"/>
      <c r="U5" s="3344"/>
      <c r="V5" s="3328"/>
      <c r="W5" s="3328"/>
      <c r="X5" s="1812"/>
      <c r="Y5" s="3343"/>
      <c r="Z5" s="3344"/>
      <c r="AA5" s="3330"/>
      <c r="AB5" s="3330"/>
      <c r="AC5" s="3399"/>
    </row>
    <row r="6" spans="1:29" ht="15" thickBot="1">
      <c r="A6" s="406"/>
      <c r="B6" s="407"/>
      <c r="C6" s="3347" t="s">
        <v>2541</v>
      </c>
      <c r="D6" s="3348"/>
      <c r="E6" s="3354" t="s">
        <v>2541</v>
      </c>
      <c r="F6" s="3355"/>
      <c r="G6" s="3347" t="s">
        <v>2541</v>
      </c>
      <c r="H6" s="3348"/>
      <c r="I6" s="3347" t="s">
        <v>2541</v>
      </c>
      <c r="J6" s="3348"/>
      <c r="K6" s="610" t="s">
        <v>2542</v>
      </c>
      <c r="L6" s="1130"/>
      <c r="M6" s="1131"/>
      <c r="N6" s="1131"/>
      <c r="O6" s="1131"/>
      <c r="P6" s="3404"/>
      <c r="Q6" s="3340"/>
      <c r="R6" s="3343"/>
      <c r="S6" s="3344"/>
      <c r="T6" s="3345"/>
      <c r="U6" s="3346"/>
      <c r="V6" s="3328"/>
      <c r="W6" s="3328"/>
      <c r="X6" s="1812"/>
      <c r="Y6" s="3345"/>
      <c r="Z6" s="3346"/>
      <c r="AA6" s="3331"/>
      <c r="AB6" s="3331"/>
      <c r="AC6" s="3400"/>
    </row>
    <row r="7" spans="1:29" s="117" customFormat="1" ht="14.5" thickBot="1">
      <c r="A7" s="408" t="s">
        <v>2543</v>
      </c>
      <c r="B7" s="409"/>
      <c r="C7" s="410">
        <f>'数据-取费表'!B2</f>
        <v>43913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08" t="s">
        <v>2544</v>
      </c>
      <c r="Q7" s="3353"/>
      <c r="R7" s="770" t="s">
        <v>17</v>
      </c>
      <c r="S7" s="771">
        <f t="shared" ref="S7:S15" si="0">F7</f>
        <v>0</v>
      </c>
      <c r="T7" s="770" t="s">
        <v>17</v>
      </c>
      <c r="U7" s="771">
        <f t="shared" ref="U7:U15" si="1">H7</f>
        <v>0</v>
      </c>
      <c r="V7" s="770" t="s">
        <v>17</v>
      </c>
      <c r="W7" s="771">
        <f t="shared" ref="W7:W15" si="2">J7</f>
        <v>0</v>
      </c>
      <c r="X7" s="772"/>
      <c r="Y7" s="3351" t="s">
        <v>2544</v>
      </c>
      <c r="Z7" s="3352"/>
      <c r="AA7" s="773" t="e">
        <f>D7/F7</f>
        <v>#DIV/0!</v>
      </c>
      <c r="AB7" s="773" t="e">
        <f>D7/H7</f>
        <v>#DIV/0!</v>
      </c>
      <c r="AC7" s="2665" t="e">
        <f>D7/J7</f>
        <v>#DIV/0!</v>
      </c>
    </row>
    <row r="8" spans="1:29" s="117" customFormat="1" ht="14.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08" t="s">
        <v>2547</v>
      </c>
      <c r="Q8" s="3352"/>
      <c r="R8" s="770" t="s">
        <v>17</v>
      </c>
      <c r="S8" s="771">
        <f t="shared" si="0"/>
        <v>0</v>
      </c>
      <c r="T8" s="770" t="s">
        <v>17</v>
      </c>
      <c r="U8" s="771">
        <f t="shared" si="1"/>
        <v>0</v>
      </c>
      <c r="V8" s="770" t="s">
        <v>17</v>
      </c>
      <c r="W8" s="771">
        <f t="shared" si="2"/>
        <v>0</v>
      </c>
      <c r="X8" s="772"/>
      <c r="Y8" s="3351" t="s">
        <v>2547</v>
      </c>
      <c r="Z8" s="3352"/>
      <c r="AA8" s="773" t="e">
        <f t="shared" ref="AA8:AA47" si="3">D8/F8</f>
        <v>#DIV/0!</v>
      </c>
      <c r="AB8" s="773" t="e">
        <f t="shared" ref="AB8:AB47" si="4">D8/H8</f>
        <v>#DIV/0!</v>
      </c>
      <c r="AC8" s="2665"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21"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2665">
        <f t="shared" si="5"/>
        <v>1</v>
      </c>
    </row>
    <row r="10" spans="1:29" s="427" customFormat="1" ht="28">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21"/>
      <c r="Q10" s="1794"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2665">
        <f t="shared" si="5"/>
        <v>1</v>
      </c>
    </row>
    <row r="11" spans="1:29" ht="15.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21"/>
      <c r="Q11" s="1794"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2665" t="e">
        <f t="shared" si="5"/>
        <v>#N/A</v>
      </c>
    </row>
    <row r="12" spans="1:29" s="117" customFormat="1" ht="15.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321"/>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2665">
        <f>D12/J12</f>
        <v>1</v>
      </c>
    </row>
    <row r="13" spans="1:29" ht="15.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321"/>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2665">
        <f t="shared" si="5"/>
        <v>1</v>
      </c>
    </row>
    <row r="14" spans="1:29" ht="16"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321"/>
      <c r="Q14" s="1794">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2665">
        <f t="shared" si="5"/>
        <v>1</v>
      </c>
    </row>
    <row r="15" spans="1:29" ht="70">
      <c r="A15" s="440" t="s">
        <v>2554</v>
      </c>
      <c r="B15" s="629" t="s">
        <v>2682</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64" t="s">
        <v>2555</v>
      </c>
      <c r="Q15" s="1809" t="str">
        <f t="shared" si="6"/>
        <v>办公集聚程度</v>
      </c>
      <c r="R15" s="774" t="s">
        <v>17</v>
      </c>
      <c r="S15" s="775">
        <f t="shared" si="0"/>
        <v>100</v>
      </c>
      <c r="T15" s="774" t="s">
        <v>17</v>
      </c>
      <c r="U15" s="775">
        <f t="shared" si="1"/>
        <v>100</v>
      </c>
      <c r="V15" s="774" t="s">
        <v>17</v>
      </c>
      <c r="W15" s="775">
        <f t="shared" si="2"/>
        <v>100</v>
      </c>
      <c r="X15" s="1812"/>
      <c r="Y15" s="3324" t="s">
        <v>2555</v>
      </c>
      <c r="Z15" s="1813" t="str">
        <f t="shared" si="7"/>
        <v>办公集聚程度</v>
      </c>
      <c r="AA15" s="1810">
        <f t="shared" si="3"/>
        <v>1</v>
      </c>
      <c r="AB15" s="1810">
        <f t="shared" si="4"/>
        <v>1</v>
      </c>
      <c r="AC15" s="2668">
        <f t="shared" si="5"/>
        <v>1</v>
      </c>
    </row>
    <row r="16" spans="1:29" ht="15.5">
      <c r="A16" s="428"/>
      <c r="B16" s="630"/>
      <c r="C16" s="2607"/>
      <c r="D16" s="448"/>
      <c r="E16" s="447"/>
      <c r="F16" s="448"/>
      <c r="G16" s="2607"/>
      <c r="H16" s="450"/>
      <c r="I16" s="447"/>
      <c r="J16" s="448"/>
      <c r="K16" s="615"/>
      <c r="L16" s="1140"/>
      <c r="M16" s="1131"/>
      <c r="N16" s="1131"/>
      <c r="O16" s="1131"/>
      <c r="P16" s="3365"/>
      <c r="Q16" s="1809"/>
      <c r="R16" s="774"/>
      <c r="S16" s="775"/>
      <c r="T16" s="774"/>
      <c r="U16" s="775"/>
      <c r="V16" s="774"/>
      <c r="W16" s="775"/>
      <c r="X16" s="1812"/>
      <c r="Y16" s="3325"/>
      <c r="Z16" s="1813"/>
      <c r="AA16" s="1810">
        <v>1</v>
      </c>
      <c r="AB16" s="1810">
        <v>1</v>
      </c>
      <c r="AC16" s="2668">
        <v>1</v>
      </c>
    </row>
    <row r="17" spans="1:29" ht="84">
      <c r="A17" s="428"/>
      <c r="B17" s="631" t="s">
        <v>2093</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6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2668">
        <f t="shared" si="5"/>
        <v>1</v>
      </c>
    </row>
    <row r="18" spans="1:29" ht="15.5">
      <c r="A18" s="428"/>
      <c r="B18" s="632"/>
      <c r="C18" s="2670"/>
      <c r="D18" s="450"/>
      <c r="E18" s="2605"/>
      <c r="F18" s="450"/>
      <c r="G18" s="2606"/>
      <c r="H18" s="448"/>
      <c r="I18" s="2606"/>
      <c r="J18" s="448"/>
      <c r="K18" s="615"/>
      <c r="L18" s="1140"/>
      <c r="M18" s="1131"/>
      <c r="N18" s="1131"/>
      <c r="O18" s="1131"/>
      <c r="P18" s="3365"/>
      <c r="Q18" s="1809"/>
      <c r="R18" s="774"/>
      <c r="S18" s="775"/>
      <c r="T18" s="774"/>
      <c r="U18" s="775"/>
      <c r="V18" s="774"/>
      <c r="W18" s="775"/>
      <c r="X18" s="1812"/>
      <c r="Y18" s="3325"/>
      <c r="Z18" s="1813"/>
      <c r="AA18" s="1810">
        <v>1</v>
      </c>
      <c r="AB18" s="1810">
        <v>1</v>
      </c>
      <c r="AC18" s="2668">
        <v>1</v>
      </c>
    </row>
    <row r="19" spans="1:29" ht="42">
      <c r="A19" s="428"/>
      <c r="B19" s="631" t="s">
        <v>2683</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65"/>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2668">
        <f t="shared" si="5"/>
        <v>1</v>
      </c>
    </row>
    <row r="20" spans="1:29" ht="15.5">
      <c r="A20" s="428"/>
      <c r="B20" s="632"/>
      <c r="C20" s="2607"/>
      <c r="D20" s="448"/>
      <c r="E20" s="2600"/>
      <c r="F20" s="448"/>
      <c r="G20" s="2601"/>
      <c r="H20" s="448"/>
      <c r="I20" s="2601"/>
      <c r="J20" s="448"/>
      <c r="K20" s="615"/>
      <c r="L20" s="1140"/>
      <c r="M20" s="1131"/>
      <c r="N20" s="1131"/>
      <c r="O20" s="1131"/>
      <c r="P20" s="3365"/>
      <c r="Q20" s="1809"/>
      <c r="R20" s="774"/>
      <c r="S20" s="775"/>
      <c r="T20" s="774"/>
      <c r="U20" s="775"/>
      <c r="V20" s="774"/>
      <c r="W20" s="775"/>
      <c r="X20" s="1812"/>
      <c r="Y20" s="3325"/>
      <c r="Z20" s="1813"/>
      <c r="AA20" s="1810">
        <v>1</v>
      </c>
      <c r="AB20" s="1810">
        <v>1</v>
      </c>
      <c r="AC20" s="2668">
        <v>1</v>
      </c>
    </row>
    <row r="21" spans="1:29" ht="28">
      <c r="A21" s="428"/>
      <c r="B21" s="633" t="s">
        <v>2684</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65"/>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2668">
        <f t="shared" ref="AC21" si="10">D21/J21</f>
        <v>1</v>
      </c>
    </row>
    <row r="22" spans="1:29" ht="15.5">
      <c r="A22" s="428"/>
      <c r="B22" s="633"/>
      <c r="C22" s="2670"/>
      <c r="D22" s="448"/>
      <c r="E22" s="447"/>
      <c r="F22" s="448"/>
      <c r="G22" s="2607"/>
      <c r="H22" s="448"/>
      <c r="I22" s="2607"/>
      <c r="J22" s="448"/>
      <c r="K22" s="1383"/>
      <c r="L22" s="1140"/>
      <c r="M22" s="1131"/>
      <c r="N22" s="1131"/>
      <c r="O22" s="1131"/>
      <c r="P22" s="3365"/>
      <c r="Q22" s="1809"/>
      <c r="R22" s="774"/>
      <c r="S22" s="775"/>
      <c r="T22" s="774"/>
      <c r="U22" s="775"/>
      <c r="V22" s="774"/>
      <c r="W22" s="775"/>
      <c r="X22" s="1812"/>
      <c r="Y22" s="3325"/>
      <c r="Z22" s="1813"/>
      <c r="AA22" s="1810">
        <v>1</v>
      </c>
      <c r="AB22" s="1810">
        <v>1</v>
      </c>
      <c r="AC22" s="2668">
        <v>1</v>
      </c>
    </row>
    <row r="23" spans="1:29" ht="56">
      <c r="A23" s="428"/>
      <c r="B23" s="631" t="s">
        <v>2685</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65"/>
      <c r="Q23" s="1809" t="str">
        <f>B23</f>
        <v>环境质量</v>
      </c>
      <c r="R23" s="774" t="s">
        <v>17</v>
      </c>
      <c r="S23" s="775">
        <f>F23</f>
        <v>100</v>
      </c>
      <c r="T23" s="774" t="s">
        <v>17</v>
      </c>
      <c r="U23" s="775">
        <f>H23</f>
        <v>100</v>
      </c>
      <c r="V23" s="774" t="s">
        <v>17</v>
      </c>
      <c r="W23" s="775">
        <f>J23</f>
        <v>100</v>
      </c>
      <c r="X23" s="1812"/>
      <c r="Y23" s="3325"/>
      <c r="Z23" s="1813" t="str">
        <f>Q23</f>
        <v>环境质量</v>
      </c>
      <c r="AA23" s="1810">
        <f t="shared" si="3"/>
        <v>1</v>
      </c>
      <c r="AB23" s="1810">
        <f t="shared" si="4"/>
        <v>1</v>
      </c>
      <c r="AC23" s="2668">
        <f t="shared" si="5"/>
        <v>1</v>
      </c>
    </row>
    <row r="24" spans="1:29" ht="15.5">
      <c r="A24" s="428"/>
      <c r="B24" s="633"/>
      <c r="C24" s="2607"/>
      <c r="D24" s="448"/>
      <c r="E24" s="2600"/>
      <c r="F24" s="448"/>
      <c r="G24" s="2601"/>
      <c r="H24" s="448"/>
      <c r="I24" s="2601"/>
      <c r="J24" s="448"/>
      <c r="K24" s="615"/>
      <c r="L24" s="1140"/>
      <c r="M24" s="1131"/>
      <c r="N24" s="1131"/>
      <c r="O24" s="1131"/>
      <c r="P24" s="3365"/>
      <c r="Q24" s="1809"/>
      <c r="R24" s="774"/>
      <c r="S24" s="775"/>
      <c r="T24" s="774"/>
      <c r="U24" s="775"/>
      <c r="V24" s="774"/>
      <c r="W24" s="775"/>
      <c r="X24" s="1812"/>
      <c r="Y24" s="3325"/>
      <c r="Z24" s="1813"/>
      <c r="AA24" s="1810">
        <v>1</v>
      </c>
      <c r="AB24" s="1810">
        <v>1</v>
      </c>
      <c r="AC24" s="2668">
        <v>1</v>
      </c>
    </row>
    <row r="25" spans="1:29" ht="28">
      <c r="A25" s="404"/>
      <c r="B25" s="631"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365"/>
      <c r="Q25" s="1809" t="str">
        <f>B25</f>
        <v>毗邻道路的类型与等级</v>
      </c>
      <c r="R25" s="774" t="s">
        <v>17</v>
      </c>
      <c r="S25" s="775">
        <f>F25</f>
        <v>100</v>
      </c>
      <c r="T25" s="774" t="s">
        <v>17</v>
      </c>
      <c r="U25" s="775">
        <f>H25</f>
        <v>100</v>
      </c>
      <c r="V25" s="774" t="s">
        <v>17</v>
      </c>
      <c r="W25" s="775">
        <f>J25</f>
        <v>100</v>
      </c>
      <c r="X25" s="1812"/>
      <c r="Y25" s="3325"/>
      <c r="Z25" s="1813" t="str">
        <f>Q25</f>
        <v>毗邻道路的类型与等级</v>
      </c>
      <c r="AA25" s="1810">
        <f t="shared" si="3"/>
        <v>1</v>
      </c>
      <c r="AB25" s="1810">
        <f t="shared" si="4"/>
        <v>1</v>
      </c>
      <c r="AC25" s="2668">
        <f t="shared" si="5"/>
        <v>1</v>
      </c>
    </row>
    <row r="26" spans="1:29" ht="15.5">
      <c r="A26" s="404"/>
      <c r="B26" s="632"/>
      <c r="C26" s="634"/>
      <c r="D26" s="435"/>
      <c r="E26" s="616"/>
      <c r="F26" s="435"/>
      <c r="G26" s="634"/>
      <c r="H26" s="435"/>
      <c r="I26" s="616"/>
      <c r="J26" s="435"/>
      <c r="K26" s="615"/>
      <c r="L26" s="1140"/>
      <c r="M26" s="1131"/>
      <c r="N26" s="1131"/>
      <c r="O26" s="1131"/>
      <c r="P26" s="3365"/>
      <c r="Q26" s="1809"/>
      <c r="R26" s="774"/>
      <c r="S26" s="775"/>
      <c r="T26" s="774"/>
      <c r="U26" s="775"/>
      <c r="V26" s="774"/>
      <c r="W26" s="775"/>
      <c r="X26" s="1812"/>
      <c r="Y26" s="3325"/>
      <c r="Z26" s="1813"/>
      <c r="AA26" s="1810">
        <v>1</v>
      </c>
      <c r="AB26" s="1810">
        <v>1</v>
      </c>
      <c r="AC26" s="2668">
        <v>1</v>
      </c>
    </row>
    <row r="27" spans="1:29" ht="15.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65"/>
      <c r="Q27" s="1809" t="str">
        <f t="shared" ref="Q27:Q47" si="11">B27</f>
        <v>楼层</v>
      </c>
      <c r="R27" s="774" t="s">
        <v>17</v>
      </c>
      <c r="S27" s="775">
        <f>F27</f>
        <v>100</v>
      </c>
      <c r="T27" s="774" t="s">
        <v>17</v>
      </c>
      <c r="U27" s="775">
        <f>H27</f>
        <v>100</v>
      </c>
      <c r="V27" s="774" t="s">
        <v>17</v>
      </c>
      <c r="W27" s="775">
        <f>J27</f>
        <v>100</v>
      </c>
      <c r="X27" s="1812"/>
      <c r="Y27" s="3325"/>
      <c r="Z27" s="1813" t="str">
        <f>Q27</f>
        <v>楼层</v>
      </c>
      <c r="AA27" s="1810">
        <f t="shared" si="3"/>
        <v>1</v>
      </c>
      <c r="AB27" s="1810">
        <f t="shared" si="4"/>
        <v>1</v>
      </c>
      <c r="AC27" s="2668">
        <f t="shared" si="5"/>
        <v>1</v>
      </c>
    </row>
    <row r="28" spans="1:29" s="117" customFormat="1" ht="15.5">
      <c r="A28" s="431"/>
      <c r="B28" s="631" t="s">
        <v>2687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365"/>
      <c r="Q28" s="1794" t="str">
        <f t="shared" si="11"/>
        <v>朝向</v>
      </c>
      <c r="R28" s="770" t="s">
        <v>17</v>
      </c>
      <c r="S28" s="771">
        <f>F28</f>
        <v>100</v>
      </c>
      <c r="T28" s="770" t="s">
        <v>17</v>
      </c>
      <c r="U28" s="771">
        <f>H28</f>
        <v>100</v>
      </c>
      <c r="V28" s="770" t="s">
        <v>17</v>
      </c>
      <c r="W28" s="771">
        <f>J28</f>
        <v>100</v>
      </c>
      <c r="X28" s="772"/>
      <c r="Y28" s="3325"/>
      <c r="Z28" s="55" t="str">
        <f>Q28</f>
        <v>朝向</v>
      </c>
      <c r="AA28" s="1810">
        <f>D28/F28</f>
        <v>1</v>
      </c>
      <c r="AB28" s="1810">
        <f>D28/H28</f>
        <v>1</v>
      </c>
      <c r="AC28" s="2668">
        <f>D28/J28</f>
        <v>1</v>
      </c>
    </row>
    <row r="29" spans="1:29" ht="15.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365"/>
      <c r="Q29" s="1809">
        <f t="shared" si="11"/>
        <v>111</v>
      </c>
      <c r="R29" s="774" t="s">
        <v>17</v>
      </c>
      <c r="S29" s="775">
        <f t="shared" ref="S29:S47" si="12">F29</f>
        <v>100</v>
      </c>
      <c r="T29" s="774" t="s">
        <v>17</v>
      </c>
      <c r="U29" s="775">
        <f t="shared" ref="U29:U47" si="13">H29</f>
        <v>100</v>
      </c>
      <c r="V29" s="774" t="s">
        <v>17</v>
      </c>
      <c r="W29" s="775">
        <f t="shared" ref="W29:W47" si="14">J29</f>
        <v>100</v>
      </c>
      <c r="X29" s="1812"/>
      <c r="Y29" s="3325"/>
      <c r="Z29" s="1813">
        <f t="shared" ref="Z29:Z47" si="15">Q29</f>
        <v>111</v>
      </c>
      <c r="AA29" s="1810">
        <f t="shared" si="3"/>
        <v>1</v>
      </c>
      <c r="AB29" s="1810">
        <f t="shared" si="4"/>
        <v>1</v>
      </c>
      <c r="AC29" s="2668">
        <f t="shared" si="5"/>
        <v>1</v>
      </c>
    </row>
    <row r="30" spans="1:29" ht="15.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365"/>
      <c r="Q30" s="1809">
        <f t="shared" si="11"/>
        <v>111</v>
      </c>
      <c r="R30" s="774" t="s">
        <v>17</v>
      </c>
      <c r="S30" s="775">
        <f t="shared" si="12"/>
        <v>100</v>
      </c>
      <c r="T30" s="774" t="s">
        <v>17</v>
      </c>
      <c r="U30" s="775">
        <f t="shared" si="13"/>
        <v>100</v>
      </c>
      <c r="V30" s="774" t="s">
        <v>17</v>
      </c>
      <c r="W30" s="775">
        <f t="shared" si="14"/>
        <v>100</v>
      </c>
      <c r="X30" s="1812"/>
      <c r="Y30" s="3325"/>
      <c r="Z30" s="1813">
        <f t="shared" si="15"/>
        <v>111</v>
      </c>
      <c r="AA30" s="1810">
        <f t="shared" si="3"/>
        <v>1</v>
      </c>
      <c r="AB30" s="1810">
        <f t="shared" si="4"/>
        <v>1</v>
      </c>
      <c r="AC30" s="2668">
        <f t="shared" si="5"/>
        <v>1</v>
      </c>
    </row>
    <row r="31" spans="1:29" ht="15.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365"/>
      <c r="Q31" s="1809">
        <f t="shared" si="11"/>
        <v>111</v>
      </c>
      <c r="R31" s="774" t="s">
        <v>17</v>
      </c>
      <c r="S31" s="775">
        <f t="shared" si="12"/>
        <v>100</v>
      </c>
      <c r="T31" s="774" t="s">
        <v>17</v>
      </c>
      <c r="U31" s="775">
        <f t="shared" si="13"/>
        <v>100</v>
      </c>
      <c r="V31" s="774" t="s">
        <v>17</v>
      </c>
      <c r="W31" s="775">
        <f t="shared" si="14"/>
        <v>100</v>
      </c>
      <c r="X31" s="1812"/>
      <c r="Y31" s="3325"/>
      <c r="Z31" s="1813">
        <f t="shared" si="15"/>
        <v>111</v>
      </c>
      <c r="AA31" s="1810">
        <f t="shared" si="3"/>
        <v>1</v>
      </c>
      <c r="AB31" s="1810">
        <f t="shared" si="4"/>
        <v>1</v>
      </c>
      <c r="AC31" s="2668">
        <f t="shared" si="5"/>
        <v>1</v>
      </c>
    </row>
    <row r="32" spans="1:29" ht="16"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365"/>
      <c r="Q32" s="1809">
        <f t="shared" si="11"/>
        <v>111</v>
      </c>
      <c r="R32" s="774" t="s">
        <v>17</v>
      </c>
      <c r="S32" s="775">
        <f t="shared" si="12"/>
        <v>100</v>
      </c>
      <c r="T32" s="774" t="s">
        <v>17</v>
      </c>
      <c r="U32" s="775">
        <f t="shared" si="13"/>
        <v>100</v>
      </c>
      <c r="V32" s="774" t="s">
        <v>17</v>
      </c>
      <c r="W32" s="775">
        <f t="shared" si="14"/>
        <v>100</v>
      </c>
      <c r="X32" s="1812"/>
      <c r="Y32" s="3325"/>
      <c r="Z32" s="1813">
        <f t="shared" si="15"/>
        <v>111</v>
      </c>
      <c r="AA32" s="1810">
        <f t="shared" si="3"/>
        <v>1</v>
      </c>
      <c r="AB32" s="1810">
        <f t="shared" si="4"/>
        <v>1</v>
      </c>
      <c r="AC32" s="2668">
        <f t="shared" si="5"/>
        <v>1</v>
      </c>
    </row>
    <row r="33" spans="1:29" ht="15.5">
      <c r="A33" s="440" t="s">
        <v>2558</v>
      </c>
      <c r="B33" s="71" t="s">
        <v>2688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360" t="s">
        <v>2560</v>
      </c>
      <c r="Q33" s="1809" t="str">
        <f t="shared" si="11"/>
        <v>建筑类型</v>
      </c>
      <c r="R33" s="774" t="s">
        <v>17</v>
      </c>
      <c r="S33" s="775">
        <f t="shared" si="12"/>
        <v>100</v>
      </c>
      <c r="T33" s="774" t="s">
        <v>17</v>
      </c>
      <c r="U33" s="775">
        <f t="shared" si="13"/>
        <v>100</v>
      </c>
      <c r="V33" s="774" t="s">
        <v>17</v>
      </c>
      <c r="W33" s="775">
        <f t="shared" si="14"/>
        <v>100</v>
      </c>
      <c r="X33" s="1812"/>
      <c r="Y33" s="3327" t="s">
        <v>2560</v>
      </c>
      <c r="Z33" s="1813" t="str">
        <f t="shared" si="15"/>
        <v>建筑类型</v>
      </c>
      <c r="AA33" s="1810">
        <f t="shared" si="3"/>
        <v>1</v>
      </c>
      <c r="AB33" s="1810">
        <f t="shared" si="4"/>
        <v>1</v>
      </c>
      <c r="AC33" s="2668">
        <f t="shared" si="5"/>
        <v>1</v>
      </c>
    </row>
    <row r="34" spans="1:29" s="471" customFormat="1" ht="15.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61"/>
      <c r="Q34" s="776" t="str">
        <f t="shared" si="11"/>
        <v>项目建筑规模</v>
      </c>
      <c r="R34" s="777" t="s">
        <v>17</v>
      </c>
      <c r="S34" s="778" t="e">
        <f t="shared" si="12"/>
        <v>#N/A</v>
      </c>
      <c r="T34" s="777" t="s">
        <v>17</v>
      </c>
      <c r="U34" s="778" t="e">
        <f t="shared" si="13"/>
        <v>#N/A</v>
      </c>
      <c r="V34" s="777" t="s">
        <v>17</v>
      </c>
      <c r="W34" s="778" t="e">
        <f t="shared" si="14"/>
        <v>#N/A</v>
      </c>
      <c r="X34" s="779"/>
      <c r="Y34" s="3327"/>
      <c r="Z34" s="780" t="str">
        <f t="shared" si="15"/>
        <v>项目建筑规模</v>
      </c>
      <c r="AA34" s="1810" t="e">
        <f t="shared" si="3"/>
        <v>#N/A</v>
      </c>
      <c r="AB34" s="1810" t="e">
        <f t="shared" si="4"/>
        <v>#N/A</v>
      </c>
      <c r="AC34" s="2668" t="e">
        <f t="shared" si="5"/>
        <v>#N/A</v>
      </c>
    </row>
    <row r="35" spans="1:29" ht="15.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61"/>
      <c r="Q35" s="1809" t="str">
        <f t="shared" si="11"/>
        <v>建筑结构</v>
      </c>
      <c r="R35" s="774" t="s">
        <v>17</v>
      </c>
      <c r="S35" s="775">
        <f t="shared" si="12"/>
        <v>100</v>
      </c>
      <c r="T35" s="774" t="s">
        <v>17</v>
      </c>
      <c r="U35" s="775">
        <f t="shared" si="13"/>
        <v>100</v>
      </c>
      <c r="V35" s="774" t="s">
        <v>17</v>
      </c>
      <c r="W35" s="775">
        <f t="shared" si="14"/>
        <v>100</v>
      </c>
      <c r="X35" s="1812"/>
      <c r="Y35" s="3327"/>
      <c r="Z35" s="1813" t="str">
        <f t="shared" si="15"/>
        <v>建筑结构</v>
      </c>
      <c r="AA35" s="1810">
        <f t="shared" si="3"/>
        <v>1</v>
      </c>
      <c r="AB35" s="1810">
        <f t="shared" si="4"/>
        <v>1</v>
      </c>
      <c r="AC35" s="2668">
        <f t="shared" si="5"/>
        <v>1</v>
      </c>
    </row>
    <row r="36" spans="1:29" ht="15.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61"/>
      <c r="Q36" s="1809" t="str">
        <f t="shared" si="11"/>
        <v>公共部分装修</v>
      </c>
      <c r="R36" s="774" t="s">
        <v>17</v>
      </c>
      <c r="S36" s="775">
        <f t="shared" si="12"/>
        <v>100</v>
      </c>
      <c r="T36" s="774" t="s">
        <v>17</v>
      </c>
      <c r="U36" s="775">
        <f t="shared" si="13"/>
        <v>100</v>
      </c>
      <c r="V36" s="774" t="s">
        <v>17</v>
      </c>
      <c r="W36" s="775">
        <f t="shared" si="14"/>
        <v>100</v>
      </c>
      <c r="X36" s="1812"/>
      <c r="Y36" s="3327"/>
      <c r="Z36" s="1813" t="str">
        <f t="shared" si="15"/>
        <v>公共部分装修</v>
      </c>
      <c r="AA36" s="1810">
        <f t="shared" si="3"/>
        <v>1</v>
      </c>
      <c r="AB36" s="1810">
        <f t="shared" si="4"/>
        <v>1</v>
      </c>
      <c r="AC36" s="2668">
        <f t="shared" si="5"/>
        <v>1</v>
      </c>
    </row>
    <row r="37" spans="1:29" ht="15.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61"/>
      <c r="Q37" s="1809" t="str">
        <f t="shared" si="11"/>
        <v>成新度</v>
      </c>
      <c r="R37" s="774" t="s">
        <v>17</v>
      </c>
      <c r="S37" s="775" t="e">
        <f t="shared" si="12"/>
        <v>#N/A</v>
      </c>
      <c r="T37" s="774" t="s">
        <v>17</v>
      </c>
      <c r="U37" s="775" t="e">
        <f t="shared" si="13"/>
        <v>#N/A</v>
      </c>
      <c r="V37" s="774" t="s">
        <v>17</v>
      </c>
      <c r="W37" s="775" t="e">
        <f t="shared" si="14"/>
        <v>#N/A</v>
      </c>
      <c r="X37" s="1812"/>
      <c r="Y37" s="3327"/>
      <c r="Z37" s="1813" t="str">
        <f t="shared" si="15"/>
        <v>成新度</v>
      </c>
      <c r="AA37" s="1810" t="e">
        <f t="shared" si="3"/>
        <v>#N/A</v>
      </c>
      <c r="AB37" s="1810" t="e">
        <f t="shared" si="4"/>
        <v>#N/A</v>
      </c>
      <c r="AC37" s="2668" t="e">
        <f t="shared" si="5"/>
        <v>#N/A</v>
      </c>
    </row>
    <row r="38" spans="1:29" s="117" customFormat="1" ht="15.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61"/>
      <c r="Q38" s="1794" t="str">
        <f t="shared" si="11"/>
        <v>写字楼等级</v>
      </c>
      <c r="R38" s="770" t="s">
        <v>17</v>
      </c>
      <c r="S38" s="771">
        <f t="shared" si="12"/>
        <v>100</v>
      </c>
      <c r="T38" s="770" t="s">
        <v>17</v>
      </c>
      <c r="U38" s="771">
        <f t="shared" si="13"/>
        <v>100</v>
      </c>
      <c r="V38" s="770" t="s">
        <v>17</v>
      </c>
      <c r="W38" s="771">
        <f t="shared" si="14"/>
        <v>100</v>
      </c>
      <c r="X38" s="772"/>
      <c r="Y38" s="3327"/>
      <c r="Z38" s="55" t="str">
        <f t="shared" si="15"/>
        <v>写字楼等级</v>
      </c>
      <c r="AA38" s="773">
        <f t="shared" si="3"/>
        <v>1</v>
      </c>
      <c r="AB38" s="773">
        <f t="shared" si="4"/>
        <v>1</v>
      </c>
      <c r="AC38" s="2665">
        <f t="shared" si="5"/>
        <v>1</v>
      </c>
    </row>
    <row r="39" spans="1:29" ht="15.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61" t="s">
        <v>2560</v>
      </c>
      <c r="Q39" s="1809" t="str">
        <f t="shared" si="11"/>
        <v>物业管理</v>
      </c>
      <c r="R39" s="774" t="s">
        <v>17</v>
      </c>
      <c r="S39" s="775">
        <f t="shared" si="12"/>
        <v>100</v>
      </c>
      <c r="T39" s="774" t="s">
        <v>17</v>
      </c>
      <c r="U39" s="775">
        <f t="shared" si="13"/>
        <v>100</v>
      </c>
      <c r="V39" s="774" t="s">
        <v>17</v>
      </c>
      <c r="W39" s="775">
        <f t="shared" si="14"/>
        <v>100</v>
      </c>
      <c r="X39" s="1812"/>
      <c r="Y39" s="3327" t="s">
        <v>2560</v>
      </c>
      <c r="Z39" s="1813" t="str">
        <f t="shared" si="15"/>
        <v>物业管理</v>
      </c>
      <c r="AA39" s="1810">
        <f t="shared" si="3"/>
        <v>1</v>
      </c>
      <c r="AB39" s="1810">
        <f t="shared" si="4"/>
        <v>1</v>
      </c>
      <c r="AC39" s="2668">
        <f t="shared" si="5"/>
        <v>1</v>
      </c>
    </row>
    <row r="40" spans="1:29" ht="15.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61"/>
      <c r="Q40" s="1809" t="str">
        <f t="shared" si="11"/>
        <v>市政基础设施</v>
      </c>
      <c r="R40" s="774" t="s">
        <v>17</v>
      </c>
      <c r="S40" s="775">
        <f t="shared" si="12"/>
        <v>100</v>
      </c>
      <c r="T40" s="774" t="s">
        <v>17</v>
      </c>
      <c r="U40" s="775">
        <f t="shared" si="13"/>
        <v>100</v>
      </c>
      <c r="V40" s="774" t="s">
        <v>17</v>
      </c>
      <c r="W40" s="775">
        <f t="shared" si="14"/>
        <v>100</v>
      </c>
      <c r="X40" s="1812"/>
      <c r="Y40" s="3327"/>
      <c r="Z40" s="1813" t="str">
        <f t="shared" si="15"/>
        <v>市政基础设施</v>
      </c>
      <c r="AA40" s="1810">
        <f t="shared" si="3"/>
        <v>1</v>
      </c>
      <c r="AB40" s="1810">
        <f t="shared" si="4"/>
        <v>1</v>
      </c>
      <c r="AC40" s="2668">
        <f t="shared" si="5"/>
        <v>1</v>
      </c>
    </row>
    <row r="41" spans="1:29" ht="15.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61"/>
      <c r="Q41" s="1809" t="str">
        <f t="shared" si="11"/>
        <v>层高</v>
      </c>
      <c r="R41" s="774" t="s">
        <v>17</v>
      </c>
      <c r="S41" s="775">
        <f t="shared" si="12"/>
        <v>100</v>
      </c>
      <c r="T41" s="774" t="s">
        <v>17</v>
      </c>
      <c r="U41" s="775">
        <f t="shared" si="13"/>
        <v>100</v>
      </c>
      <c r="V41" s="774" t="s">
        <v>17</v>
      </c>
      <c r="W41" s="775">
        <f t="shared" si="14"/>
        <v>100</v>
      </c>
      <c r="X41" s="1812"/>
      <c r="Y41" s="3327"/>
      <c r="Z41" s="1813" t="str">
        <f t="shared" si="15"/>
        <v>层高</v>
      </c>
      <c r="AA41" s="1810">
        <f t="shared" si="3"/>
        <v>1</v>
      </c>
      <c r="AB41" s="1810">
        <f t="shared" si="4"/>
        <v>1</v>
      </c>
      <c r="AC41" s="2668">
        <f t="shared" si="5"/>
        <v>1</v>
      </c>
    </row>
    <row r="42" spans="1:29" s="471" customFormat="1" ht="15.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61"/>
      <c r="Q42" s="776" t="str">
        <f t="shared" si="11"/>
        <v>单套建筑面积</v>
      </c>
      <c r="R42" s="777" t="s">
        <v>17</v>
      </c>
      <c r="S42" s="778">
        <f t="shared" si="12"/>
        <v>100</v>
      </c>
      <c r="T42" s="777" t="s">
        <v>17</v>
      </c>
      <c r="U42" s="778">
        <f t="shared" si="13"/>
        <v>100</v>
      </c>
      <c r="V42" s="777" t="s">
        <v>17</v>
      </c>
      <c r="W42" s="778">
        <f t="shared" si="14"/>
        <v>100</v>
      </c>
      <c r="X42" s="779"/>
      <c r="Y42" s="3327"/>
      <c r="Z42" s="780" t="str">
        <f t="shared" si="15"/>
        <v>单套建筑面积</v>
      </c>
      <c r="AA42" s="1810">
        <f t="shared" si="3"/>
        <v>1</v>
      </c>
      <c r="AB42" s="1810">
        <f t="shared" si="4"/>
        <v>1</v>
      </c>
      <c r="AC42" s="2668">
        <f t="shared" si="5"/>
        <v>1</v>
      </c>
    </row>
    <row r="43" spans="1:29" ht="15.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61"/>
      <c r="Q43" s="1809" t="str">
        <f t="shared" si="11"/>
        <v>内部装修</v>
      </c>
      <c r="R43" s="774" t="s">
        <v>17</v>
      </c>
      <c r="S43" s="775">
        <f t="shared" si="12"/>
        <v>100</v>
      </c>
      <c r="T43" s="774" t="s">
        <v>17</v>
      </c>
      <c r="U43" s="775">
        <f t="shared" si="13"/>
        <v>100</v>
      </c>
      <c r="V43" s="774" t="s">
        <v>17</v>
      </c>
      <c r="W43" s="775">
        <f t="shared" si="14"/>
        <v>100</v>
      </c>
      <c r="X43" s="1812"/>
      <c r="Y43" s="3327"/>
      <c r="Z43" s="1813" t="str">
        <f t="shared" si="15"/>
        <v>内部装修</v>
      </c>
      <c r="AA43" s="1810">
        <f t="shared" si="3"/>
        <v>1</v>
      </c>
      <c r="AB43" s="1810">
        <f t="shared" si="4"/>
        <v>1</v>
      </c>
      <c r="AC43" s="2668">
        <f t="shared" si="5"/>
        <v>1</v>
      </c>
    </row>
    <row r="44" spans="1:29" ht="28">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361"/>
      <c r="Q44" s="1809" t="str">
        <f t="shared" si="11"/>
        <v>内部装修维护情况</v>
      </c>
      <c r="R44" s="774" t="s">
        <v>17</v>
      </c>
      <c r="S44" s="775">
        <f t="shared" si="12"/>
        <v>100</v>
      </c>
      <c r="T44" s="774" t="s">
        <v>17</v>
      </c>
      <c r="U44" s="775">
        <f t="shared" si="13"/>
        <v>100</v>
      </c>
      <c r="V44" s="774" t="s">
        <v>17</v>
      </c>
      <c r="W44" s="775">
        <f t="shared" si="14"/>
        <v>100</v>
      </c>
      <c r="X44" s="1812"/>
      <c r="Y44" s="3327"/>
      <c r="Z44" s="1813" t="str">
        <f t="shared" si="15"/>
        <v>内部装修维护情况</v>
      </c>
      <c r="AA44" s="1810">
        <f t="shared" si="3"/>
        <v>1</v>
      </c>
      <c r="AB44" s="1810">
        <f t="shared" si="4"/>
        <v>1</v>
      </c>
      <c r="AC44" s="2668">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61"/>
      <c r="Q45" s="1794">
        <f t="shared" si="11"/>
        <v>111</v>
      </c>
      <c r="R45" s="770" t="s">
        <v>17</v>
      </c>
      <c r="S45" s="771">
        <f t="shared" si="12"/>
        <v>100</v>
      </c>
      <c r="T45" s="770" t="s">
        <v>17</v>
      </c>
      <c r="U45" s="771">
        <f t="shared" si="13"/>
        <v>100</v>
      </c>
      <c r="V45" s="770" t="s">
        <v>17</v>
      </c>
      <c r="W45" s="771">
        <f t="shared" si="14"/>
        <v>100</v>
      </c>
      <c r="X45" s="772"/>
      <c r="Y45" s="3327"/>
      <c r="Z45" s="55">
        <f t="shared" si="15"/>
        <v>111</v>
      </c>
      <c r="AA45" s="773">
        <f t="shared" si="3"/>
        <v>1</v>
      </c>
      <c r="AB45" s="773">
        <f t="shared" si="4"/>
        <v>1</v>
      </c>
      <c r="AC45" s="2665">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61"/>
      <c r="Q46" s="1809">
        <f t="shared" si="11"/>
        <v>111</v>
      </c>
      <c r="R46" s="774" t="s">
        <v>17</v>
      </c>
      <c r="S46" s="775">
        <f t="shared" si="12"/>
        <v>100</v>
      </c>
      <c r="T46" s="774" t="s">
        <v>17</v>
      </c>
      <c r="U46" s="775">
        <f t="shared" si="13"/>
        <v>100</v>
      </c>
      <c r="V46" s="774" t="s">
        <v>17</v>
      </c>
      <c r="W46" s="775">
        <f t="shared" si="14"/>
        <v>100</v>
      </c>
      <c r="X46" s="1812"/>
      <c r="Y46" s="3327"/>
      <c r="Z46" s="1813">
        <f t="shared" si="15"/>
        <v>111</v>
      </c>
      <c r="AA46" s="1810">
        <f t="shared" si="3"/>
        <v>1</v>
      </c>
      <c r="AB46" s="1810">
        <f t="shared" si="4"/>
        <v>1</v>
      </c>
      <c r="AC46" s="2668">
        <f t="shared" si="5"/>
        <v>1</v>
      </c>
    </row>
    <row r="47" spans="1:29" ht="16"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62"/>
      <c r="Q47" s="1809">
        <f t="shared" si="11"/>
        <v>111</v>
      </c>
      <c r="R47" s="774" t="s">
        <v>17</v>
      </c>
      <c r="S47" s="775">
        <f t="shared" si="12"/>
        <v>100</v>
      </c>
      <c r="T47" s="774" t="s">
        <v>17</v>
      </c>
      <c r="U47" s="775">
        <f t="shared" si="13"/>
        <v>100</v>
      </c>
      <c r="V47" s="774" t="s">
        <v>17</v>
      </c>
      <c r="W47" s="775">
        <f t="shared" si="14"/>
        <v>100</v>
      </c>
      <c r="X47" s="1812"/>
      <c r="Y47" s="3363"/>
      <c r="Z47" s="1813">
        <f t="shared" si="15"/>
        <v>111</v>
      </c>
      <c r="AA47" s="1810">
        <f t="shared" si="3"/>
        <v>1</v>
      </c>
      <c r="AB47" s="1810">
        <f t="shared" si="4"/>
        <v>1</v>
      </c>
      <c r="AC47" s="2668">
        <f t="shared" si="5"/>
        <v>1</v>
      </c>
    </row>
    <row r="48" spans="1:29">
      <c r="A48" s="479" t="s">
        <v>2572</v>
      </c>
      <c r="B48" s="480"/>
      <c r="C48" s="1407" t="s">
        <v>1</v>
      </c>
      <c r="D48" s="1408"/>
      <c r="E48" s="1409"/>
      <c r="F48" s="1410"/>
      <c r="G48" s="1411"/>
      <c r="H48" s="1412"/>
      <c r="I48" s="1409"/>
      <c r="J48" s="485"/>
      <c r="K48" s="783"/>
      <c r="L48" s="1143"/>
      <c r="M48" s="1131"/>
      <c r="N48" s="1131"/>
      <c r="O48" s="1131"/>
      <c r="P48" s="3321" t="str">
        <f>A48</f>
        <v>成交单价（元/平方米）</v>
      </c>
      <c r="Q48" s="3322"/>
      <c r="R48" s="3359">
        <f>E48</f>
        <v>0</v>
      </c>
      <c r="S48" s="3359"/>
      <c r="T48" s="3359">
        <f>G48</f>
        <v>0</v>
      </c>
      <c r="U48" s="3359"/>
      <c r="V48" s="3359">
        <f>I48</f>
        <v>0</v>
      </c>
      <c r="W48" s="3359"/>
      <c r="X48" s="446"/>
      <c r="Y48" s="781"/>
      <c r="Z48" s="446"/>
      <c r="AA48" s="446"/>
      <c r="AB48" s="446"/>
      <c r="AC48" s="630"/>
    </row>
    <row r="49" spans="1:29" ht="14.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321" t="str">
        <f>A49</f>
        <v>比较价值（元/平方米）</v>
      </c>
      <c r="Q49" s="3322"/>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46"/>
      <c r="Y49" s="446"/>
      <c r="Z49" s="446"/>
      <c r="AA49" s="446"/>
      <c r="AB49" s="446"/>
      <c r="AC49" s="630"/>
    </row>
    <row r="50" spans="1:29" ht="14.5" thickBot="1">
      <c r="A50" s="492" t="s">
        <v>2665</v>
      </c>
      <c r="B50" s="493"/>
      <c r="C50" s="1417" t="e">
        <f>R50</f>
        <v>#DIV/0!</v>
      </c>
      <c r="D50" s="1417"/>
      <c r="E50" s="1417"/>
      <c r="F50" s="1417"/>
      <c r="G50" s="1417"/>
      <c r="H50" s="1417"/>
      <c r="I50" s="1417"/>
      <c r="J50" s="494"/>
      <c r="K50" s="785"/>
      <c r="L50" s="1143"/>
      <c r="M50" s="1131"/>
      <c r="N50" s="1131"/>
      <c r="O50" s="1131"/>
      <c r="P50" s="3395" t="str">
        <f>A50</f>
        <v>估价对象XX用房的比较价值（楼面单价，元/平方米）</v>
      </c>
      <c r="Q50" s="3396"/>
      <c r="R50" s="3397" t="e">
        <f>IF(F1="售价",ROUND(AVERAGE(R49:V49),0),ROUND(AVERAGE(R49:V49),1))</f>
        <v>#DIV/0!</v>
      </c>
      <c r="S50" s="3397"/>
      <c r="T50" s="3397"/>
      <c r="U50" s="3397"/>
      <c r="V50" s="3397"/>
      <c r="W50" s="3397"/>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5" thickBot="1">
      <c r="A58" s="763" t="s">
        <v>2669</v>
      </c>
      <c r="B58" s="759"/>
      <c r="C58" s="764"/>
      <c r="D58" s="764"/>
      <c r="E58" s="764"/>
      <c r="F58" s="765"/>
      <c r="G58" s="765"/>
      <c r="H58" s="764"/>
      <c r="I58" s="764"/>
      <c r="J58" s="764"/>
      <c r="K58" s="766"/>
      <c r="L58" s="1161"/>
      <c r="M58" s="1159"/>
      <c r="N58" s="1159"/>
      <c r="O58" s="1159"/>
      <c r="P58" s="2675"/>
      <c r="Q58" s="504"/>
    </row>
    <row r="59" spans="1:29" s="508" customFormat="1">
      <c r="A59" s="505" t="s">
        <v>2543</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c r="A60" s="509"/>
      <c r="B60" s="510"/>
      <c r="C60" s="1573">
        <v>100</v>
      </c>
      <c r="D60" s="512"/>
      <c r="E60" s="512"/>
      <c r="F60" s="512"/>
      <c r="G60" s="512"/>
      <c r="H60" s="512"/>
      <c r="I60" s="512"/>
      <c r="J60" s="512"/>
      <c r="K60" s="512"/>
      <c r="L60" s="512"/>
      <c r="M60" s="513"/>
      <c r="N60" s="512"/>
      <c r="O60" s="513"/>
      <c r="P60" s="2676"/>
    </row>
    <row r="61" spans="1:29" s="117" customFormat="1" ht="14.5" thickBot="1">
      <c r="A61" s="515" t="s">
        <v>2580</v>
      </c>
      <c r="B61" s="516"/>
      <c r="C61" s="517"/>
      <c r="D61" s="518"/>
      <c r="E61" s="518"/>
      <c r="F61" s="518"/>
      <c r="G61" s="518"/>
      <c r="H61" s="518"/>
      <c r="I61" s="518"/>
      <c r="J61" s="518"/>
      <c r="K61" s="518"/>
      <c r="L61" s="518"/>
      <c r="M61" s="519"/>
      <c r="N61" s="518"/>
      <c r="O61" s="519"/>
      <c r="P61" s="2676"/>
      <c r="Q61" s="504"/>
    </row>
    <row r="62" spans="1:29" s="117" customFormat="1">
      <c r="A62" s="521" t="s">
        <v>2545</v>
      </c>
      <c r="B62" s="510"/>
      <c r="C62" s="522" t="s">
        <v>2647</v>
      </c>
      <c r="D62" s="523"/>
      <c r="E62" s="523"/>
      <c r="F62" s="523"/>
      <c r="G62" s="523"/>
      <c r="H62" s="523"/>
      <c r="I62" s="523"/>
      <c r="J62" s="523"/>
      <c r="K62" s="523"/>
      <c r="L62" s="524"/>
      <c r="M62" s="525"/>
      <c r="N62" s="1151"/>
      <c r="O62" s="1151"/>
      <c r="P62" s="2677"/>
      <c r="Q62" s="504"/>
    </row>
    <row r="63" spans="1:29" s="117" customFormat="1" ht="14.5" thickBot="1">
      <c r="A63" s="521"/>
      <c r="B63" s="510"/>
      <c r="C63" s="511">
        <v>100</v>
      </c>
      <c r="D63" s="512"/>
      <c r="E63" s="512"/>
      <c r="F63" s="512"/>
      <c r="G63" s="512"/>
      <c r="H63" s="512"/>
      <c r="I63" s="512"/>
      <c r="J63" s="512"/>
      <c r="K63" s="512"/>
      <c r="L63" s="512"/>
      <c r="M63" s="514"/>
      <c r="N63" s="1151"/>
      <c r="O63" s="1151"/>
      <c r="P63" s="2676"/>
      <c r="Q63" s="504"/>
    </row>
    <row r="64" spans="1:29">
      <c r="A64" s="527" t="s">
        <v>2583</v>
      </c>
      <c r="B64" s="528" t="s">
        <v>2549</v>
      </c>
      <c r="C64" s="529">
        <f>C9</f>
        <v>0</v>
      </c>
      <c r="D64" s="530"/>
      <c r="E64" s="530"/>
      <c r="F64" s="530"/>
      <c r="G64" s="530"/>
      <c r="H64" s="530"/>
      <c r="I64" s="530"/>
      <c r="J64" s="530"/>
      <c r="K64" s="531"/>
      <c r="L64" s="532"/>
      <c r="M64" s="533"/>
      <c r="N64" s="1152"/>
      <c r="O64" s="1152"/>
      <c r="P64" s="2678"/>
      <c r="Q64" s="504"/>
    </row>
    <row r="65" spans="1:17" ht="14.5" thickBot="1">
      <c r="A65" s="534"/>
      <c r="B65" s="535"/>
      <c r="C65" s="536">
        <v>100</v>
      </c>
      <c r="D65" s="536"/>
      <c r="E65" s="536"/>
      <c r="F65" s="536"/>
      <c r="G65" s="536"/>
      <c r="H65" s="536"/>
      <c r="I65" s="536"/>
      <c r="J65" s="536"/>
      <c r="K65" s="536"/>
      <c r="L65" s="536"/>
      <c r="M65" s="537"/>
      <c r="N65" s="1153"/>
      <c r="O65" s="1153"/>
      <c r="P65" s="2678"/>
      <c r="Q65" s="504"/>
    </row>
    <row r="66" spans="1:17" ht="28.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8"/>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4.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c r="A69" s="534"/>
      <c r="B69" s="548"/>
      <c r="C69" s="549"/>
      <c r="D69" s="549"/>
      <c r="E69" s="549"/>
      <c r="F69" s="549"/>
      <c r="G69" s="549"/>
      <c r="H69" s="549"/>
      <c r="I69" s="549"/>
      <c r="J69" s="549"/>
      <c r="K69" s="550"/>
      <c r="L69" s="551"/>
      <c r="M69" s="552"/>
      <c r="N69" s="1152"/>
      <c r="O69" s="1152"/>
      <c r="P69" s="2678"/>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4.5" thickTop="1">
      <c r="A71" s="553"/>
      <c r="B71" s="538">
        <f>B12</f>
        <v>111</v>
      </c>
      <c r="C71" s="554"/>
      <c r="D71" s="554"/>
      <c r="E71" s="554"/>
      <c r="F71" s="554"/>
      <c r="G71" s="554"/>
      <c r="H71" s="555"/>
      <c r="I71" s="555"/>
      <c r="J71" s="555"/>
      <c r="K71" s="555"/>
      <c r="L71" s="556"/>
      <c r="M71" s="557"/>
      <c r="N71" s="1154"/>
      <c r="O71" s="1154"/>
      <c r="P71" s="2679"/>
      <c r="Q71" s="559"/>
    </row>
    <row r="72" spans="1:17" s="471" customFormat="1" ht="14.5" thickBot="1">
      <c r="A72" s="553"/>
      <c r="B72" s="543"/>
      <c r="C72" s="560"/>
      <c r="D72" s="536"/>
      <c r="E72" s="536"/>
      <c r="F72" s="536"/>
      <c r="G72" s="536"/>
      <c r="H72" s="536"/>
      <c r="I72" s="536"/>
      <c r="J72" s="536"/>
      <c r="K72" s="536"/>
      <c r="L72" s="536"/>
      <c r="M72" s="537"/>
      <c r="N72" s="1153"/>
      <c r="O72" s="1153"/>
      <c r="P72" s="2679"/>
      <c r="Q72" s="559"/>
    </row>
    <row r="73" spans="1:17" s="471" customFormat="1" ht="14.5" thickTop="1">
      <c r="A73" s="553"/>
      <c r="B73" s="538">
        <f>B13</f>
        <v>111</v>
      </c>
      <c r="C73" s="554"/>
      <c r="D73" s="554"/>
      <c r="E73" s="554"/>
      <c r="F73" s="554"/>
      <c r="G73" s="554"/>
      <c r="H73" s="555"/>
      <c r="I73" s="555"/>
      <c r="J73" s="555"/>
      <c r="K73" s="555"/>
      <c r="L73" s="556"/>
      <c r="M73" s="557"/>
      <c r="N73" s="1154"/>
      <c r="O73" s="1154"/>
      <c r="P73" s="2680"/>
      <c r="Q73" s="561"/>
    </row>
    <row r="74" spans="1:17" s="471" customFormat="1" ht="14.5" thickBot="1">
      <c r="A74" s="553"/>
      <c r="B74" s="543"/>
      <c r="C74" s="560"/>
      <c r="D74" s="560"/>
      <c r="E74" s="560"/>
      <c r="F74" s="560"/>
      <c r="G74" s="560"/>
      <c r="H74" s="562"/>
      <c r="I74" s="562"/>
      <c r="J74" s="562"/>
      <c r="K74" s="562"/>
      <c r="L74" s="562"/>
      <c r="M74" s="563"/>
      <c r="N74" s="1154"/>
      <c r="O74" s="1154"/>
      <c r="P74" s="2679"/>
      <c r="Q74" s="559"/>
    </row>
    <row r="75" spans="1:17" s="471" customFormat="1" ht="14.5" thickTop="1">
      <c r="A75" s="553"/>
      <c r="B75" s="546">
        <f>B14</f>
        <v>111</v>
      </c>
      <c r="C75" s="523"/>
      <c r="D75" s="523"/>
      <c r="E75" s="523"/>
      <c r="F75" s="523"/>
      <c r="G75" s="523"/>
      <c r="H75" s="564"/>
      <c r="I75" s="564"/>
      <c r="J75" s="564"/>
      <c r="K75" s="564"/>
      <c r="L75" s="565"/>
      <c r="M75" s="566"/>
      <c r="N75" s="1154"/>
      <c r="O75" s="1154"/>
      <c r="P75" s="2681"/>
      <c r="Q75" s="559"/>
    </row>
    <row r="76" spans="1:17" s="471" customFormat="1" ht="14.5" thickBot="1">
      <c r="A76" s="568"/>
      <c r="B76" s="569"/>
      <c r="C76" s="570"/>
      <c r="D76" s="570"/>
      <c r="E76" s="570"/>
      <c r="F76" s="570"/>
      <c r="G76" s="570"/>
      <c r="H76" s="571"/>
      <c r="I76" s="571"/>
      <c r="J76" s="571"/>
      <c r="K76" s="571"/>
      <c r="L76" s="571"/>
      <c r="M76" s="572"/>
      <c r="N76" s="1154"/>
      <c r="O76" s="1154"/>
      <c r="P76" s="2679"/>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2"/>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4.5" thickTop="1">
      <c r="A79" s="534"/>
      <c r="B79" s="538" t="s">
        <v>2597</v>
      </c>
      <c r="C79" s="578" t="s">
        <v>2592</v>
      </c>
      <c r="D79" s="578" t="s">
        <v>2593</v>
      </c>
      <c r="E79" s="578" t="s">
        <v>2594</v>
      </c>
      <c r="F79" s="578" t="s">
        <v>2595</v>
      </c>
      <c r="G79" s="578" t="s">
        <v>2596</v>
      </c>
      <c r="H79" s="539"/>
      <c r="I79" s="539"/>
      <c r="J79" s="539"/>
      <c r="K79" s="540"/>
      <c r="L79" s="541"/>
      <c r="M79" s="542"/>
      <c r="N79" s="1152"/>
      <c r="O79" s="1152"/>
      <c r="P79" s="2678"/>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4.5" thickTop="1">
      <c r="A81" s="534"/>
      <c r="B81" s="538" t="s">
        <v>2598</v>
      </c>
      <c r="C81" s="578" t="s">
        <v>2592</v>
      </c>
      <c r="D81" s="578" t="s">
        <v>2593</v>
      </c>
      <c r="E81" s="578" t="s">
        <v>2594</v>
      </c>
      <c r="F81" s="578" t="s">
        <v>2595</v>
      </c>
      <c r="G81" s="578" t="s">
        <v>2596</v>
      </c>
      <c r="H81" s="539"/>
      <c r="I81" s="539"/>
      <c r="J81" s="539"/>
      <c r="K81" s="540"/>
      <c r="L81" s="541"/>
      <c r="M81" s="542"/>
      <c r="N81" s="1152"/>
      <c r="O81" s="1152"/>
      <c r="P81" s="2678"/>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4.5" thickTop="1">
      <c r="A83" s="534"/>
      <c r="B83" s="546" t="s">
        <v>2684</v>
      </c>
      <c r="C83" s="660" t="s">
        <v>2670</v>
      </c>
      <c r="D83" s="660" t="s">
        <v>2671</v>
      </c>
      <c r="E83" s="660" t="s">
        <v>2672</v>
      </c>
      <c r="F83" s="660" t="s">
        <v>2673</v>
      </c>
      <c r="G83" s="660" t="s">
        <v>2674</v>
      </c>
      <c r="H83" s="539"/>
      <c r="I83" s="539"/>
      <c r="J83" s="539"/>
      <c r="K83" s="539"/>
      <c r="L83" s="539"/>
      <c r="M83" s="1382"/>
      <c r="N83" s="1153"/>
      <c r="O83" s="1153"/>
      <c r="P83" s="2678"/>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4.5" thickTop="1">
      <c r="A85" s="534"/>
      <c r="B85" s="538" t="s">
        <v>2693</v>
      </c>
      <c r="C85" s="578" t="s">
        <v>2592</v>
      </c>
      <c r="D85" s="578" t="s">
        <v>2593</v>
      </c>
      <c r="E85" s="578" t="s">
        <v>2594</v>
      </c>
      <c r="F85" s="578" t="s">
        <v>2595</v>
      </c>
      <c r="G85" s="578" t="s">
        <v>2596</v>
      </c>
      <c r="H85" s="539"/>
      <c r="I85" s="539"/>
      <c r="J85" s="539"/>
      <c r="K85" s="540"/>
      <c r="L85" s="541"/>
      <c r="M85" s="542"/>
      <c r="N85" s="1152"/>
      <c r="O85" s="1152"/>
      <c r="P85" s="2678"/>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8.5" thickTop="1">
      <c r="A87" s="579"/>
      <c r="B87" s="538" t="s">
        <v>2694</v>
      </c>
      <c r="C87" s="554"/>
      <c r="D87" s="554"/>
      <c r="E87" s="554"/>
      <c r="F87" s="554"/>
      <c r="G87" s="554"/>
      <c r="H87" s="554"/>
      <c r="I87" s="554"/>
      <c r="J87" s="554"/>
      <c r="K87" s="554"/>
      <c r="L87" s="580"/>
      <c r="M87" s="581"/>
      <c r="N87" s="1151"/>
      <c r="O87" s="1151"/>
      <c r="P87" s="2678"/>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4.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4.5" thickTop="1">
      <c r="A93" s="534"/>
      <c r="B93" s="538">
        <f>B29</f>
        <v>111</v>
      </c>
      <c r="C93" s="554"/>
      <c r="D93" s="554"/>
      <c r="E93" s="554"/>
      <c r="F93" s="554"/>
      <c r="G93" s="554"/>
      <c r="H93" s="554"/>
      <c r="I93" s="554"/>
      <c r="J93" s="554"/>
      <c r="K93" s="554"/>
      <c r="L93" s="580"/>
      <c r="M93" s="581"/>
      <c r="N93" s="1152"/>
      <c r="O93" s="1152"/>
      <c r="P93" s="2678"/>
      <c r="Q93" s="504"/>
    </row>
    <row r="94" spans="1:17" ht="14.5" thickBot="1">
      <c r="A94" s="534"/>
      <c r="B94" s="543"/>
      <c r="C94" s="560"/>
      <c r="D94" s="536"/>
      <c r="E94" s="536"/>
      <c r="F94" s="536"/>
      <c r="G94" s="536"/>
      <c r="H94" s="536"/>
      <c r="I94" s="536"/>
      <c r="J94" s="536"/>
      <c r="K94" s="536"/>
      <c r="L94" s="536"/>
      <c r="M94" s="537"/>
      <c r="N94" s="1153"/>
      <c r="O94" s="1153"/>
      <c r="P94" s="2678"/>
      <c r="Q94" s="504"/>
    </row>
    <row r="95" spans="1:17" ht="14.5" thickTop="1">
      <c r="A95" s="534"/>
      <c r="B95" s="538">
        <f>B30</f>
        <v>111</v>
      </c>
      <c r="C95" s="554"/>
      <c r="D95" s="554"/>
      <c r="E95" s="554"/>
      <c r="F95" s="554"/>
      <c r="G95" s="583"/>
      <c r="H95" s="583"/>
      <c r="I95" s="583"/>
      <c r="J95" s="583"/>
      <c r="K95" s="584"/>
      <c r="L95" s="585"/>
      <c r="M95" s="586"/>
      <c r="N95" s="1152"/>
      <c r="O95" s="1152"/>
      <c r="P95" s="2678"/>
      <c r="Q95" s="504"/>
    </row>
    <row r="96" spans="1:17" ht="14.5" thickBot="1">
      <c r="A96" s="534"/>
      <c r="B96" s="543"/>
      <c r="C96" s="560"/>
      <c r="D96" s="560"/>
      <c r="E96" s="560"/>
      <c r="F96" s="560"/>
      <c r="G96" s="536"/>
      <c r="H96" s="536"/>
      <c r="I96" s="536"/>
      <c r="J96" s="536"/>
      <c r="K96" s="536"/>
      <c r="L96" s="536"/>
      <c r="M96" s="537"/>
      <c r="N96" s="1153"/>
      <c r="O96" s="1153"/>
      <c r="P96" s="2678"/>
      <c r="Q96" s="504"/>
    </row>
    <row r="97" spans="1:17" ht="14.5" thickTop="1">
      <c r="A97" s="534"/>
      <c r="B97" s="538">
        <f>B31</f>
        <v>111</v>
      </c>
      <c r="C97" s="554"/>
      <c r="D97" s="554"/>
      <c r="E97" s="554"/>
      <c r="F97" s="554"/>
      <c r="G97" s="583"/>
      <c r="H97" s="583"/>
      <c r="I97" s="583"/>
      <c r="J97" s="583"/>
      <c r="K97" s="584"/>
      <c r="L97" s="585"/>
      <c r="M97" s="586"/>
      <c r="N97" s="1152"/>
      <c r="O97" s="1152"/>
      <c r="P97" s="2678"/>
      <c r="Q97" s="504"/>
    </row>
    <row r="98" spans="1:17" ht="14.5" thickBot="1">
      <c r="A98" s="534"/>
      <c r="B98" s="543"/>
      <c r="C98" s="560"/>
      <c r="D98" s="536"/>
      <c r="E98" s="536"/>
      <c r="F98" s="536"/>
      <c r="G98" s="536"/>
      <c r="H98" s="536"/>
      <c r="I98" s="536"/>
      <c r="J98" s="536"/>
      <c r="K98" s="536"/>
      <c r="L98" s="536"/>
      <c r="M98" s="537"/>
      <c r="N98" s="1153"/>
      <c r="O98" s="1153"/>
      <c r="P98" s="2678"/>
      <c r="Q98" s="504"/>
    </row>
    <row r="99" spans="1:17" ht="14.5" thickTop="1">
      <c r="A99" s="534"/>
      <c r="B99" s="546">
        <f>B32</f>
        <v>111</v>
      </c>
      <c r="C99" s="523"/>
      <c r="D99" s="523"/>
      <c r="E99" s="523"/>
      <c r="F99" s="523"/>
      <c r="G99" s="587"/>
      <c r="H99" s="587"/>
      <c r="I99" s="587"/>
      <c r="J99" s="587"/>
      <c r="K99" s="588"/>
      <c r="L99" s="589"/>
      <c r="M99" s="590"/>
      <c r="N99" s="1152"/>
      <c r="O99" s="1152"/>
      <c r="P99" s="2678"/>
      <c r="Q99" s="504"/>
    </row>
    <row r="100" spans="1:17" ht="14.5" thickBot="1">
      <c r="A100" s="2630"/>
      <c r="B100" s="569"/>
      <c r="C100" s="570"/>
      <c r="D100" s="570"/>
      <c r="E100" s="570"/>
      <c r="F100" s="570"/>
      <c r="G100" s="591"/>
      <c r="H100" s="591"/>
      <c r="I100" s="591"/>
      <c r="J100" s="591"/>
      <c r="K100" s="591"/>
      <c r="L100" s="591"/>
      <c r="M100" s="592"/>
      <c r="N100" s="1153"/>
      <c r="O100" s="1153"/>
      <c r="P100" s="2678"/>
      <c r="Q100" s="504"/>
    </row>
    <row r="101" spans="1:17">
      <c r="A101" s="527" t="s">
        <v>2558</v>
      </c>
      <c r="B101" s="528" t="s">
        <v>2607</v>
      </c>
      <c r="C101" s="530"/>
      <c r="D101" s="530"/>
      <c r="E101" s="530"/>
      <c r="F101" s="530"/>
      <c r="G101" s="530"/>
      <c r="H101" s="530"/>
      <c r="I101" s="530"/>
      <c r="J101" s="530"/>
      <c r="K101" s="531"/>
      <c r="L101" s="532"/>
      <c r="M101" s="533"/>
      <c r="N101" s="1152"/>
      <c r="O101" s="1152"/>
      <c r="P101" s="2678"/>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4.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4.5" thickBot="1">
      <c r="A105" s="553"/>
      <c r="B105" s="543"/>
      <c r="C105" s="560"/>
      <c r="D105" s="536"/>
      <c r="E105" s="536"/>
      <c r="F105" s="536"/>
      <c r="G105" s="536"/>
      <c r="H105" s="536"/>
      <c r="I105" s="536"/>
      <c r="J105" s="536"/>
      <c r="K105" s="536"/>
      <c r="L105" s="536"/>
      <c r="M105" s="537"/>
      <c r="N105" s="1153"/>
      <c r="O105" s="1153"/>
      <c r="P105" s="2679"/>
      <c r="Q105" s="559"/>
    </row>
    <row r="106" spans="1:17" ht="14.5" thickTop="1">
      <c r="A106" s="599"/>
      <c r="B106" s="538" t="s">
        <v>2609</v>
      </c>
      <c r="C106" s="554"/>
      <c r="D106" s="554"/>
      <c r="E106" s="583"/>
      <c r="F106" s="583"/>
      <c r="G106" s="583"/>
      <c r="H106" s="583"/>
      <c r="I106" s="583"/>
      <c r="J106" s="583"/>
      <c r="K106" s="584"/>
      <c r="L106" s="585"/>
      <c r="M106" s="586"/>
      <c r="N106" s="1152"/>
      <c r="O106" s="1152"/>
      <c r="P106" s="2678"/>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4.5" thickTop="1">
      <c r="A108" s="599"/>
      <c r="B108" s="538" t="s">
        <v>2611</v>
      </c>
      <c r="C108" s="554"/>
      <c r="D108" s="554"/>
      <c r="E108" s="554"/>
      <c r="F108" s="583"/>
      <c r="G108" s="583"/>
      <c r="H108" s="583"/>
      <c r="I108" s="583"/>
      <c r="J108" s="583"/>
      <c r="K108" s="584"/>
      <c r="L108" s="585"/>
      <c r="M108" s="586"/>
      <c r="N108" s="1152"/>
      <c r="O108" s="1152"/>
      <c r="P108" s="2678"/>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4.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4.5" thickTop="1">
      <c r="A113" s="593"/>
      <c r="B113" s="538" t="s">
        <v>2695</v>
      </c>
      <c r="C113" s="554"/>
      <c r="D113" s="554"/>
      <c r="E113" s="554"/>
      <c r="F113" s="554"/>
      <c r="G113" s="554"/>
      <c r="H113" s="583"/>
      <c r="I113" s="583"/>
      <c r="J113" s="583"/>
      <c r="K113" s="584"/>
      <c r="L113" s="585"/>
      <c r="M113" s="586"/>
      <c r="N113" s="1154"/>
      <c r="O113" s="1154"/>
      <c r="P113" s="2679"/>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4.5" thickTop="1">
      <c r="A115" s="599"/>
      <c r="B115" s="538" t="s">
        <v>2612</v>
      </c>
      <c r="C115" s="554"/>
      <c r="D115" s="554"/>
      <c r="E115" s="583"/>
      <c r="F115" s="583"/>
      <c r="G115" s="583"/>
      <c r="H115" s="583"/>
      <c r="I115" s="583"/>
      <c r="J115" s="583"/>
      <c r="K115" s="584"/>
      <c r="L115" s="585"/>
      <c r="M115" s="586"/>
      <c r="N115" s="1152"/>
      <c r="O115" s="1152"/>
      <c r="P115" s="2678"/>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4.5" thickTop="1">
      <c r="A117" s="599"/>
      <c r="B117" s="538" t="s">
        <v>2613</v>
      </c>
      <c r="C117" s="554"/>
      <c r="D117" s="554"/>
      <c r="E117" s="554"/>
      <c r="F117" s="554"/>
      <c r="G117" s="554"/>
      <c r="H117" s="583"/>
      <c r="I117" s="583"/>
      <c r="J117" s="583"/>
      <c r="K117" s="584"/>
      <c r="L117" s="585"/>
      <c r="M117" s="586"/>
      <c r="N117" s="1152"/>
      <c r="O117" s="1152"/>
      <c r="P117" s="2678"/>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4.5" thickTop="1">
      <c r="A119" s="599"/>
      <c r="B119" s="636" t="s">
        <v>2696</v>
      </c>
      <c r="C119" s="583"/>
      <c r="D119" s="583"/>
      <c r="E119" s="583"/>
      <c r="F119" s="583"/>
      <c r="G119" s="583"/>
      <c r="H119" s="583"/>
      <c r="I119" s="583"/>
      <c r="J119" s="583"/>
      <c r="K119" s="583"/>
      <c r="L119" s="2683"/>
      <c r="M119" s="2684"/>
      <c r="N119" s="1153"/>
      <c r="O119" s="1153"/>
      <c r="P119" s="2685"/>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4.5" thickTop="1">
      <c r="A121" s="593"/>
      <c r="B121" s="538" t="s">
        <v>2679</v>
      </c>
      <c r="C121" s="554"/>
      <c r="D121" s="554"/>
      <c r="E121" s="554"/>
      <c r="F121" s="583"/>
      <c r="G121" s="555"/>
      <c r="H121" s="555"/>
      <c r="I121" s="555"/>
      <c r="J121" s="555"/>
      <c r="K121" s="555"/>
      <c r="L121" s="556"/>
      <c r="M121" s="557"/>
      <c r="N121" s="1154"/>
      <c r="O121" s="1154"/>
      <c r="P121" s="2679"/>
      <c r="Q121" s="559"/>
    </row>
    <row r="122" spans="1:17" s="471" customFormat="1" ht="14.5" thickBot="1">
      <c r="A122" s="553"/>
      <c r="B122" s="535"/>
      <c r="C122" s="560"/>
      <c r="D122" s="560"/>
      <c r="E122" s="560"/>
      <c r="F122" s="560"/>
      <c r="G122" s="560"/>
      <c r="H122" s="560"/>
      <c r="I122" s="560"/>
      <c r="J122" s="560"/>
      <c r="K122" s="560"/>
      <c r="L122" s="560"/>
      <c r="M122" s="560"/>
      <c r="N122" s="1154"/>
      <c r="O122" s="1154"/>
      <c r="P122" s="2679"/>
      <c r="Q122" s="559"/>
    </row>
    <row r="123" spans="1:17" ht="14.5" thickTop="1">
      <c r="A123" s="599"/>
      <c r="B123" s="538" t="s">
        <v>2615</v>
      </c>
      <c r="C123" s="554"/>
      <c r="D123" s="554"/>
      <c r="E123" s="554"/>
      <c r="F123" s="583"/>
      <c r="G123" s="583"/>
      <c r="H123" s="583"/>
      <c r="I123" s="583"/>
      <c r="J123" s="583"/>
      <c r="K123" s="584"/>
      <c r="L123" s="585"/>
      <c r="M123" s="586"/>
      <c r="N123" s="1152"/>
      <c r="O123" s="1152"/>
      <c r="P123" s="2678"/>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28.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9"/>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4.5" thickBot="1">
      <c r="A128" s="553"/>
      <c r="B128" s="543"/>
      <c r="C128" s="560"/>
      <c r="D128" s="536"/>
      <c r="E128" s="536"/>
      <c r="F128" s="536"/>
      <c r="G128" s="560"/>
      <c r="H128" s="562"/>
      <c r="I128" s="562"/>
      <c r="J128" s="562"/>
      <c r="K128" s="562"/>
      <c r="L128" s="562"/>
      <c r="M128" s="563"/>
      <c r="N128" s="1154"/>
      <c r="O128" s="1154"/>
      <c r="P128" s="2679"/>
      <c r="Q128" s="559"/>
    </row>
    <row r="129" spans="1:17" ht="14.5" thickTop="1">
      <c r="A129" s="599"/>
      <c r="B129" s="538">
        <f>B46</f>
        <v>111</v>
      </c>
      <c r="C129" s="554"/>
      <c r="D129" s="554"/>
      <c r="E129" s="554"/>
      <c r="F129" s="554"/>
      <c r="G129" s="583"/>
      <c r="H129" s="583"/>
      <c r="I129" s="583"/>
      <c r="J129" s="583"/>
      <c r="K129" s="584"/>
      <c r="L129" s="585"/>
      <c r="M129" s="586"/>
      <c r="N129" s="1152"/>
      <c r="O129" s="1152"/>
      <c r="P129" s="2678"/>
      <c r="Q129" s="504"/>
    </row>
    <row r="130" spans="1:17" ht="14.5" thickBot="1">
      <c r="A130" s="534"/>
      <c r="B130" s="543"/>
      <c r="C130" s="560"/>
      <c r="D130" s="560"/>
      <c r="E130" s="560"/>
      <c r="F130" s="560"/>
      <c r="G130" s="536"/>
      <c r="H130" s="536"/>
      <c r="I130" s="536"/>
      <c r="J130" s="536"/>
      <c r="K130" s="536"/>
      <c r="L130" s="536"/>
      <c r="M130" s="537"/>
      <c r="N130" s="1153"/>
      <c r="O130" s="1153"/>
      <c r="P130" s="2678"/>
      <c r="Q130" s="504"/>
    </row>
    <row r="131" spans="1:17" ht="14.5" thickTop="1">
      <c r="A131" s="599"/>
      <c r="B131" s="546">
        <f>B47</f>
        <v>111</v>
      </c>
      <c r="C131" s="523"/>
      <c r="D131" s="523"/>
      <c r="E131" s="523"/>
      <c r="F131" s="523"/>
      <c r="G131" s="587"/>
      <c r="H131" s="587"/>
      <c r="I131" s="587"/>
      <c r="J131" s="587"/>
      <c r="K131" s="523"/>
      <c r="L131" s="524"/>
      <c r="M131" s="590"/>
      <c r="N131" s="1152"/>
      <c r="O131" s="1152"/>
      <c r="P131" s="2678"/>
      <c r="Q131" s="504"/>
    </row>
    <row r="132" spans="1:17" ht="14.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C10 E10 G10 I10" xr:uid="{00000000-0002-0000-2000-000006000000}">
      <formula1>土地年限区间</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G26 C26 E26 I26" xr:uid="{00000000-0002-0000-2000-000009000000}">
      <formula1>办公道路级别</formula1>
    </dataValidation>
    <dataValidation type="list" allowBlank="1" showInputMessage="1" showErrorMessage="1" sqref="C28 E28 G28 I28" xr:uid="{00000000-0002-0000-2000-00000A000000}">
      <formula1>办公朝向</formula1>
    </dataValidation>
    <dataValidation type="list" allowBlank="1" showInputMessage="1" showErrorMessage="1" sqref="C27 E27 G27 I27" xr:uid="{00000000-0002-0000-2000-00000B000000}">
      <formula1>办公楼层</formula1>
    </dataValidation>
    <dataValidation type="list" allowBlank="1" showInputMessage="1" showErrorMessage="1" sqref="C33 E33 G33 I33" xr:uid="{00000000-0002-0000-2000-00000C000000}">
      <formula1>办公建筑类型</formula1>
    </dataValidation>
    <dataValidation type="list" allowBlank="1" showInputMessage="1" showErrorMessage="1" sqref="C36 E36 G36 I36" xr:uid="{00000000-0002-0000-2000-00000D000000}">
      <formula1>办公公共部分装修</formula1>
    </dataValidation>
    <dataValidation type="list" allowBlank="1" showInputMessage="1" showErrorMessage="1" sqref="C38 E38 G38 I38" xr:uid="{00000000-0002-0000-2000-00000E000000}">
      <formula1>写字楼等级</formula1>
    </dataValidation>
    <dataValidation type="list" allowBlank="1" showInputMessage="1" showErrorMessage="1" sqref="C39 E39 G39 I39" xr:uid="{00000000-0002-0000-2000-00000F000000}">
      <formula1>办公物业管理</formula1>
    </dataValidation>
    <dataValidation type="list" allowBlank="1" showInputMessage="1" showErrorMessage="1" sqref="C40 E40 G40 I40" xr:uid="{00000000-0002-0000-2000-000010000000}">
      <formula1>办公基础设施水平</formula1>
    </dataValidation>
    <dataValidation type="list" allowBlank="1" showInputMessage="1" showErrorMessage="1" sqref="C41 E41 G41 I41" xr:uid="{00000000-0002-0000-2000-000011000000}">
      <formula1>办公层高</formula1>
    </dataValidation>
    <dataValidation type="list" allowBlank="1" showInputMessage="1" showErrorMessage="1" sqref="C43 E43 G43 I43" xr:uid="{00000000-0002-0000-2000-000012000000}">
      <formula1>办公内部装修</formula1>
    </dataValidation>
    <dataValidation type="list" allowBlank="1" showInputMessage="1" showErrorMessage="1" sqref="C8 E8 G8 I8" xr:uid="{00000000-0002-0000-2000-000013000000}">
      <formula1>办公交易情况</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zoomScale="90" zoomScaleNormal="90" workbookViewId="0">
      <selection activeCell="F3" sqref="F3"/>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2523</v>
      </c>
      <c r="B1" s="2663" t="s">
        <v>2697</v>
      </c>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106874.1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30" t="s">
        <v>2643</v>
      </c>
      <c r="AC4" s="3329" t="s">
        <v>2644</v>
      </c>
    </row>
    <row r="5" spans="1:29">
      <c r="A5" s="404"/>
      <c r="B5" s="405"/>
      <c r="C5" s="3349" t="s">
        <v>2537</v>
      </c>
      <c r="D5" s="3350"/>
      <c r="E5" s="3356" t="s">
        <v>2538</v>
      </c>
      <c r="F5" s="3357"/>
      <c r="G5" s="3349" t="s">
        <v>2539</v>
      </c>
      <c r="H5" s="3350"/>
      <c r="I5" s="3349" t="s">
        <v>2540</v>
      </c>
      <c r="J5" s="3350"/>
      <c r="K5" s="610"/>
      <c r="L5" s="1130"/>
      <c r="M5" s="1131"/>
      <c r="N5" s="1131"/>
      <c r="O5" s="1131"/>
      <c r="P5" s="3337"/>
      <c r="Q5" s="3338"/>
      <c r="R5" s="3343"/>
      <c r="S5" s="3344"/>
      <c r="T5" s="3343"/>
      <c r="U5" s="3344"/>
      <c r="V5" s="3328"/>
      <c r="W5" s="3328"/>
      <c r="X5" s="1812"/>
      <c r="Y5" s="3343"/>
      <c r="Z5" s="3344"/>
      <c r="AA5" s="3330"/>
      <c r="AB5" s="3330"/>
      <c r="AC5" s="3330"/>
    </row>
    <row r="6" spans="1:29" ht="15" thickBot="1">
      <c r="A6" s="406"/>
      <c r="B6" s="407"/>
      <c r="C6" s="3347" t="s">
        <v>2541</v>
      </c>
      <c r="D6" s="3348"/>
      <c r="E6" s="3354" t="s">
        <v>2541</v>
      </c>
      <c r="F6" s="3355"/>
      <c r="G6" s="3347" t="s">
        <v>2541</v>
      </c>
      <c r="H6" s="3348"/>
      <c r="I6" s="3347" t="s">
        <v>2541</v>
      </c>
      <c r="J6" s="3348"/>
      <c r="K6" s="610" t="s">
        <v>2542</v>
      </c>
      <c r="L6" s="1130"/>
      <c r="M6" s="1131"/>
      <c r="N6" s="1131"/>
      <c r="O6" s="1131"/>
      <c r="P6" s="3339"/>
      <c r="Q6" s="3340"/>
      <c r="R6" s="3343"/>
      <c r="S6" s="3344"/>
      <c r="T6" s="3345"/>
      <c r="U6" s="3346"/>
      <c r="V6" s="3328"/>
      <c r="W6" s="3328"/>
      <c r="X6" s="1812"/>
      <c r="Y6" s="3345"/>
      <c r="Z6" s="3346"/>
      <c r="AA6" s="3331"/>
      <c r="AB6" s="3331"/>
      <c r="AC6" s="3331"/>
    </row>
    <row r="7" spans="1:29" s="117" customFormat="1" ht="14.5" thickBot="1">
      <c r="A7" s="408" t="s">
        <v>2543</v>
      </c>
      <c r="B7" s="409"/>
      <c r="C7" s="410">
        <f>'数据-取费表'!B2</f>
        <v>43913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51" t="s">
        <v>2544</v>
      </c>
      <c r="Q7" s="3353"/>
      <c r="R7" s="770" t="s">
        <v>17</v>
      </c>
      <c r="S7" s="771">
        <f t="shared" ref="S7:S15" si="0">F7</f>
        <v>0</v>
      </c>
      <c r="T7" s="770" t="s">
        <v>17</v>
      </c>
      <c r="U7" s="771">
        <f t="shared" ref="U7:U15" si="1">H7</f>
        <v>0</v>
      </c>
      <c r="V7" s="770" t="s">
        <v>17</v>
      </c>
      <c r="W7" s="771">
        <f t="shared" ref="W7:W15" si="2">J7</f>
        <v>0</v>
      </c>
      <c r="X7" s="772"/>
      <c r="Y7" s="3351" t="s">
        <v>2544</v>
      </c>
      <c r="Z7" s="3352"/>
      <c r="AA7" s="773" t="e">
        <f>D7/F7</f>
        <v>#DIV/0!</v>
      </c>
      <c r="AB7" s="773" t="e">
        <f>D7/H7</f>
        <v>#DIV/0!</v>
      </c>
      <c r="AC7" s="773" t="e">
        <f>D7/J7</f>
        <v>#DIV/0!</v>
      </c>
    </row>
    <row r="8" spans="1:29" s="117" customFormat="1" ht="14.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51" t="s">
        <v>2547</v>
      </c>
      <c r="Q8" s="3352"/>
      <c r="R8" s="770" t="s">
        <v>17</v>
      </c>
      <c r="S8" s="771">
        <f t="shared" si="0"/>
        <v>0</v>
      </c>
      <c r="T8" s="770" t="s">
        <v>17</v>
      </c>
      <c r="U8" s="771">
        <f t="shared" si="1"/>
        <v>0</v>
      </c>
      <c r="V8" s="770" t="s">
        <v>17</v>
      </c>
      <c r="W8" s="771">
        <f t="shared" si="2"/>
        <v>0</v>
      </c>
      <c r="X8" s="772"/>
      <c r="Y8" s="3351" t="s">
        <v>2547</v>
      </c>
      <c r="Z8" s="335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22"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773">
        <f t="shared" si="5"/>
        <v>1</v>
      </c>
    </row>
    <row r="10" spans="1:29" s="427" customFormat="1" ht="28">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22"/>
      <c r="Q10" s="1794"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22"/>
      <c r="Q11" s="1794"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773" t="e">
        <f t="shared" si="5"/>
        <v>#N/A</v>
      </c>
    </row>
    <row r="12" spans="1:29" s="117" customFormat="1" ht="15.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322"/>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322"/>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6"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322"/>
      <c r="Q14" s="1794">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70">
      <c r="A15" s="440" t="s">
        <v>2554</v>
      </c>
      <c r="B15" s="69" t="s">
        <v>2698</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24" t="s">
        <v>2555</v>
      </c>
      <c r="Q15" s="1809" t="str">
        <f t="shared" si="6"/>
        <v>产业集聚程度</v>
      </c>
      <c r="R15" s="774" t="s">
        <v>17</v>
      </c>
      <c r="S15" s="775">
        <f t="shared" si="0"/>
        <v>100</v>
      </c>
      <c r="T15" s="774" t="s">
        <v>17</v>
      </c>
      <c r="U15" s="775">
        <f t="shared" si="1"/>
        <v>100</v>
      </c>
      <c r="V15" s="774" t="s">
        <v>17</v>
      </c>
      <c r="W15" s="775">
        <f t="shared" si="2"/>
        <v>100</v>
      </c>
      <c r="X15" s="1812"/>
      <c r="Y15" s="3324" t="s">
        <v>2555</v>
      </c>
      <c r="Z15" s="1813" t="str">
        <f t="shared" si="7"/>
        <v>产业集聚程度</v>
      </c>
      <c r="AA15" s="1810">
        <f t="shared" si="3"/>
        <v>1</v>
      </c>
      <c r="AB15" s="1810">
        <f t="shared" si="4"/>
        <v>1</v>
      </c>
      <c r="AC15" s="1810">
        <f t="shared" si="5"/>
        <v>1</v>
      </c>
    </row>
    <row r="16" spans="1:29" ht="15.5">
      <c r="A16" s="428"/>
      <c r="B16" s="446"/>
      <c r="C16" s="447"/>
      <c r="D16" s="448"/>
      <c r="E16" s="447"/>
      <c r="F16" s="449"/>
      <c r="G16" s="447"/>
      <c r="H16" s="450"/>
      <c r="I16" s="447"/>
      <c r="J16" s="448"/>
      <c r="K16" s="615"/>
      <c r="L16" s="1140"/>
      <c r="M16" s="1131"/>
      <c r="N16" s="1131"/>
      <c r="O16" s="1139"/>
      <c r="P16" s="3325"/>
      <c r="Q16" s="1809"/>
      <c r="R16" s="774"/>
      <c r="S16" s="775"/>
      <c r="T16" s="774"/>
      <c r="U16" s="775"/>
      <c r="V16" s="774"/>
      <c r="W16" s="775"/>
      <c r="X16" s="1812"/>
      <c r="Y16" s="3325"/>
      <c r="Z16" s="1813"/>
      <c r="AA16" s="1810">
        <v>1</v>
      </c>
      <c r="AB16" s="1810">
        <v>1</v>
      </c>
      <c r="AC16" s="1810">
        <v>1</v>
      </c>
    </row>
    <row r="17" spans="1:29" ht="98">
      <c r="A17" s="428"/>
      <c r="B17" s="451" t="s">
        <v>2093</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2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5">
      <c r="A18" s="428"/>
      <c r="B18" s="456"/>
      <c r="C18" s="2604"/>
      <c r="D18" s="450"/>
      <c r="E18" s="2606"/>
      <c r="F18" s="453"/>
      <c r="G18" s="2605"/>
      <c r="H18" s="448"/>
      <c r="I18" s="2606"/>
      <c r="J18" s="448"/>
      <c r="K18" s="615"/>
      <c r="L18" s="1140"/>
      <c r="M18" s="1131"/>
      <c r="N18" s="1131"/>
      <c r="O18" s="1139"/>
      <c r="P18" s="3325"/>
      <c r="Q18" s="1809"/>
      <c r="R18" s="774"/>
      <c r="S18" s="775"/>
      <c r="T18" s="774"/>
      <c r="U18" s="775"/>
      <c r="V18" s="774"/>
      <c r="W18" s="775"/>
      <c r="X18" s="1812"/>
      <c r="Y18" s="3325"/>
      <c r="Z18" s="1813"/>
      <c r="AA18" s="1810">
        <v>1</v>
      </c>
      <c r="AB18" s="1810">
        <v>1</v>
      </c>
      <c r="AC18" s="1810">
        <v>1</v>
      </c>
    </row>
    <row r="19" spans="1:29" ht="42">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25"/>
      <c r="Q19" s="1809" t="str">
        <f>B19</f>
        <v>公共配套设施</v>
      </c>
      <c r="R19" s="774" t="s">
        <v>17</v>
      </c>
      <c r="S19" s="775">
        <f>F19</f>
        <v>100</v>
      </c>
      <c r="T19" s="774" t="s">
        <v>17</v>
      </c>
      <c r="U19" s="775">
        <f>H19</f>
        <v>100</v>
      </c>
      <c r="V19" s="774" t="s">
        <v>17</v>
      </c>
      <c r="W19" s="775">
        <f>J19</f>
        <v>100</v>
      </c>
      <c r="X19" s="1812"/>
      <c r="Y19" s="3325"/>
      <c r="Z19" s="1813" t="str">
        <f>Q19</f>
        <v>公共配套设施</v>
      </c>
      <c r="AA19" s="1810">
        <f t="shared" si="3"/>
        <v>1</v>
      </c>
      <c r="AB19" s="1810">
        <f t="shared" si="4"/>
        <v>1</v>
      </c>
      <c r="AC19" s="1810">
        <f t="shared" si="5"/>
        <v>1</v>
      </c>
    </row>
    <row r="20" spans="1:29" ht="15.5">
      <c r="A20" s="428"/>
      <c r="B20" s="456"/>
      <c r="C20" s="447"/>
      <c r="D20" s="448"/>
      <c r="E20" s="2601"/>
      <c r="F20" s="449"/>
      <c r="G20" s="2600"/>
      <c r="H20" s="448"/>
      <c r="I20" s="2601"/>
      <c r="J20" s="448"/>
      <c r="K20" s="615"/>
      <c r="L20" s="1140"/>
      <c r="M20" s="1131"/>
      <c r="N20" s="1131"/>
      <c r="O20" s="1139"/>
      <c r="P20" s="3325"/>
      <c r="Q20" s="1809"/>
      <c r="R20" s="774"/>
      <c r="S20" s="775"/>
      <c r="T20" s="774"/>
      <c r="U20" s="775"/>
      <c r="V20" s="774"/>
      <c r="W20" s="775"/>
      <c r="X20" s="1812"/>
      <c r="Y20" s="3325"/>
      <c r="Z20" s="1813"/>
      <c r="AA20" s="1810">
        <v>1</v>
      </c>
      <c r="AB20" s="1810">
        <v>1</v>
      </c>
      <c r="AC20" s="1810">
        <v>1</v>
      </c>
    </row>
    <row r="21" spans="1:29" ht="42">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25"/>
      <c r="Q21" s="1809" t="str">
        <f>B21</f>
        <v>基础设施水平</v>
      </c>
      <c r="R21" s="774" t="s">
        <v>17</v>
      </c>
      <c r="S21" s="775">
        <f>F21</f>
        <v>100</v>
      </c>
      <c r="T21" s="774" t="s">
        <v>17</v>
      </c>
      <c r="U21" s="775">
        <f>H21</f>
        <v>100</v>
      </c>
      <c r="V21" s="774" t="s">
        <v>17</v>
      </c>
      <c r="W21" s="775">
        <f>J21</f>
        <v>100</v>
      </c>
      <c r="X21" s="1812"/>
      <c r="Y21" s="3325"/>
      <c r="Z21" s="1813" t="str">
        <f>Q21</f>
        <v>基础设施水平</v>
      </c>
      <c r="AA21" s="1810">
        <f t="shared" ref="AA21" si="8">D21/F21</f>
        <v>1</v>
      </c>
      <c r="AB21" s="1810">
        <f t="shared" ref="AB21" si="9">D21/H21</f>
        <v>1</v>
      </c>
      <c r="AC21" s="1810">
        <f t="shared" ref="AC21" si="10">D21/J21</f>
        <v>1</v>
      </c>
    </row>
    <row r="22" spans="1:29" ht="15.5">
      <c r="A22" s="428"/>
      <c r="B22" s="1384"/>
      <c r="C22" s="2604"/>
      <c r="D22" s="448"/>
      <c r="E22" s="447"/>
      <c r="F22" s="449"/>
      <c r="G22" s="447"/>
      <c r="H22" s="448"/>
      <c r="I22" s="447"/>
      <c r="J22" s="448"/>
      <c r="K22" s="1383"/>
      <c r="L22" s="1140"/>
      <c r="M22" s="1131"/>
      <c r="N22" s="1131"/>
      <c r="O22" s="1139"/>
      <c r="P22" s="3325"/>
      <c r="Q22" s="1809"/>
      <c r="R22" s="774"/>
      <c r="S22" s="775"/>
      <c r="T22" s="774"/>
      <c r="U22" s="775"/>
      <c r="V22" s="774"/>
      <c r="W22" s="775"/>
      <c r="X22" s="1812"/>
      <c r="Y22" s="3325"/>
      <c r="Z22" s="1813"/>
      <c r="AA22" s="1810">
        <v>1</v>
      </c>
      <c r="AB22" s="1810">
        <v>1</v>
      </c>
      <c r="AC22" s="1810">
        <v>1</v>
      </c>
    </row>
    <row r="23" spans="1:29" ht="84">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25"/>
      <c r="Q23" s="1809" t="str">
        <f>B23</f>
        <v>环境质量</v>
      </c>
      <c r="R23" s="774" t="s">
        <v>17</v>
      </c>
      <c r="S23" s="775">
        <f>F23</f>
        <v>100</v>
      </c>
      <c r="T23" s="774" t="s">
        <v>17</v>
      </c>
      <c r="U23" s="775">
        <f>H23</f>
        <v>100</v>
      </c>
      <c r="V23" s="774" t="s">
        <v>17</v>
      </c>
      <c r="W23" s="775">
        <f>J23</f>
        <v>100</v>
      </c>
      <c r="X23" s="1812"/>
      <c r="Y23" s="3325"/>
      <c r="Z23" s="1813" t="str">
        <f>Q23</f>
        <v>环境质量</v>
      </c>
      <c r="AA23" s="1810">
        <f t="shared" si="3"/>
        <v>1</v>
      </c>
      <c r="AB23" s="1810">
        <f t="shared" si="4"/>
        <v>1</v>
      </c>
      <c r="AC23" s="1810">
        <f t="shared" si="5"/>
        <v>1</v>
      </c>
    </row>
    <row r="24" spans="1:29" ht="15.5">
      <c r="A24" s="428"/>
      <c r="B24" s="1384"/>
      <c r="C24" s="447"/>
      <c r="D24" s="448"/>
      <c r="E24" s="2601"/>
      <c r="F24" s="449"/>
      <c r="G24" s="2600"/>
      <c r="H24" s="448"/>
      <c r="I24" s="2601"/>
      <c r="J24" s="448"/>
      <c r="K24" s="615"/>
      <c r="L24" s="1140"/>
      <c r="M24" s="1131"/>
      <c r="N24" s="1131"/>
      <c r="O24" s="1139"/>
      <c r="P24" s="3325"/>
      <c r="Q24" s="1809"/>
      <c r="R24" s="774"/>
      <c r="S24" s="775"/>
      <c r="T24" s="774"/>
      <c r="U24" s="775"/>
      <c r="V24" s="774"/>
      <c r="W24" s="775"/>
      <c r="X24" s="1812"/>
      <c r="Y24" s="3325"/>
      <c r="Z24" s="1813"/>
      <c r="AA24" s="1810">
        <v>1</v>
      </c>
      <c r="AB24" s="1810">
        <v>1</v>
      </c>
      <c r="AC24" s="1810">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25"/>
      <c r="Q25" s="1809">
        <f>B25</f>
        <v>111</v>
      </c>
      <c r="R25" s="774" t="s">
        <v>17</v>
      </c>
      <c r="S25" s="775">
        <f>F25</f>
        <v>100</v>
      </c>
      <c r="T25" s="774" t="s">
        <v>17</v>
      </c>
      <c r="U25" s="775">
        <f>H25</f>
        <v>100</v>
      </c>
      <c r="V25" s="774" t="s">
        <v>17</v>
      </c>
      <c r="W25" s="775">
        <f>J25</f>
        <v>100</v>
      </c>
      <c r="X25" s="1812"/>
      <c r="Y25" s="3325"/>
      <c r="Z25" s="1813">
        <f>Q25</f>
        <v>111</v>
      </c>
      <c r="AA25" s="1810">
        <f t="shared" si="3"/>
        <v>1</v>
      </c>
      <c r="AB25" s="1810">
        <f t="shared" si="4"/>
        <v>1</v>
      </c>
      <c r="AC25" s="1810">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25"/>
      <c r="Q26" s="1809">
        <f t="shared" ref="Q26:Q40" si="11">B26</f>
        <v>111</v>
      </c>
      <c r="R26" s="774" t="s">
        <v>17</v>
      </c>
      <c r="S26" s="775">
        <f>F26</f>
        <v>100</v>
      </c>
      <c r="T26" s="774" t="s">
        <v>17</v>
      </c>
      <c r="U26" s="775">
        <f>H26</f>
        <v>100</v>
      </c>
      <c r="V26" s="774" t="s">
        <v>17</v>
      </c>
      <c r="W26" s="775">
        <f>J26</f>
        <v>100</v>
      </c>
      <c r="X26" s="1812"/>
      <c r="Y26" s="3325"/>
      <c r="Z26" s="1813">
        <f>Q26</f>
        <v>111</v>
      </c>
      <c r="AA26" s="1810">
        <f t="shared" si="3"/>
        <v>1</v>
      </c>
      <c r="AB26" s="1810">
        <f t="shared" si="4"/>
        <v>1</v>
      </c>
      <c r="AC26" s="1810">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25"/>
      <c r="Q27" s="1794">
        <f t="shared" si="11"/>
        <v>111</v>
      </c>
      <c r="R27" s="770" t="s">
        <v>17</v>
      </c>
      <c r="S27" s="771">
        <f>F27</f>
        <v>100</v>
      </c>
      <c r="T27" s="770" t="s">
        <v>17</v>
      </c>
      <c r="U27" s="771">
        <f>H27</f>
        <v>100</v>
      </c>
      <c r="V27" s="770" t="s">
        <v>17</v>
      </c>
      <c r="W27" s="771">
        <f>J27</f>
        <v>100</v>
      </c>
      <c r="X27" s="772"/>
      <c r="Y27" s="3325"/>
      <c r="Z27" s="55">
        <f>Q27</f>
        <v>111</v>
      </c>
      <c r="AA27" s="1810">
        <f>D27/F27</f>
        <v>1</v>
      </c>
      <c r="AB27" s="1810">
        <f>D27/H27</f>
        <v>1</v>
      </c>
      <c r="AC27" s="1810">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25"/>
      <c r="Q28" s="1809">
        <f t="shared" si="11"/>
        <v>111</v>
      </c>
      <c r="R28" s="774" t="s">
        <v>17</v>
      </c>
      <c r="S28" s="775">
        <f t="shared" ref="S28:S40" si="12">F28</f>
        <v>100</v>
      </c>
      <c r="T28" s="774" t="s">
        <v>17</v>
      </c>
      <c r="U28" s="775">
        <f t="shared" ref="U28:U40" si="13">H28</f>
        <v>100</v>
      </c>
      <c r="V28" s="774" t="s">
        <v>17</v>
      </c>
      <c r="W28" s="775">
        <f t="shared" ref="W28:W40" si="14">J28</f>
        <v>100</v>
      </c>
      <c r="X28" s="1812"/>
      <c r="Y28" s="3325"/>
      <c r="Z28" s="1813">
        <f t="shared" ref="Z28:Z40" si="15">Q28</f>
        <v>111</v>
      </c>
      <c r="AA28" s="1810">
        <f t="shared" si="3"/>
        <v>1</v>
      </c>
      <c r="AB28" s="1810">
        <f t="shared" si="4"/>
        <v>1</v>
      </c>
      <c r="AC28" s="1810">
        <f t="shared" si="5"/>
        <v>1</v>
      </c>
    </row>
    <row r="29" spans="1:29" ht="29">
      <c r="A29" s="466" t="s">
        <v>2558</v>
      </c>
      <c r="B29" s="71" t="s">
        <v>2688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326" t="s">
        <v>2560</v>
      </c>
      <c r="Q29" s="1809" t="str">
        <f t="shared" si="11"/>
        <v>建筑类型</v>
      </c>
      <c r="R29" s="774" t="s">
        <v>17</v>
      </c>
      <c r="S29" s="775">
        <f t="shared" si="12"/>
        <v>100</v>
      </c>
      <c r="T29" s="774" t="s">
        <v>17</v>
      </c>
      <c r="U29" s="775">
        <f t="shared" si="13"/>
        <v>100</v>
      </c>
      <c r="V29" s="774" t="s">
        <v>17</v>
      </c>
      <c r="W29" s="775">
        <f t="shared" si="14"/>
        <v>100</v>
      </c>
      <c r="X29" s="1812"/>
      <c r="Y29" s="3327" t="s">
        <v>2560</v>
      </c>
      <c r="Z29" s="1813" t="str">
        <f t="shared" si="15"/>
        <v>建筑类型</v>
      </c>
      <c r="AA29" s="1810">
        <f t="shared" si="3"/>
        <v>1</v>
      </c>
      <c r="AB29" s="1810">
        <f t="shared" si="4"/>
        <v>1</v>
      </c>
      <c r="AC29" s="1810">
        <f t="shared" si="5"/>
        <v>1</v>
      </c>
    </row>
    <row r="30" spans="1:29" s="471" customFormat="1" ht="15.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27"/>
      <c r="Q30" s="776" t="str">
        <f t="shared" si="11"/>
        <v>项目建筑规模</v>
      </c>
      <c r="R30" s="777" t="s">
        <v>17</v>
      </c>
      <c r="S30" s="778" t="e">
        <f t="shared" si="12"/>
        <v>#N/A</v>
      </c>
      <c r="T30" s="777" t="s">
        <v>17</v>
      </c>
      <c r="U30" s="778" t="e">
        <f t="shared" si="13"/>
        <v>#N/A</v>
      </c>
      <c r="V30" s="777" t="s">
        <v>17</v>
      </c>
      <c r="W30" s="778" t="e">
        <f t="shared" si="14"/>
        <v>#N/A</v>
      </c>
      <c r="X30" s="779"/>
      <c r="Y30" s="3327"/>
      <c r="Z30" s="780" t="str">
        <f t="shared" si="15"/>
        <v>项目建筑规模</v>
      </c>
      <c r="AA30" s="1810" t="e">
        <f t="shared" si="3"/>
        <v>#N/A</v>
      </c>
      <c r="AB30" s="1810" t="e">
        <f t="shared" si="4"/>
        <v>#N/A</v>
      </c>
      <c r="AC30" s="1810" t="e">
        <f t="shared" si="5"/>
        <v>#N/A</v>
      </c>
    </row>
    <row r="31" spans="1:29" ht="15.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27"/>
      <c r="Q31" s="1809" t="str">
        <f t="shared" si="11"/>
        <v>建筑结构</v>
      </c>
      <c r="R31" s="774" t="s">
        <v>17</v>
      </c>
      <c r="S31" s="775">
        <f t="shared" si="12"/>
        <v>100</v>
      </c>
      <c r="T31" s="774" t="s">
        <v>17</v>
      </c>
      <c r="U31" s="775">
        <f t="shared" si="13"/>
        <v>100</v>
      </c>
      <c r="V31" s="774" t="s">
        <v>17</v>
      </c>
      <c r="W31" s="775">
        <f t="shared" si="14"/>
        <v>100</v>
      </c>
      <c r="X31" s="1812"/>
      <c r="Y31" s="3327"/>
      <c r="Z31" s="1813" t="str">
        <f t="shared" si="15"/>
        <v>建筑结构</v>
      </c>
      <c r="AA31" s="1810">
        <f t="shared" si="3"/>
        <v>1</v>
      </c>
      <c r="AB31" s="1810">
        <f t="shared" si="4"/>
        <v>1</v>
      </c>
      <c r="AC31" s="1810">
        <f t="shared" si="5"/>
        <v>1</v>
      </c>
    </row>
    <row r="32" spans="1:29" ht="15.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27"/>
      <c r="Q32" s="1809" t="str">
        <f t="shared" si="11"/>
        <v>公共部分装修</v>
      </c>
      <c r="R32" s="774" t="s">
        <v>17</v>
      </c>
      <c r="S32" s="775">
        <f t="shared" si="12"/>
        <v>100</v>
      </c>
      <c r="T32" s="774" t="s">
        <v>17</v>
      </c>
      <c r="U32" s="775">
        <f t="shared" si="13"/>
        <v>100</v>
      </c>
      <c r="V32" s="774" t="s">
        <v>17</v>
      </c>
      <c r="W32" s="775">
        <f t="shared" si="14"/>
        <v>100</v>
      </c>
      <c r="X32" s="1812"/>
      <c r="Y32" s="3327"/>
      <c r="Z32" s="1813" t="str">
        <f t="shared" si="15"/>
        <v>公共部分装修</v>
      </c>
      <c r="AA32" s="1810">
        <f t="shared" si="3"/>
        <v>1</v>
      </c>
      <c r="AB32" s="1810">
        <f t="shared" si="4"/>
        <v>1</v>
      </c>
      <c r="AC32" s="1810">
        <f t="shared" si="5"/>
        <v>1</v>
      </c>
    </row>
    <row r="33" spans="1:29" ht="15.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27"/>
      <c r="Q33" s="1809" t="str">
        <f t="shared" si="11"/>
        <v>成新度</v>
      </c>
      <c r="R33" s="774" t="s">
        <v>17</v>
      </c>
      <c r="S33" s="775" t="e">
        <f t="shared" si="12"/>
        <v>#N/A</v>
      </c>
      <c r="T33" s="774" t="s">
        <v>17</v>
      </c>
      <c r="U33" s="775" t="e">
        <f t="shared" si="13"/>
        <v>#N/A</v>
      </c>
      <c r="V33" s="774" t="s">
        <v>17</v>
      </c>
      <c r="W33" s="775" t="e">
        <f t="shared" si="14"/>
        <v>#N/A</v>
      </c>
      <c r="X33" s="1812"/>
      <c r="Y33" s="3327"/>
      <c r="Z33" s="1813" t="str">
        <f t="shared" si="15"/>
        <v>成新度</v>
      </c>
      <c r="AA33" s="1810" t="e">
        <f t="shared" si="3"/>
        <v>#N/A</v>
      </c>
      <c r="AB33" s="1810" t="e">
        <f t="shared" si="4"/>
        <v>#N/A</v>
      </c>
      <c r="AC33" s="1810" t="e">
        <f t="shared" si="5"/>
        <v>#N/A</v>
      </c>
    </row>
    <row r="34" spans="1:29" s="117" customFormat="1" ht="15.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27"/>
      <c r="Q34" s="1794" t="str">
        <f t="shared" si="11"/>
        <v>物业管理</v>
      </c>
      <c r="R34" s="770" t="s">
        <v>17</v>
      </c>
      <c r="S34" s="771">
        <f t="shared" si="12"/>
        <v>100</v>
      </c>
      <c r="T34" s="770" t="s">
        <v>17</v>
      </c>
      <c r="U34" s="771">
        <f t="shared" si="13"/>
        <v>100</v>
      </c>
      <c r="V34" s="770" t="s">
        <v>17</v>
      </c>
      <c r="W34" s="771">
        <f t="shared" si="14"/>
        <v>100</v>
      </c>
      <c r="X34" s="772"/>
      <c r="Y34" s="3327"/>
      <c r="Z34" s="55" t="str">
        <f t="shared" si="15"/>
        <v>物业管理</v>
      </c>
      <c r="AA34" s="773">
        <f t="shared" si="3"/>
        <v>1</v>
      </c>
      <c r="AB34" s="773">
        <f t="shared" si="4"/>
        <v>1</v>
      </c>
      <c r="AC34" s="773">
        <f t="shared" si="5"/>
        <v>1</v>
      </c>
    </row>
    <row r="35" spans="1:29" ht="15.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27" t="s">
        <v>2560</v>
      </c>
      <c r="Q35" s="1809" t="str">
        <f t="shared" si="11"/>
        <v>市政基础设施</v>
      </c>
      <c r="R35" s="774" t="s">
        <v>17</v>
      </c>
      <c r="S35" s="775">
        <f t="shared" si="12"/>
        <v>100</v>
      </c>
      <c r="T35" s="774" t="s">
        <v>17</v>
      </c>
      <c r="U35" s="775">
        <f t="shared" si="13"/>
        <v>100</v>
      </c>
      <c r="V35" s="774" t="s">
        <v>17</v>
      </c>
      <c r="W35" s="775">
        <f t="shared" si="14"/>
        <v>100</v>
      </c>
      <c r="X35" s="1812"/>
      <c r="Y35" s="3327" t="s">
        <v>2560</v>
      </c>
      <c r="Z35" s="1813" t="str">
        <f t="shared" si="15"/>
        <v>市政基础设施</v>
      </c>
      <c r="AA35" s="1810">
        <f t="shared" si="3"/>
        <v>1</v>
      </c>
      <c r="AB35" s="1810">
        <f t="shared" si="4"/>
        <v>1</v>
      </c>
      <c r="AC35" s="1810">
        <f t="shared" si="5"/>
        <v>1</v>
      </c>
    </row>
    <row r="36" spans="1:29" ht="15.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27"/>
      <c r="Q36" s="1809" t="str">
        <f t="shared" si="11"/>
        <v>内部装修</v>
      </c>
      <c r="R36" s="774" t="s">
        <v>17</v>
      </c>
      <c r="S36" s="775">
        <f t="shared" si="12"/>
        <v>100</v>
      </c>
      <c r="T36" s="774" t="s">
        <v>17</v>
      </c>
      <c r="U36" s="775">
        <f t="shared" si="13"/>
        <v>100</v>
      </c>
      <c r="V36" s="774" t="s">
        <v>17</v>
      </c>
      <c r="W36" s="775">
        <f t="shared" si="14"/>
        <v>100</v>
      </c>
      <c r="X36" s="1812"/>
      <c r="Y36" s="3327"/>
      <c r="Z36" s="1813" t="str">
        <f t="shared" si="15"/>
        <v>内部装修</v>
      </c>
      <c r="AA36" s="1810">
        <f t="shared" si="3"/>
        <v>1</v>
      </c>
      <c r="AB36" s="1810">
        <f t="shared" si="4"/>
        <v>1</v>
      </c>
      <c r="AC36" s="1810">
        <f t="shared" si="5"/>
        <v>1</v>
      </c>
    </row>
    <row r="37" spans="1:29" ht="15.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27"/>
      <c r="Q37" s="1809" t="str">
        <f t="shared" si="11"/>
        <v>内部装修状况</v>
      </c>
      <c r="R37" s="774" t="s">
        <v>17</v>
      </c>
      <c r="S37" s="775">
        <f t="shared" si="12"/>
        <v>100</v>
      </c>
      <c r="T37" s="774" t="s">
        <v>17</v>
      </c>
      <c r="U37" s="775">
        <f t="shared" si="13"/>
        <v>100</v>
      </c>
      <c r="V37" s="774" t="s">
        <v>17</v>
      </c>
      <c r="W37" s="775">
        <f t="shared" si="14"/>
        <v>100</v>
      </c>
      <c r="X37" s="1812"/>
      <c r="Y37" s="3327"/>
      <c r="Z37" s="1813" t="str">
        <f t="shared" si="15"/>
        <v>内部装修状况</v>
      </c>
      <c r="AA37" s="1810">
        <f t="shared" si="3"/>
        <v>1</v>
      </c>
      <c r="AB37" s="1810">
        <f t="shared" si="4"/>
        <v>1</v>
      </c>
      <c r="AC37" s="1810">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27"/>
      <c r="Q38" s="776">
        <f t="shared" si="11"/>
        <v>111</v>
      </c>
      <c r="R38" s="777" t="s">
        <v>17</v>
      </c>
      <c r="S38" s="778">
        <f t="shared" si="12"/>
        <v>100</v>
      </c>
      <c r="T38" s="777" t="s">
        <v>17</v>
      </c>
      <c r="U38" s="778">
        <f t="shared" si="13"/>
        <v>100</v>
      </c>
      <c r="V38" s="777" t="s">
        <v>17</v>
      </c>
      <c r="W38" s="778">
        <f t="shared" si="14"/>
        <v>100</v>
      </c>
      <c r="X38" s="779"/>
      <c r="Y38" s="3327"/>
      <c r="Z38" s="780">
        <f t="shared" si="15"/>
        <v>111</v>
      </c>
      <c r="AA38" s="1810">
        <f t="shared" si="3"/>
        <v>1</v>
      </c>
      <c r="AB38" s="1810">
        <f t="shared" si="4"/>
        <v>1</v>
      </c>
      <c r="AC38" s="1810">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27"/>
      <c r="Q39" s="1809">
        <f t="shared" si="11"/>
        <v>111</v>
      </c>
      <c r="R39" s="774" t="s">
        <v>17</v>
      </c>
      <c r="S39" s="775">
        <f t="shared" si="12"/>
        <v>100</v>
      </c>
      <c r="T39" s="774" t="s">
        <v>17</v>
      </c>
      <c r="U39" s="775">
        <f t="shared" si="13"/>
        <v>100</v>
      </c>
      <c r="V39" s="774" t="s">
        <v>17</v>
      </c>
      <c r="W39" s="775">
        <f t="shared" si="14"/>
        <v>100</v>
      </c>
      <c r="X39" s="1812"/>
      <c r="Y39" s="3327"/>
      <c r="Z39" s="1813">
        <f t="shared" si="15"/>
        <v>111</v>
      </c>
      <c r="AA39" s="1810">
        <f t="shared" si="3"/>
        <v>1</v>
      </c>
      <c r="AB39" s="1810">
        <f t="shared" si="4"/>
        <v>1</v>
      </c>
      <c r="AC39" s="1810">
        <f t="shared" si="5"/>
        <v>1</v>
      </c>
    </row>
    <row r="40" spans="1:29" ht="16"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63"/>
      <c r="Q40" s="1809">
        <f t="shared" si="11"/>
        <v>111</v>
      </c>
      <c r="R40" s="774" t="s">
        <v>17</v>
      </c>
      <c r="S40" s="775">
        <f t="shared" si="12"/>
        <v>100</v>
      </c>
      <c r="T40" s="774" t="s">
        <v>17</v>
      </c>
      <c r="U40" s="775">
        <f t="shared" si="13"/>
        <v>100</v>
      </c>
      <c r="V40" s="774" t="s">
        <v>17</v>
      </c>
      <c r="W40" s="775">
        <f t="shared" si="14"/>
        <v>100</v>
      </c>
      <c r="X40" s="1812"/>
      <c r="Y40" s="3363"/>
      <c r="Z40" s="1813">
        <f t="shared" si="15"/>
        <v>111</v>
      </c>
      <c r="AA40" s="1810">
        <f t="shared" si="3"/>
        <v>1</v>
      </c>
      <c r="AB40" s="1810">
        <f t="shared" si="4"/>
        <v>1</v>
      </c>
      <c r="AC40" s="1810">
        <f t="shared" si="5"/>
        <v>1</v>
      </c>
    </row>
    <row r="41" spans="1:29">
      <c r="A41" s="479" t="s">
        <v>2572</v>
      </c>
      <c r="B41" s="480"/>
      <c r="C41" s="1407" t="s">
        <v>1</v>
      </c>
      <c r="D41" s="1408"/>
      <c r="E41" s="1409"/>
      <c r="F41" s="1410"/>
      <c r="G41" s="1411"/>
      <c r="H41" s="1412"/>
      <c r="I41" s="1409"/>
      <c r="J41" s="1412"/>
      <c r="K41" s="783"/>
      <c r="L41" s="1143"/>
      <c r="M41" s="1144"/>
      <c r="N41" s="1131"/>
      <c r="O41" s="1144"/>
      <c r="P41" s="3322" t="str">
        <f>A41</f>
        <v>成交单价（元/平方米）</v>
      </c>
      <c r="Q41" s="3322"/>
      <c r="R41" s="3359">
        <f>E41</f>
        <v>0</v>
      </c>
      <c r="S41" s="3359"/>
      <c r="T41" s="3359">
        <f>G41</f>
        <v>0</v>
      </c>
      <c r="U41" s="3359"/>
      <c r="V41" s="3359">
        <f>I41</f>
        <v>0</v>
      </c>
      <c r="W41" s="3359"/>
      <c r="X41" s="759"/>
      <c r="Y41" s="781"/>
      <c r="Z41" s="759"/>
      <c r="AA41" s="759"/>
      <c r="AB41" s="759"/>
      <c r="AC41" s="759"/>
    </row>
    <row r="42" spans="1:29" ht="14.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22" t="str">
        <f>A42</f>
        <v>比较价值（元/平方米）</v>
      </c>
      <c r="Q42" s="3322"/>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759"/>
      <c r="Y42" s="759"/>
      <c r="Z42" s="759"/>
      <c r="AA42" s="759"/>
      <c r="AB42" s="759"/>
      <c r="AC42" s="759"/>
    </row>
    <row r="43" spans="1:29" ht="14.5" thickBot="1">
      <c r="A43" s="492" t="s">
        <v>2665</v>
      </c>
      <c r="B43" s="493"/>
      <c r="C43" s="1417" t="e">
        <f>R43</f>
        <v>#DIV/0!</v>
      </c>
      <c r="D43" s="1417"/>
      <c r="E43" s="1417"/>
      <c r="F43" s="1417"/>
      <c r="G43" s="1417"/>
      <c r="H43" s="1417"/>
      <c r="I43" s="1417"/>
      <c r="J43" s="1417"/>
      <c r="K43" s="785"/>
      <c r="L43" s="1143"/>
      <c r="M43" s="1144"/>
      <c r="N43" s="1144"/>
      <c r="O43" s="1144"/>
      <c r="P43" s="3316" t="str">
        <f>A43</f>
        <v>估价对象XX用房的比较价值（楼面单价，元/平方米）</v>
      </c>
      <c r="Q43" s="3317"/>
      <c r="R43" s="3358" t="e">
        <f>IF(F1="售价",ROUND(AVERAGE(R42:V42),0),ROUND(AVERAGE(R42:V42),1))</f>
        <v>#DIV/0!</v>
      </c>
      <c r="S43" s="3358"/>
      <c r="T43" s="3358"/>
      <c r="U43" s="3358"/>
      <c r="V43" s="3358"/>
      <c r="W43" s="335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2669</v>
      </c>
      <c r="B51" s="759"/>
      <c r="C51" s="764"/>
      <c r="D51" s="764"/>
      <c r="E51" s="764"/>
      <c r="F51" s="765"/>
      <c r="G51" s="765"/>
      <c r="H51" s="764"/>
      <c r="I51" s="764"/>
      <c r="J51" s="764"/>
      <c r="K51" s="1160"/>
      <c r="L51" s="1161"/>
      <c r="M51" s="1159"/>
      <c r="N51" s="1159"/>
      <c r="O51" s="1159"/>
      <c r="P51" s="503"/>
      <c r="Q51" s="504"/>
    </row>
    <row r="52" spans="1:17" s="508" customFormat="1">
      <c r="A52" s="505" t="s">
        <v>2543</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2580</v>
      </c>
      <c r="B54" s="516"/>
      <c r="C54" s="517"/>
      <c r="D54" s="518"/>
      <c r="E54" s="518"/>
      <c r="F54" s="518"/>
      <c r="G54" s="518"/>
      <c r="H54" s="518"/>
      <c r="I54" s="518"/>
      <c r="J54" s="518"/>
      <c r="K54" s="518"/>
      <c r="L54" s="518"/>
      <c r="M54" s="519"/>
      <c r="N54" s="518"/>
      <c r="O54" s="520"/>
      <c r="P54" s="504"/>
      <c r="Q54" s="504"/>
    </row>
    <row r="55" spans="1:17" s="117" customFormat="1">
      <c r="A55" s="521" t="s">
        <v>2545</v>
      </c>
      <c r="B55" s="510"/>
      <c r="C55" s="522" t="s">
        <v>2647</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0"/>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2609</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2611</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2613</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2615</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5.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112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2702</v>
      </c>
      <c r="B1" s="1619"/>
      <c r="C1" s="1620" t="s">
        <v>2525</v>
      </c>
      <c r="D1" s="1621"/>
      <c r="E1" s="1622"/>
      <c r="F1" s="2581"/>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30" t="s">
        <v>2643</v>
      </c>
      <c r="AC4" s="3329" t="s">
        <v>2644</v>
      </c>
    </row>
    <row r="5" spans="1:29">
      <c r="A5" s="404"/>
      <c r="B5" s="405"/>
      <c r="C5" s="3349" t="s">
        <v>2537</v>
      </c>
      <c r="D5" s="3350"/>
      <c r="E5" s="3356" t="s">
        <v>2538</v>
      </c>
      <c r="F5" s="3357"/>
      <c r="G5" s="3349" t="s">
        <v>2539</v>
      </c>
      <c r="H5" s="3350"/>
      <c r="I5" s="3349" t="s">
        <v>2540</v>
      </c>
      <c r="J5" s="3350"/>
      <c r="K5" s="610"/>
      <c r="L5" s="1130"/>
      <c r="M5" s="1131"/>
      <c r="N5" s="1131"/>
      <c r="O5" s="1131"/>
      <c r="P5" s="3337"/>
      <c r="Q5" s="3338"/>
      <c r="R5" s="3343"/>
      <c r="S5" s="3344"/>
      <c r="T5" s="3343"/>
      <c r="U5" s="3344"/>
      <c r="V5" s="3328"/>
      <c r="W5" s="3328"/>
      <c r="X5" s="1812"/>
      <c r="Y5" s="3343"/>
      <c r="Z5" s="3344"/>
      <c r="AA5" s="3330"/>
      <c r="AB5" s="3330"/>
      <c r="AC5" s="3330"/>
    </row>
    <row r="6" spans="1:29" ht="15" thickBot="1">
      <c r="A6" s="406"/>
      <c r="B6" s="407"/>
      <c r="C6" s="3347" t="s">
        <v>2541</v>
      </c>
      <c r="D6" s="3348"/>
      <c r="E6" s="3354" t="s">
        <v>2541</v>
      </c>
      <c r="F6" s="3355"/>
      <c r="G6" s="3347" t="s">
        <v>2541</v>
      </c>
      <c r="H6" s="3348"/>
      <c r="I6" s="3347" t="s">
        <v>2541</v>
      </c>
      <c r="J6" s="3348"/>
      <c r="K6" s="610" t="s">
        <v>2542</v>
      </c>
      <c r="L6" s="1130"/>
      <c r="M6" s="1131"/>
      <c r="N6" s="1131"/>
      <c r="O6" s="1131"/>
      <c r="P6" s="3339"/>
      <c r="Q6" s="3340"/>
      <c r="R6" s="3343"/>
      <c r="S6" s="3344"/>
      <c r="T6" s="3345"/>
      <c r="U6" s="3346"/>
      <c r="V6" s="3328"/>
      <c r="W6" s="3328"/>
      <c r="X6" s="1812"/>
      <c r="Y6" s="3345"/>
      <c r="Z6" s="3346"/>
      <c r="AA6" s="3331"/>
      <c r="AB6" s="3331"/>
      <c r="AC6" s="3331"/>
    </row>
    <row r="7" spans="1:29" s="117" customFormat="1" ht="14.5" thickBot="1">
      <c r="A7" s="408" t="s">
        <v>2543</v>
      </c>
      <c r="B7" s="409"/>
      <c r="C7" s="410">
        <f>'数据-取费表'!B2</f>
        <v>43913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51" t="s">
        <v>2544</v>
      </c>
      <c r="Q7" s="3353"/>
      <c r="R7" s="770" t="s">
        <v>17</v>
      </c>
      <c r="S7" s="771">
        <f t="shared" ref="S7:S14" si="0">F7</f>
        <v>0</v>
      </c>
      <c r="T7" s="770" t="s">
        <v>17</v>
      </c>
      <c r="U7" s="771">
        <f t="shared" ref="U7:U14" si="1">H7</f>
        <v>0</v>
      </c>
      <c r="V7" s="770" t="s">
        <v>17</v>
      </c>
      <c r="W7" s="771">
        <f t="shared" ref="W7:W14" si="2">J7</f>
        <v>0</v>
      </c>
      <c r="X7" s="772"/>
      <c r="Y7" s="3351" t="s">
        <v>2544</v>
      </c>
      <c r="Z7" s="3352"/>
      <c r="AA7" s="773" t="e">
        <f>D7/F7</f>
        <v>#DIV/0!</v>
      </c>
      <c r="AB7" s="773" t="e">
        <f>D7/H7</f>
        <v>#DIV/0!</v>
      </c>
      <c r="AC7" s="773" t="e">
        <f>D7/J7</f>
        <v>#DIV/0!</v>
      </c>
    </row>
    <row r="8" spans="1:29" s="117" customFormat="1" ht="14.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51" t="s">
        <v>2547</v>
      </c>
      <c r="Q8" s="3352"/>
      <c r="R8" s="770" t="s">
        <v>17</v>
      </c>
      <c r="S8" s="771">
        <f t="shared" si="0"/>
        <v>0</v>
      </c>
      <c r="T8" s="770" t="s">
        <v>17</v>
      </c>
      <c r="U8" s="771">
        <f t="shared" si="1"/>
        <v>0</v>
      </c>
      <c r="V8" s="770" t="s">
        <v>17</v>
      </c>
      <c r="W8" s="771">
        <f t="shared" si="2"/>
        <v>0</v>
      </c>
      <c r="X8" s="772"/>
      <c r="Y8" s="3351" t="s">
        <v>2547</v>
      </c>
      <c r="Z8" s="335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22" t="s">
        <v>2550</v>
      </c>
      <c r="Q9" s="1794" t="str">
        <f t="shared" ref="Q9:Q14" si="6">B9</f>
        <v>用途</v>
      </c>
      <c r="R9" s="770" t="s">
        <v>17</v>
      </c>
      <c r="S9" s="771">
        <f t="shared" si="0"/>
        <v>100</v>
      </c>
      <c r="T9" s="770" t="s">
        <v>17</v>
      </c>
      <c r="U9" s="771">
        <f t="shared" si="1"/>
        <v>100</v>
      </c>
      <c r="V9" s="770" t="s">
        <v>17</v>
      </c>
      <c r="W9" s="771">
        <f t="shared" si="2"/>
        <v>100</v>
      </c>
      <c r="X9" s="772"/>
      <c r="Y9" s="3112" t="s">
        <v>2551</v>
      </c>
      <c r="Z9" s="55" t="str">
        <f t="shared" ref="Z9:Z14" si="7">Q9</f>
        <v>用途</v>
      </c>
      <c r="AA9" s="773">
        <f t="shared" si="3"/>
        <v>1</v>
      </c>
      <c r="AB9" s="773">
        <f t="shared" si="4"/>
        <v>1</v>
      </c>
      <c r="AC9" s="773">
        <f t="shared" si="5"/>
        <v>1</v>
      </c>
    </row>
    <row r="10" spans="1:29" s="427" customFormat="1" ht="28">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22"/>
      <c r="Q10" s="1794"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22"/>
      <c r="Q11" s="1794">
        <f t="shared" si="6"/>
        <v>111</v>
      </c>
      <c r="R11" s="770" t="s">
        <v>17</v>
      </c>
      <c r="S11" s="771">
        <f t="shared" si="0"/>
        <v>100</v>
      </c>
      <c r="T11" s="770" t="s">
        <v>17</v>
      </c>
      <c r="U11" s="771">
        <f t="shared" si="1"/>
        <v>100</v>
      </c>
      <c r="V11" s="770" t="s">
        <v>17</v>
      </c>
      <c r="W11" s="771">
        <f t="shared" si="2"/>
        <v>100</v>
      </c>
      <c r="X11" s="772"/>
      <c r="Y11" s="3112"/>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22"/>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22"/>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98">
      <c r="A14" s="401" t="s">
        <v>2554</v>
      </c>
      <c r="B14" s="629" t="s">
        <v>2704</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24" t="s">
        <v>2555</v>
      </c>
      <c r="Q14" s="1809" t="str">
        <f t="shared" si="6"/>
        <v>交通便捷度</v>
      </c>
      <c r="R14" s="774" t="s">
        <v>17</v>
      </c>
      <c r="S14" s="775">
        <f t="shared" si="0"/>
        <v>100</v>
      </c>
      <c r="T14" s="774" t="s">
        <v>17</v>
      </c>
      <c r="U14" s="775">
        <f t="shared" si="1"/>
        <v>100</v>
      </c>
      <c r="V14" s="774" t="s">
        <v>17</v>
      </c>
      <c r="W14" s="775">
        <f t="shared" si="2"/>
        <v>100</v>
      </c>
      <c r="X14" s="1812"/>
      <c r="Y14" s="3324" t="s">
        <v>2555</v>
      </c>
      <c r="Z14" s="1813" t="str">
        <f t="shared" si="7"/>
        <v>交通便捷度</v>
      </c>
      <c r="AA14" s="1810">
        <f t="shared" si="3"/>
        <v>1</v>
      </c>
      <c r="AB14" s="1810">
        <f t="shared" si="4"/>
        <v>1</v>
      </c>
      <c r="AC14" s="1810">
        <f t="shared" si="5"/>
        <v>1</v>
      </c>
    </row>
    <row r="15" spans="1:29" ht="15.5">
      <c r="A15" s="404"/>
      <c r="B15" s="647"/>
      <c r="C15" s="447"/>
      <c r="D15" s="448"/>
      <c r="E15" s="447"/>
      <c r="F15" s="449"/>
      <c r="G15" s="447"/>
      <c r="H15" s="450"/>
      <c r="I15" s="447"/>
      <c r="J15" s="448"/>
      <c r="K15" s="615"/>
      <c r="L15" s="1140"/>
      <c r="M15" s="1131"/>
      <c r="N15" s="1131"/>
      <c r="O15" s="1131"/>
      <c r="P15" s="3325"/>
      <c r="Q15" s="1809"/>
      <c r="R15" s="774"/>
      <c r="S15" s="775"/>
      <c r="T15" s="774"/>
      <c r="U15" s="775"/>
      <c r="V15" s="774"/>
      <c r="W15" s="775"/>
      <c r="X15" s="1812"/>
      <c r="Y15" s="3325"/>
      <c r="Z15" s="1813"/>
      <c r="AA15" s="1810">
        <v>1</v>
      </c>
      <c r="AB15" s="1810">
        <v>1</v>
      </c>
      <c r="AC15" s="1810">
        <v>1</v>
      </c>
    </row>
    <row r="16" spans="1:29" ht="42">
      <c r="A16" s="404"/>
      <c r="B16" s="631" t="s">
        <v>2683</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25"/>
      <c r="Q16" s="1809" t="str">
        <f>B16</f>
        <v>公共配套设施</v>
      </c>
      <c r="R16" s="774" t="s">
        <v>17</v>
      </c>
      <c r="S16" s="775">
        <f>F16</f>
        <v>100</v>
      </c>
      <c r="T16" s="774" t="s">
        <v>17</v>
      </c>
      <c r="U16" s="775">
        <f>H16</f>
        <v>100</v>
      </c>
      <c r="V16" s="774" t="s">
        <v>17</v>
      </c>
      <c r="W16" s="775">
        <f>J16</f>
        <v>100</v>
      </c>
      <c r="X16" s="1812"/>
      <c r="Y16" s="3325"/>
      <c r="Z16" s="1813" t="str">
        <f>Q16</f>
        <v>公共配套设施</v>
      </c>
      <c r="AA16" s="1810">
        <f t="shared" si="3"/>
        <v>1</v>
      </c>
      <c r="AB16" s="1810">
        <f t="shared" si="4"/>
        <v>1</v>
      </c>
      <c r="AC16" s="1810">
        <f t="shared" si="5"/>
        <v>1</v>
      </c>
    </row>
    <row r="17" spans="1:29" ht="15.5">
      <c r="A17" s="404"/>
      <c r="B17" s="632"/>
      <c r="C17" s="2604"/>
      <c r="D17" s="448"/>
      <c r="E17" s="447"/>
      <c r="F17" s="449"/>
      <c r="G17" s="447"/>
      <c r="H17" s="448"/>
      <c r="I17" s="447"/>
      <c r="J17" s="448"/>
      <c r="K17" s="615"/>
      <c r="L17" s="1140"/>
      <c r="M17" s="1131"/>
      <c r="N17" s="1131"/>
      <c r="O17" s="1131"/>
      <c r="P17" s="3325"/>
      <c r="Q17" s="1809"/>
      <c r="R17" s="774"/>
      <c r="S17" s="775"/>
      <c r="T17" s="774"/>
      <c r="U17" s="775"/>
      <c r="V17" s="774"/>
      <c r="W17" s="775"/>
      <c r="X17" s="1812"/>
      <c r="Y17" s="3325"/>
      <c r="Z17" s="1813"/>
      <c r="AA17" s="1810">
        <v>1</v>
      </c>
      <c r="AB17" s="1810">
        <v>1</v>
      </c>
      <c r="AC17" s="1810">
        <v>1</v>
      </c>
    </row>
    <row r="18" spans="1:29" ht="42">
      <c r="A18" s="404"/>
      <c r="B18" s="633" t="s">
        <v>2684</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25"/>
      <c r="Q18" s="1809" t="str">
        <f>B18</f>
        <v>基础设施水平</v>
      </c>
      <c r="R18" s="774" t="s">
        <v>17</v>
      </c>
      <c r="S18" s="775">
        <f>F18</f>
        <v>100</v>
      </c>
      <c r="T18" s="774" t="s">
        <v>17</v>
      </c>
      <c r="U18" s="775">
        <f>H18</f>
        <v>100</v>
      </c>
      <c r="V18" s="774" t="s">
        <v>17</v>
      </c>
      <c r="W18" s="775">
        <f>J18</f>
        <v>100</v>
      </c>
      <c r="X18" s="1812"/>
      <c r="Y18" s="3325"/>
      <c r="Z18" s="1813" t="str">
        <f>Q18</f>
        <v>基础设施水平</v>
      </c>
      <c r="AA18" s="1810">
        <f t="shared" ref="AA18" si="8">D18/F18</f>
        <v>1</v>
      </c>
      <c r="AB18" s="1810">
        <f t="shared" ref="AB18" si="9">D18/H18</f>
        <v>1</v>
      </c>
      <c r="AC18" s="1810">
        <f t="shared" ref="AC18" si="10">D18/J18</f>
        <v>1</v>
      </c>
    </row>
    <row r="19" spans="1:29" ht="15.5">
      <c r="A19" s="404"/>
      <c r="B19" s="633"/>
      <c r="C19" s="2604"/>
      <c r="D19" s="450"/>
      <c r="E19" s="2604"/>
      <c r="F19" s="453"/>
      <c r="G19" s="2604"/>
      <c r="H19" s="448"/>
      <c r="I19" s="447"/>
      <c r="J19" s="448"/>
      <c r="K19" s="1383"/>
      <c r="L19" s="1140"/>
      <c r="M19" s="1131"/>
      <c r="N19" s="1131"/>
      <c r="O19" s="1131"/>
      <c r="P19" s="3325"/>
      <c r="Q19" s="1809"/>
      <c r="R19" s="774"/>
      <c r="S19" s="775"/>
      <c r="T19" s="774"/>
      <c r="U19" s="775"/>
      <c r="V19" s="774"/>
      <c r="W19" s="775"/>
      <c r="X19" s="1812"/>
      <c r="Y19" s="3325"/>
      <c r="Z19" s="1813"/>
      <c r="AA19" s="1810">
        <v>1</v>
      </c>
      <c r="AB19" s="1810">
        <v>1</v>
      </c>
      <c r="AC19" s="1810">
        <v>1</v>
      </c>
    </row>
    <row r="20" spans="1:29" ht="56">
      <c r="A20" s="404"/>
      <c r="B20" s="631" t="s">
        <v>2705</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25"/>
      <c r="Q20" s="1809" t="str">
        <f>B20</f>
        <v>自然及人文环境</v>
      </c>
      <c r="R20" s="774" t="s">
        <v>17</v>
      </c>
      <c r="S20" s="775">
        <f>F20</f>
        <v>100</v>
      </c>
      <c r="T20" s="774" t="s">
        <v>17</v>
      </c>
      <c r="U20" s="775">
        <f>H20</f>
        <v>100</v>
      </c>
      <c r="V20" s="774" t="s">
        <v>17</v>
      </c>
      <c r="W20" s="775">
        <f>J20</f>
        <v>100</v>
      </c>
      <c r="X20" s="1812"/>
      <c r="Y20" s="3325"/>
      <c r="Z20" s="1813" t="str">
        <f>Q20</f>
        <v>自然及人文环境</v>
      </c>
      <c r="AA20" s="1810">
        <f t="shared" si="3"/>
        <v>1</v>
      </c>
      <c r="AB20" s="1810">
        <f t="shared" si="4"/>
        <v>1</v>
      </c>
      <c r="AC20" s="1810">
        <f t="shared" si="5"/>
        <v>1</v>
      </c>
    </row>
    <row r="21" spans="1:29" ht="15.5">
      <c r="A21" s="404"/>
      <c r="B21" s="632"/>
      <c r="C21" s="447"/>
      <c r="D21" s="448"/>
      <c r="E21" s="447"/>
      <c r="F21" s="449"/>
      <c r="G21" s="447"/>
      <c r="H21" s="448"/>
      <c r="I21" s="447"/>
      <c r="J21" s="448"/>
      <c r="K21" s="615"/>
      <c r="L21" s="1140"/>
      <c r="M21" s="1131"/>
      <c r="N21" s="1131"/>
      <c r="O21" s="1131"/>
      <c r="P21" s="3325"/>
      <c r="Q21" s="1809"/>
      <c r="R21" s="774"/>
      <c r="S21" s="775"/>
      <c r="T21" s="774"/>
      <c r="U21" s="775"/>
      <c r="V21" s="774"/>
      <c r="W21" s="775"/>
      <c r="X21" s="1812"/>
      <c r="Y21" s="3325"/>
      <c r="Z21" s="1813"/>
      <c r="AA21" s="1810">
        <v>1</v>
      </c>
      <c r="AB21" s="1810">
        <v>1</v>
      </c>
      <c r="AC21" s="1810">
        <v>1</v>
      </c>
    </row>
    <row r="22" spans="1:29" ht="15.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25"/>
      <c r="Q22" s="1809" t="str">
        <f>B22</f>
        <v>楼层</v>
      </c>
      <c r="R22" s="774" t="s">
        <v>17</v>
      </c>
      <c r="S22" s="775">
        <f>F22</f>
        <v>100</v>
      </c>
      <c r="T22" s="774" t="s">
        <v>17</v>
      </c>
      <c r="U22" s="775">
        <f>H22</f>
        <v>100</v>
      </c>
      <c r="V22" s="774" t="s">
        <v>17</v>
      </c>
      <c r="W22" s="775">
        <f>J22</f>
        <v>100</v>
      </c>
      <c r="X22" s="1812"/>
      <c r="Y22" s="3325"/>
      <c r="Z22" s="1813" t="str">
        <f>Q22</f>
        <v>楼层</v>
      </c>
      <c r="AA22" s="1810">
        <f t="shared" si="3"/>
        <v>1</v>
      </c>
      <c r="AB22" s="1810">
        <f t="shared" si="4"/>
        <v>1</v>
      </c>
      <c r="AC22" s="1810">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25"/>
      <c r="Q23" s="1809">
        <f>B23</f>
        <v>111</v>
      </c>
      <c r="R23" s="774" t="s">
        <v>17</v>
      </c>
      <c r="S23" s="775">
        <f>F23</f>
        <v>100</v>
      </c>
      <c r="T23" s="774" t="s">
        <v>17</v>
      </c>
      <c r="U23" s="775">
        <f>H23</f>
        <v>100</v>
      </c>
      <c r="V23" s="774" t="s">
        <v>17</v>
      </c>
      <c r="W23" s="775">
        <f>J23</f>
        <v>100</v>
      </c>
      <c r="X23" s="1812"/>
      <c r="Y23" s="3325"/>
      <c r="Z23" s="1813">
        <f>Q23</f>
        <v>111</v>
      </c>
      <c r="AA23" s="1810">
        <f t="shared" si="3"/>
        <v>1</v>
      </c>
      <c r="AB23" s="1810">
        <f t="shared" si="4"/>
        <v>1</v>
      </c>
      <c r="AC23" s="1810">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25"/>
      <c r="Q24" s="1809">
        <f t="shared" ref="Q24:Q36" si="11">B24</f>
        <v>111</v>
      </c>
      <c r="R24" s="774" t="s">
        <v>17</v>
      </c>
      <c r="S24" s="775">
        <f>F24</f>
        <v>100</v>
      </c>
      <c r="T24" s="774" t="s">
        <v>17</v>
      </c>
      <c r="U24" s="775">
        <f>H24</f>
        <v>100</v>
      </c>
      <c r="V24" s="774" t="s">
        <v>17</v>
      </c>
      <c r="W24" s="775">
        <f>J24</f>
        <v>100</v>
      </c>
      <c r="X24" s="1812"/>
      <c r="Y24" s="3325"/>
      <c r="Z24" s="1813">
        <f>Q24</f>
        <v>111</v>
      </c>
      <c r="AA24" s="1810">
        <f t="shared" si="3"/>
        <v>1</v>
      </c>
      <c r="AB24" s="1810">
        <f t="shared" si="4"/>
        <v>1</v>
      </c>
      <c r="AC24" s="1810">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25"/>
      <c r="Q25" s="1794">
        <f t="shared" si="11"/>
        <v>111</v>
      </c>
      <c r="R25" s="770" t="s">
        <v>17</v>
      </c>
      <c r="S25" s="771">
        <f>F25</f>
        <v>100</v>
      </c>
      <c r="T25" s="770" t="s">
        <v>17</v>
      </c>
      <c r="U25" s="771">
        <f>H25</f>
        <v>100</v>
      </c>
      <c r="V25" s="770" t="s">
        <v>17</v>
      </c>
      <c r="W25" s="771">
        <f>J25</f>
        <v>100</v>
      </c>
      <c r="X25" s="772"/>
      <c r="Y25" s="3325"/>
      <c r="Z25" s="55">
        <f>Q25</f>
        <v>111</v>
      </c>
      <c r="AA25" s="1810">
        <f>D25/F25</f>
        <v>1</v>
      </c>
      <c r="AB25" s="1810">
        <f>D25/H25</f>
        <v>1</v>
      </c>
      <c r="AC25" s="1810">
        <f>D25/J25</f>
        <v>1</v>
      </c>
    </row>
    <row r="26" spans="1:29" ht="29">
      <c r="A26" s="652" t="s">
        <v>2558</v>
      </c>
      <c r="B26" s="70" t="s">
        <v>2707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6"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327" t="s">
        <v>2560</v>
      </c>
      <c r="Z26" s="1813" t="str">
        <f t="shared" ref="Z26:Z36" si="15">Q26</f>
        <v>配套类型</v>
      </c>
      <c r="AA26" s="1810">
        <f t="shared" si="3"/>
        <v>1</v>
      </c>
      <c r="AB26" s="1810">
        <f t="shared" si="4"/>
        <v>1</v>
      </c>
      <c r="AC26" s="1810">
        <f t="shared" si="5"/>
        <v>1</v>
      </c>
    </row>
    <row r="27" spans="1:29" s="471" customFormat="1" ht="15.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27"/>
      <c r="Q27" s="776" t="str">
        <f t="shared" si="11"/>
        <v>项目停车位配比</v>
      </c>
      <c r="R27" s="777" t="s">
        <v>17</v>
      </c>
      <c r="S27" s="778">
        <f t="shared" si="12"/>
        <v>100</v>
      </c>
      <c r="T27" s="777" t="s">
        <v>17</v>
      </c>
      <c r="U27" s="778">
        <f t="shared" si="13"/>
        <v>100</v>
      </c>
      <c r="V27" s="777" t="s">
        <v>17</v>
      </c>
      <c r="W27" s="778">
        <f t="shared" si="14"/>
        <v>100</v>
      </c>
      <c r="X27" s="779"/>
      <c r="Y27" s="3327"/>
      <c r="Z27" s="780" t="str">
        <f t="shared" si="15"/>
        <v>项目停车位配比</v>
      </c>
      <c r="AA27" s="1810">
        <f t="shared" si="3"/>
        <v>1</v>
      </c>
      <c r="AB27" s="1810">
        <f t="shared" si="4"/>
        <v>1</v>
      </c>
      <c r="AC27" s="1810">
        <f t="shared" si="5"/>
        <v>1</v>
      </c>
    </row>
    <row r="28" spans="1:29" ht="15.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27"/>
      <c r="Q28" s="1809" t="str">
        <f t="shared" si="11"/>
        <v>公共部分装修</v>
      </c>
      <c r="R28" s="774" t="s">
        <v>17</v>
      </c>
      <c r="S28" s="775">
        <f t="shared" si="12"/>
        <v>100</v>
      </c>
      <c r="T28" s="774" t="s">
        <v>17</v>
      </c>
      <c r="U28" s="775">
        <f t="shared" si="13"/>
        <v>100</v>
      </c>
      <c r="V28" s="774" t="s">
        <v>17</v>
      </c>
      <c r="W28" s="775">
        <f t="shared" si="14"/>
        <v>100</v>
      </c>
      <c r="X28" s="1812"/>
      <c r="Y28" s="3327"/>
      <c r="Z28" s="1813" t="str">
        <f t="shared" si="15"/>
        <v>公共部分装修</v>
      </c>
      <c r="AA28" s="1810">
        <f t="shared" si="3"/>
        <v>1</v>
      </c>
      <c r="AB28" s="1810">
        <f t="shared" si="4"/>
        <v>1</v>
      </c>
      <c r="AC28" s="1810">
        <f t="shared" si="5"/>
        <v>1</v>
      </c>
    </row>
    <row r="29" spans="1:29" ht="15.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27"/>
      <c r="Q29" s="1809" t="str">
        <f t="shared" si="11"/>
        <v>成新率</v>
      </c>
      <c r="R29" s="774" t="s">
        <v>17</v>
      </c>
      <c r="S29" s="775" t="e">
        <f t="shared" si="12"/>
        <v>#N/A</v>
      </c>
      <c r="T29" s="774" t="s">
        <v>17</v>
      </c>
      <c r="U29" s="775" t="e">
        <f t="shared" si="13"/>
        <v>#N/A</v>
      </c>
      <c r="V29" s="774" t="s">
        <v>17</v>
      </c>
      <c r="W29" s="775" t="e">
        <f t="shared" si="14"/>
        <v>#N/A</v>
      </c>
      <c r="X29" s="1812"/>
      <c r="Y29" s="3327"/>
      <c r="Z29" s="1813" t="str">
        <f t="shared" si="15"/>
        <v>成新率</v>
      </c>
      <c r="AA29" s="1810" t="e">
        <f t="shared" si="3"/>
        <v>#N/A</v>
      </c>
      <c r="AB29" s="1810" t="e">
        <f t="shared" si="4"/>
        <v>#N/A</v>
      </c>
      <c r="AC29" s="1810" t="e">
        <f t="shared" si="5"/>
        <v>#N/A</v>
      </c>
    </row>
    <row r="30" spans="1:29" ht="15.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27"/>
      <c r="Q30" s="1809" t="str">
        <f t="shared" si="11"/>
        <v>物业等级</v>
      </c>
      <c r="R30" s="774" t="s">
        <v>17</v>
      </c>
      <c r="S30" s="775">
        <f t="shared" si="12"/>
        <v>100</v>
      </c>
      <c r="T30" s="774" t="s">
        <v>17</v>
      </c>
      <c r="U30" s="775">
        <f t="shared" si="13"/>
        <v>100</v>
      </c>
      <c r="V30" s="774" t="s">
        <v>17</v>
      </c>
      <c r="W30" s="775">
        <f t="shared" si="14"/>
        <v>100</v>
      </c>
      <c r="X30" s="1812"/>
      <c r="Y30" s="3327"/>
      <c r="Z30" s="1813" t="str">
        <f t="shared" si="15"/>
        <v>物业等级</v>
      </c>
      <c r="AA30" s="1810">
        <f t="shared" si="3"/>
        <v>1</v>
      </c>
      <c r="AB30" s="1810">
        <f t="shared" si="4"/>
        <v>1</v>
      </c>
      <c r="AC30" s="1810">
        <f t="shared" si="5"/>
        <v>1</v>
      </c>
    </row>
    <row r="31" spans="1:29" s="117" customFormat="1" ht="15.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27"/>
      <c r="Q31" s="1794" t="str">
        <f t="shared" si="11"/>
        <v>停车位面积</v>
      </c>
      <c r="R31" s="770" t="s">
        <v>17</v>
      </c>
      <c r="S31" s="771" t="e">
        <f t="shared" si="12"/>
        <v>#N/A</v>
      </c>
      <c r="T31" s="770" t="s">
        <v>17</v>
      </c>
      <c r="U31" s="771" t="e">
        <f t="shared" si="13"/>
        <v>#N/A</v>
      </c>
      <c r="V31" s="770" t="s">
        <v>17</v>
      </c>
      <c r="W31" s="771" t="e">
        <f t="shared" si="14"/>
        <v>#N/A</v>
      </c>
      <c r="X31" s="772"/>
      <c r="Y31" s="3327"/>
      <c r="Z31" s="55" t="str">
        <f t="shared" si="15"/>
        <v>停车位面积</v>
      </c>
      <c r="AA31" s="773" t="e">
        <f t="shared" si="3"/>
        <v>#N/A</v>
      </c>
      <c r="AB31" s="773" t="e">
        <f t="shared" si="4"/>
        <v>#N/A</v>
      </c>
      <c r="AC31" s="773" t="e">
        <f t="shared" si="5"/>
        <v>#N/A</v>
      </c>
    </row>
    <row r="32" spans="1:29" ht="15.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27" t="s">
        <v>2560</v>
      </c>
      <c r="Q32" s="1809" t="str">
        <f t="shared" si="11"/>
        <v>车位类型</v>
      </c>
      <c r="R32" s="774" t="s">
        <v>17</v>
      </c>
      <c r="S32" s="775">
        <f t="shared" si="12"/>
        <v>100</v>
      </c>
      <c r="T32" s="774" t="s">
        <v>17</v>
      </c>
      <c r="U32" s="775">
        <f t="shared" si="13"/>
        <v>100</v>
      </c>
      <c r="V32" s="774" t="s">
        <v>17</v>
      </c>
      <c r="W32" s="775">
        <f t="shared" si="14"/>
        <v>100</v>
      </c>
      <c r="X32" s="1812"/>
      <c r="Y32" s="3327" t="s">
        <v>2560</v>
      </c>
      <c r="Z32" s="1813" t="str">
        <f t="shared" si="15"/>
        <v>车位类型</v>
      </c>
      <c r="AA32" s="1810">
        <f t="shared" si="3"/>
        <v>1</v>
      </c>
      <c r="AB32" s="1810">
        <f t="shared" si="4"/>
        <v>1</v>
      </c>
      <c r="AC32" s="1810">
        <f t="shared" si="5"/>
        <v>1</v>
      </c>
    </row>
    <row r="33" spans="1:29" ht="15.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27"/>
      <c r="Q33" s="1809" t="str">
        <f t="shared" si="11"/>
        <v>是否直接入户</v>
      </c>
      <c r="R33" s="774" t="s">
        <v>17</v>
      </c>
      <c r="S33" s="775">
        <f t="shared" si="12"/>
        <v>100</v>
      </c>
      <c r="T33" s="774" t="s">
        <v>17</v>
      </c>
      <c r="U33" s="775">
        <f t="shared" si="13"/>
        <v>100</v>
      </c>
      <c r="V33" s="774" t="s">
        <v>17</v>
      </c>
      <c r="W33" s="775">
        <f t="shared" si="14"/>
        <v>100</v>
      </c>
      <c r="X33" s="1812"/>
      <c r="Y33" s="3327"/>
      <c r="Z33" s="1813" t="str">
        <f t="shared" si="15"/>
        <v>是否直接入户</v>
      </c>
      <c r="AA33" s="1810">
        <f t="shared" si="3"/>
        <v>1</v>
      </c>
      <c r="AB33" s="1810">
        <f t="shared" si="4"/>
        <v>1</v>
      </c>
      <c r="AC33" s="1810">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27"/>
      <c r="Q34" s="1809">
        <f t="shared" si="11"/>
        <v>111</v>
      </c>
      <c r="R34" s="774" t="s">
        <v>17</v>
      </c>
      <c r="S34" s="775">
        <f t="shared" si="12"/>
        <v>100</v>
      </c>
      <c r="T34" s="774" t="s">
        <v>17</v>
      </c>
      <c r="U34" s="775">
        <f t="shared" si="13"/>
        <v>100</v>
      </c>
      <c r="V34" s="774" t="s">
        <v>17</v>
      </c>
      <c r="W34" s="775">
        <f t="shared" si="14"/>
        <v>100</v>
      </c>
      <c r="X34" s="1812"/>
      <c r="Y34" s="3327"/>
      <c r="Z34" s="1813">
        <f t="shared" si="15"/>
        <v>111</v>
      </c>
      <c r="AA34" s="1810">
        <f t="shared" si="3"/>
        <v>1</v>
      </c>
      <c r="AB34" s="1810">
        <f t="shared" si="4"/>
        <v>1</v>
      </c>
      <c r="AC34" s="1810">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27"/>
      <c r="Q35" s="776">
        <f t="shared" si="11"/>
        <v>111</v>
      </c>
      <c r="R35" s="777" t="s">
        <v>17</v>
      </c>
      <c r="S35" s="778">
        <f t="shared" si="12"/>
        <v>100</v>
      </c>
      <c r="T35" s="777" t="s">
        <v>17</v>
      </c>
      <c r="U35" s="778">
        <f t="shared" si="13"/>
        <v>100</v>
      </c>
      <c r="V35" s="777" t="s">
        <v>17</v>
      </c>
      <c r="W35" s="778">
        <f t="shared" si="14"/>
        <v>100</v>
      </c>
      <c r="X35" s="779"/>
      <c r="Y35" s="3327"/>
      <c r="Z35" s="780">
        <f t="shared" si="15"/>
        <v>111</v>
      </c>
      <c r="AA35" s="1810">
        <f t="shared" si="3"/>
        <v>1</v>
      </c>
      <c r="AB35" s="1810">
        <f t="shared" si="4"/>
        <v>1</v>
      </c>
      <c r="AC35" s="1810">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27"/>
      <c r="Q36" s="1809">
        <f t="shared" si="11"/>
        <v>111</v>
      </c>
      <c r="R36" s="774" t="s">
        <v>17</v>
      </c>
      <c r="S36" s="775">
        <f t="shared" si="12"/>
        <v>100</v>
      </c>
      <c r="T36" s="774" t="s">
        <v>17</v>
      </c>
      <c r="U36" s="775">
        <f t="shared" si="13"/>
        <v>100</v>
      </c>
      <c r="V36" s="774" t="s">
        <v>17</v>
      </c>
      <c r="W36" s="775">
        <f t="shared" si="14"/>
        <v>100</v>
      </c>
      <c r="X36" s="1812"/>
      <c r="Y36" s="3327"/>
      <c r="Z36" s="1813">
        <f t="shared" si="15"/>
        <v>111</v>
      </c>
      <c r="AA36" s="1810">
        <f t="shared" si="3"/>
        <v>1</v>
      </c>
      <c r="AB36" s="1810">
        <f t="shared" si="4"/>
        <v>1</v>
      </c>
      <c r="AC36" s="1810">
        <f t="shared" si="5"/>
        <v>1</v>
      </c>
    </row>
    <row r="37" spans="1:29">
      <c r="A37" s="479" t="s">
        <v>2715</v>
      </c>
      <c r="B37" s="2689" t="s">
        <v>2716</v>
      </c>
      <c r="C37" s="1407" t="s">
        <v>1</v>
      </c>
      <c r="D37" s="1408"/>
      <c r="E37" s="1409"/>
      <c r="F37" s="1410"/>
      <c r="G37" s="1411"/>
      <c r="H37" s="1412"/>
      <c r="I37" s="1409"/>
      <c r="J37" s="1412"/>
      <c r="K37" s="619"/>
      <c r="L37" s="1143"/>
      <c r="M37" s="1144"/>
      <c r="N37" s="1131"/>
      <c r="O37" s="1144"/>
      <c r="P37" s="3322" t="str">
        <f>A37</f>
        <v>成交单价</v>
      </c>
      <c r="Q37" s="3322"/>
      <c r="R37" s="3359">
        <f>E37</f>
        <v>0</v>
      </c>
      <c r="S37" s="3359"/>
      <c r="T37" s="3359">
        <f>G37</f>
        <v>0</v>
      </c>
      <c r="U37" s="3359"/>
      <c r="V37" s="3359">
        <f>I37</f>
        <v>0</v>
      </c>
      <c r="W37" s="3359"/>
      <c r="X37" s="759"/>
      <c r="Y37" s="781"/>
      <c r="Z37" s="759"/>
      <c r="AA37" s="759"/>
      <c r="AB37" s="759"/>
      <c r="AC37" s="759"/>
    </row>
    <row r="38" spans="1:29" ht="14.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22" t="str">
        <f>A38</f>
        <v>比较价值（元/平方米）</v>
      </c>
      <c r="Q38" s="3322"/>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759"/>
      <c r="Y38" s="759"/>
      <c r="Z38" s="759"/>
      <c r="AA38" s="759"/>
      <c r="AB38" s="759"/>
      <c r="AC38" s="759"/>
    </row>
    <row r="39" spans="1:29" ht="14.5" thickBot="1">
      <c r="A39" s="492" t="s">
        <v>2718</v>
      </c>
      <c r="B39" s="493"/>
      <c r="C39" s="1417" t="e">
        <f>R39</f>
        <v>#DIV/0!</v>
      </c>
      <c r="D39" s="1417"/>
      <c r="E39" s="1417"/>
      <c r="F39" s="1417"/>
      <c r="G39" s="1417"/>
      <c r="H39" s="1417"/>
      <c r="I39" s="1417"/>
      <c r="J39" s="1417"/>
      <c r="K39" s="621"/>
      <c r="L39" s="1143"/>
      <c r="M39" s="1144"/>
      <c r="N39" s="1144"/>
      <c r="O39" s="1144"/>
      <c r="P39" s="3316" t="str">
        <f>A39</f>
        <v>估价对象XX用房的比较价值（楼面单价，元/平方米）</v>
      </c>
      <c r="Q39" s="3317"/>
      <c r="R39" s="3358" t="e">
        <f>IF(F1="售价",ROUND(AVERAGE(R38:V38),0),ROUND(AVERAGE(R38:V38),1))</f>
        <v>#DIV/0!</v>
      </c>
      <c r="S39" s="3358"/>
      <c r="T39" s="3358"/>
      <c r="U39" s="3358"/>
      <c r="V39" s="3358"/>
      <c r="W39" s="335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2723</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1629" customFormat="1" ht="28.5" customHeight="1" thickBot="1">
      <c r="A1" s="1618" t="s">
        <v>2702</v>
      </c>
      <c r="B1" s="1619"/>
      <c r="C1" s="1620" t="s">
        <v>2525</v>
      </c>
      <c r="D1" s="1621"/>
      <c r="E1" s="1630"/>
      <c r="F1" s="2581"/>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30" t="s">
        <v>2643</v>
      </c>
      <c r="AC4" s="3329" t="s">
        <v>2644</v>
      </c>
    </row>
    <row r="5" spans="1:29">
      <c r="A5" s="404"/>
      <c r="B5" s="405"/>
      <c r="C5" s="3349" t="s">
        <v>2537</v>
      </c>
      <c r="D5" s="3350"/>
      <c r="E5" s="3356" t="s">
        <v>2538</v>
      </c>
      <c r="F5" s="3357"/>
      <c r="G5" s="3349" t="s">
        <v>2539</v>
      </c>
      <c r="H5" s="3350"/>
      <c r="I5" s="3349" t="s">
        <v>2540</v>
      </c>
      <c r="J5" s="3350"/>
      <c r="K5" s="610"/>
      <c r="L5" s="1130"/>
      <c r="M5" s="1131"/>
      <c r="N5" s="1131"/>
      <c r="O5" s="1131"/>
      <c r="P5" s="3337"/>
      <c r="Q5" s="3338"/>
      <c r="R5" s="3343"/>
      <c r="S5" s="3344"/>
      <c r="T5" s="3343"/>
      <c r="U5" s="3344"/>
      <c r="V5" s="3328"/>
      <c r="W5" s="3328"/>
      <c r="X5" s="1812"/>
      <c r="Y5" s="3343"/>
      <c r="Z5" s="3344"/>
      <c r="AA5" s="3330"/>
      <c r="AB5" s="3330"/>
      <c r="AC5" s="3330"/>
    </row>
    <row r="6" spans="1:29" ht="15" thickBot="1">
      <c r="A6" s="406"/>
      <c r="B6" s="407"/>
      <c r="C6" s="3347" t="s">
        <v>2541</v>
      </c>
      <c r="D6" s="3348"/>
      <c r="E6" s="3354" t="s">
        <v>2541</v>
      </c>
      <c r="F6" s="3355"/>
      <c r="G6" s="3347" t="s">
        <v>2541</v>
      </c>
      <c r="H6" s="3348"/>
      <c r="I6" s="3347" t="s">
        <v>2541</v>
      </c>
      <c r="J6" s="3348"/>
      <c r="K6" s="610" t="s">
        <v>2542</v>
      </c>
      <c r="L6" s="1130"/>
      <c r="M6" s="1131"/>
      <c r="N6" s="1131"/>
      <c r="O6" s="1131"/>
      <c r="P6" s="3339"/>
      <c r="Q6" s="3340"/>
      <c r="R6" s="3343"/>
      <c r="S6" s="3344"/>
      <c r="T6" s="3345"/>
      <c r="U6" s="3346"/>
      <c r="V6" s="3328"/>
      <c r="W6" s="3328"/>
      <c r="X6" s="1812"/>
      <c r="Y6" s="3345"/>
      <c r="Z6" s="3346"/>
      <c r="AA6" s="3331"/>
      <c r="AB6" s="3331"/>
      <c r="AC6" s="3331"/>
    </row>
    <row r="7" spans="1:29" s="117" customFormat="1" ht="14.5" thickBot="1">
      <c r="A7" s="408" t="s">
        <v>2543</v>
      </c>
      <c r="B7" s="409"/>
      <c r="C7" s="410">
        <f>'数据-取费表'!B2</f>
        <v>43913</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351" t="s">
        <v>2544</v>
      </c>
      <c r="Q7" s="3353"/>
      <c r="R7" s="770" t="s">
        <v>17</v>
      </c>
      <c r="S7" s="771">
        <f t="shared" ref="S7:S14" si="0">F7</f>
        <v>0</v>
      </c>
      <c r="T7" s="770" t="s">
        <v>17</v>
      </c>
      <c r="U7" s="771">
        <f t="shared" ref="U7:U14" si="1">H7</f>
        <v>0</v>
      </c>
      <c r="V7" s="770" t="s">
        <v>17</v>
      </c>
      <c r="W7" s="771">
        <f t="shared" ref="W7:W14" si="2">J7</f>
        <v>0</v>
      </c>
      <c r="X7" s="772"/>
      <c r="Y7" s="3351" t="s">
        <v>2544</v>
      </c>
      <c r="Z7" s="3352"/>
      <c r="AA7" s="773" t="e">
        <f>D7/F7</f>
        <v>#DIV/0!</v>
      </c>
      <c r="AB7" s="773" t="e">
        <f>D7/H7</f>
        <v>#DIV/0!</v>
      </c>
      <c r="AC7" s="773" t="e">
        <f>D7/J7</f>
        <v>#DIV/0!</v>
      </c>
    </row>
    <row r="8" spans="1:29" s="117" customFormat="1" ht="14.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51" t="s">
        <v>2547</v>
      </c>
      <c r="Q8" s="3352"/>
      <c r="R8" s="770" t="s">
        <v>17</v>
      </c>
      <c r="S8" s="771">
        <f t="shared" si="0"/>
        <v>0</v>
      </c>
      <c r="T8" s="770" t="s">
        <v>17</v>
      </c>
      <c r="U8" s="771">
        <f t="shared" si="1"/>
        <v>0</v>
      </c>
      <c r="V8" s="770" t="s">
        <v>17</v>
      </c>
      <c r="W8" s="771">
        <f t="shared" si="2"/>
        <v>0</v>
      </c>
      <c r="X8" s="772"/>
      <c r="Y8" s="3351" t="s">
        <v>2547</v>
      </c>
      <c r="Z8" s="335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22" t="s">
        <v>2550</v>
      </c>
      <c r="Q9" s="1794" t="str">
        <f t="shared" ref="Q9:Q14" si="6">B9</f>
        <v>用途</v>
      </c>
      <c r="R9" s="770" t="s">
        <v>17</v>
      </c>
      <c r="S9" s="771">
        <f t="shared" si="0"/>
        <v>100</v>
      </c>
      <c r="T9" s="770" t="s">
        <v>17</v>
      </c>
      <c r="U9" s="771">
        <f t="shared" si="1"/>
        <v>100</v>
      </c>
      <c r="V9" s="770" t="s">
        <v>17</v>
      </c>
      <c r="W9" s="771">
        <f t="shared" si="2"/>
        <v>100</v>
      </c>
      <c r="X9" s="772"/>
      <c r="Y9" s="3112" t="s">
        <v>2551</v>
      </c>
      <c r="Z9" s="55" t="str">
        <f t="shared" ref="Z9:Z14" si="7">Q9</f>
        <v>用途</v>
      </c>
      <c r="AA9" s="773">
        <f t="shared" si="3"/>
        <v>1</v>
      </c>
      <c r="AB9" s="773">
        <f t="shared" si="4"/>
        <v>1</v>
      </c>
      <c r="AC9" s="773">
        <f t="shared" si="5"/>
        <v>1</v>
      </c>
    </row>
    <row r="10" spans="1:29" s="427" customFormat="1" ht="28">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22"/>
      <c r="Q10" s="1794" t="str">
        <f t="shared" si="6"/>
        <v>土地使用年限（年）</v>
      </c>
      <c r="R10" s="770" t="s">
        <v>17</v>
      </c>
      <c r="S10" s="771">
        <f t="shared" si="0"/>
        <v>100</v>
      </c>
      <c r="T10" s="770" t="s">
        <v>17</v>
      </c>
      <c r="U10" s="771">
        <f t="shared" si="1"/>
        <v>100</v>
      </c>
      <c r="V10" s="770" t="s">
        <v>17</v>
      </c>
      <c r="W10" s="771">
        <f t="shared" si="2"/>
        <v>100</v>
      </c>
      <c r="X10" s="772"/>
      <c r="Y10" s="3112"/>
      <c r="Z10" s="55" t="str">
        <f t="shared" si="7"/>
        <v>土地使用年限（年）</v>
      </c>
      <c r="AA10" s="773">
        <f t="shared" si="3"/>
        <v>1</v>
      </c>
      <c r="AB10" s="773">
        <f t="shared" si="4"/>
        <v>1</v>
      </c>
      <c r="AC10" s="773">
        <f t="shared" si="5"/>
        <v>1</v>
      </c>
    </row>
    <row r="11" spans="1:29" ht="15.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22"/>
      <c r="Q11" s="1794">
        <f t="shared" si="6"/>
        <v>111</v>
      </c>
      <c r="R11" s="770" t="s">
        <v>17</v>
      </c>
      <c r="S11" s="771">
        <f t="shared" si="0"/>
        <v>100</v>
      </c>
      <c r="T11" s="770" t="s">
        <v>17</v>
      </c>
      <c r="U11" s="771">
        <f t="shared" si="1"/>
        <v>100</v>
      </c>
      <c r="V11" s="770" t="s">
        <v>17</v>
      </c>
      <c r="W11" s="771">
        <f t="shared" si="2"/>
        <v>100</v>
      </c>
      <c r="X11" s="772"/>
      <c r="Y11" s="3112"/>
      <c r="Z11" s="55">
        <f t="shared" si="7"/>
        <v>111</v>
      </c>
      <c r="AA11" s="773">
        <f t="shared" si="3"/>
        <v>1</v>
      </c>
      <c r="AB11" s="773">
        <f t="shared" si="4"/>
        <v>1</v>
      </c>
      <c r="AC11" s="773">
        <f t="shared" si="5"/>
        <v>1</v>
      </c>
    </row>
    <row r="12" spans="1:29" s="117" customFormat="1" ht="15.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22"/>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6"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322"/>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98">
      <c r="A14" s="440" t="s">
        <v>2554</v>
      </c>
      <c r="B14" s="69" t="s">
        <v>2704</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24" t="s">
        <v>2555</v>
      </c>
      <c r="Q14" s="1809" t="str">
        <f t="shared" si="6"/>
        <v>交通便捷度</v>
      </c>
      <c r="R14" s="774" t="s">
        <v>17</v>
      </c>
      <c r="S14" s="775">
        <f t="shared" si="0"/>
        <v>100</v>
      </c>
      <c r="T14" s="774" t="s">
        <v>17</v>
      </c>
      <c r="U14" s="775">
        <f t="shared" si="1"/>
        <v>100</v>
      </c>
      <c r="V14" s="774" t="s">
        <v>17</v>
      </c>
      <c r="W14" s="775">
        <f t="shared" si="2"/>
        <v>100</v>
      </c>
      <c r="X14" s="1812"/>
      <c r="Y14" s="3324" t="s">
        <v>2555</v>
      </c>
      <c r="Z14" s="1813" t="str">
        <f t="shared" si="7"/>
        <v>交通便捷度</v>
      </c>
      <c r="AA14" s="1810">
        <f t="shared" si="3"/>
        <v>1</v>
      </c>
      <c r="AB14" s="1810">
        <f t="shared" si="4"/>
        <v>1</v>
      </c>
      <c r="AC14" s="1810">
        <f t="shared" si="5"/>
        <v>1</v>
      </c>
    </row>
    <row r="15" spans="1:29" ht="15.5">
      <c r="A15" s="428"/>
      <c r="B15" s="446"/>
      <c r="C15" s="447"/>
      <c r="D15" s="448"/>
      <c r="E15" s="447"/>
      <c r="F15" s="449"/>
      <c r="G15" s="447"/>
      <c r="H15" s="450"/>
      <c r="I15" s="447"/>
      <c r="J15" s="448"/>
      <c r="K15" s="615"/>
      <c r="L15" s="1140"/>
      <c r="M15" s="1131"/>
      <c r="N15" s="1131"/>
      <c r="O15" s="1139"/>
      <c r="P15" s="3325"/>
      <c r="Q15" s="1809"/>
      <c r="R15" s="774"/>
      <c r="S15" s="775"/>
      <c r="T15" s="774"/>
      <c r="U15" s="775"/>
      <c r="V15" s="774"/>
      <c r="W15" s="775"/>
      <c r="X15" s="1812"/>
      <c r="Y15" s="3325"/>
      <c r="Z15" s="1813"/>
      <c r="AA15" s="1810">
        <v>1</v>
      </c>
      <c r="AB15" s="1810">
        <v>1</v>
      </c>
      <c r="AC15" s="1810">
        <v>1</v>
      </c>
    </row>
    <row r="16" spans="1:29" ht="42">
      <c r="A16" s="428"/>
      <c r="B16" s="451" t="s">
        <v>2683</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25"/>
      <c r="Q16" s="1809" t="str">
        <f>B16</f>
        <v>公共配套设施</v>
      </c>
      <c r="R16" s="774" t="s">
        <v>17</v>
      </c>
      <c r="S16" s="775">
        <f>F16</f>
        <v>100</v>
      </c>
      <c r="T16" s="774" t="s">
        <v>17</v>
      </c>
      <c r="U16" s="775">
        <f>H16</f>
        <v>100</v>
      </c>
      <c r="V16" s="774" t="s">
        <v>17</v>
      </c>
      <c r="W16" s="775">
        <f>J16</f>
        <v>100</v>
      </c>
      <c r="X16" s="1812"/>
      <c r="Y16" s="3325"/>
      <c r="Z16" s="1813" t="str">
        <f>Q16</f>
        <v>公共配套设施</v>
      </c>
      <c r="AA16" s="1810">
        <f t="shared" si="3"/>
        <v>1</v>
      </c>
      <c r="AB16" s="1810">
        <f t="shared" si="4"/>
        <v>1</v>
      </c>
      <c r="AC16" s="1810">
        <f t="shared" si="5"/>
        <v>1</v>
      </c>
    </row>
    <row r="17" spans="1:29" ht="15.5">
      <c r="A17" s="428"/>
      <c r="B17" s="456"/>
      <c r="C17" s="2604"/>
      <c r="D17" s="448"/>
      <c r="E17" s="447"/>
      <c r="F17" s="449"/>
      <c r="G17" s="447"/>
      <c r="H17" s="448"/>
      <c r="I17" s="447"/>
      <c r="J17" s="448"/>
      <c r="K17" s="615"/>
      <c r="L17" s="1140"/>
      <c r="M17" s="1131"/>
      <c r="N17" s="1131"/>
      <c r="O17" s="1139"/>
      <c r="P17" s="3325"/>
      <c r="Q17" s="1809"/>
      <c r="R17" s="774"/>
      <c r="S17" s="775"/>
      <c r="T17" s="774"/>
      <c r="U17" s="775"/>
      <c r="V17" s="774"/>
      <c r="W17" s="775"/>
      <c r="X17" s="1812"/>
      <c r="Y17" s="3325"/>
      <c r="Z17" s="1813"/>
      <c r="AA17" s="1810">
        <v>1</v>
      </c>
      <c r="AB17" s="1810">
        <v>1</v>
      </c>
      <c r="AC17" s="1810">
        <v>1</v>
      </c>
    </row>
    <row r="18" spans="1:29" ht="42">
      <c r="A18" s="428"/>
      <c r="B18" s="1384" t="s">
        <v>2684</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25"/>
      <c r="Q18" s="1809" t="str">
        <f>B18</f>
        <v>基础设施水平</v>
      </c>
      <c r="R18" s="774" t="s">
        <v>17</v>
      </c>
      <c r="S18" s="775">
        <f>F18</f>
        <v>100</v>
      </c>
      <c r="T18" s="774" t="s">
        <v>17</v>
      </c>
      <c r="U18" s="775">
        <f>H18</f>
        <v>100</v>
      </c>
      <c r="V18" s="774" t="s">
        <v>17</v>
      </c>
      <c r="W18" s="775">
        <f>J18</f>
        <v>100</v>
      </c>
      <c r="X18" s="1812"/>
      <c r="Y18" s="3325"/>
      <c r="Z18" s="1813" t="str">
        <f>Q18</f>
        <v>基础设施水平</v>
      </c>
      <c r="AA18" s="1810">
        <f t="shared" ref="AA18" si="8">D18/F18</f>
        <v>1</v>
      </c>
      <c r="AB18" s="1810">
        <f t="shared" ref="AB18" si="9">D18/H18</f>
        <v>1</v>
      </c>
      <c r="AC18" s="1810">
        <f t="shared" ref="AC18" si="10">D18/J18</f>
        <v>1</v>
      </c>
    </row>
    <row r="19" spans="1:29" ht="15.5">
      <c r="A19" s="428"/>
      <c r="B19" s="1384"/>
      <c r="C19" s="2604"/>
      <c r="D19" s="450"/>
      <c r="E19" s="2604"/>
      <c r="F19" s="453"/>
      <c r="G19" s="2604"/>
      <c r="H19" s="448"/>
      <c r="I19" s="447"/>
      <c r="J19" s="448"/>
      <c r="K19" s="1383"/>
      <c r="L19" s="1140"/>
      <c r="M19" s="1131"/>
      <c r="N19" s="1131"/>
      <c r="O19" s="1139"/>
      <c r="P19" s="3325"/>
      <c r="Q19" s="1809"/>
      <c r="R19" s="774"/>
      <c r="S19" s="775"/>
      <c r="T19" s="774"/>
      <c r="U19" s="775"/>
      <c r="V19" s="774"/>
      <c r="W19" s="775"/>
      <c r="X19" s="1812"/>
      <c r="Y19" s="3325"/>
      <c r="Z19" s="1813"/>
      <c r="AA19" s="1810">
        <v>1</v>
      </c>
      <c r="AB19" s="1810">
        <v>1</v>
      </c>
      <c r="AC19" s="1810">
        <v>1</v>
      </c>
    </row>
    <row r="20" spans="1:29" ht="56">
      <c r="A20" s="428"/>
      <c r="B20" s="451" t="s">
        <v>2705</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25"/>
      <c r="Q20" s="1809" t="str">
        <f>B20</f>
        <v>自然及人文环境</v>
      </c>
      <c r="R20" s="774" t="s">
        <v>17</v>
      </c>
      <c r="S20" s="775">
        <f>F20</f>
        <v>100</v>
      </c>
      <c r="T20" s="774" t="s">
        <v>17</v>
      </c>
      <c r="U20" s="775">
        <f>H20</f>
        <v>100</v>
      </c>
      <c r="V20" s="774" t="s">
        <v>17</v>
      </c>
      <c r="W20" s="775">
        <f>J20</f>
        <v>100</v>
      </c>
      <c r="X20" s="1812"/>
      <c r="Y20" s="3325"/>
      <c r="Z20" s="1813" t="str">
        <f>Q20</f>
        <v>自然及人文环境</v>
      </c>
      <c r="AA20" s="1810">
        <f t="shared" si="3"/>
        <v>1</v>
      </c>
      <c r="AB20" s="1810">
        <f t="shared" si="4"/>
        <v>1</v>
      </c>
      <c r="AC20" s="1810">
        <f t="shared" si="5"/>
        <v>1</v>
      </c>
    </row>
    <row r="21" spans="1:29" ht="15.5">
      <c r="A21" s="428"/>
      <c r="B21" s="456"/>
      <c r="C21" s="447"/>
      <c r="D21" s="448"/>
      <c r="E21" s="447"/>
      <c r="F21" s="449"/>
      <c r="G21" s="447"/>
      <c r="H21" s="448"/>
      <c r="I21" s="447"/>
      <c r="J21" s="448"/>
      <c r="K21" s="615"/>
      <c r="L21" s="1140"/>
      <c r="M21" s="1131"/>
      <c r="N21" s="1131"/>
      <c r="O21" s="1139"/>
      <c r="P21" s="3325"/>
      <c r="Q21" s="1809"/>
      <c r="R21" s="774"/>
      <c r="S21" s="775"/>
      <c r="T21" s="774"/>
      <c r="U21" s="775"/>
      <c r="V21" s="774"/>
      <c r="W21" s="775"/>
      <c r="X21" s="1812"/>
      <c r="Y21" s="3325"/>
      <c r="Z21" s="1813"/>
      <c r="AA21" s="1810">
        <v>1</v>
      </c>
      <c r="AB21" s="1810">
        <v>1</v>
      </c>
      <c r="AC21" s="1810">
        <v>1</v>
      </c>
    </row>
    <row r="22" spans="1:29" ht="15.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25"/>
      <c r="Q22" s="1809" t="str">
        <f>B22</f>
        <v>楼层</v>
      </c>
      <c r="R22" s="774" t="s">
        <v>17</v>
      </c>
      <c r="S22" s="775">
        <f>F22</f>
        <v>100</v>
      </c>
      <c r="T22" s="774" t="s">
        <v>17</v>
      </c>
      <c r="U22" s="775">
        <f>H22</f>
        <v>100</v>
      </c>
      <c r="V22" s="774" t="s">
        <v>17</v>
      </c>
      <c r="W22" s="775">
        <f>J22</f>
        <v>100</v>
      </c>
      <c r="X22" s="1812"/>
      <c r="Y22" s="3325"/>
      <c r="Z22" s="1813" t="str">
        <f>Q22</f>
        <v>楼层</v>
      </c>
      <c r="AA22" s="1810">
        <f t="shared" si="3"/>
        <v>1</v>
      </c>
      <c r="AB22" s="1810">
        <f t="shared" si="4"/>
        <v>1</v>
      </c>
      <c r="AC22" s="1810">
        <f t="shared" si="5"/>
        <v>1</v>
      </c>
    </row>
    <row r="23" spans="1:29" ht="15.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25"/>
      <c r="Q23" s="1809">
        <f>B23</f>
        <v>111</v>
      </c>
      <c r="R23" s="774" t="s">
        <v>17</v>
      </c>
      <c r="S23" s="775">
        <f>F23</f>
        <v>100</v>
      </c>
      <c r="T23" s="774" t="s">
        <v>17</v>
      </c>
      <c r="U23" s="775">
        <f>H23</f>
        <v>100</v>
      </c>
      <c r="V23" s="774" t="s">
        <v>17</v>
      </c>
      <c r="W23" s="775">
        <f>J23</f>
        <v>100</v>
      </c>
      <c r="X23" s="1812"/>
      <c r="Y23" s="3325"/>
      <c r="Z23" s="1813">
        <f>Q23</f>
        <v>111</v>
      </c>
      <c r="AA23" s="1810">
        <f t="shared" si="3"/>
        <v>1</v>
      </c>
      <c r="AB23" s="1810">
        <f t="shared" si="4"/>
        <v>1</v>
      </c>
      <c r="AC23" s="1810">
        <f t="shared" si="5"/>
        <v>1</v>
      </c>
    </row>
    <row r="24" spans="1:29" ht="15.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25"/>
      <c r="Q24" s="1809">
        <f t="shared" ref="Q24:Q34" si="11">B24</f>
        <v>111</v>
      </c>
      <c r="R24" s="774" t="s">
        <v>17</v>
      </c>
      <c r="S24" s="775">
        <f>F24</f>
        <v>100</v>
      </c>
      <c r="T24" s="774" t="s">
        <v>17</v>
      </c>
      <c r="U24" s="775">
        <f>H24</f>
        <v>100</v>
      </c>
      <c r="V24" s="774" t="s">
        <v>17</v>
      </c>
      <c r="W24" s="775">
        <f>J24</f>
        <v>100</v>
      </c>
      <c r="X24" s="1812"/>
      <c r="Y24" s="3325"/>
      <c r="Z24" s="1813">
        <f>Q24</f>
        <v>111</v>
      </c>
      <c r="AA24" s="1810">
        <f t="shared" si="3"/>
        <v>1</v>
      </c>
      <c r="AB24" s="1810">
        <f t="shared" si="4"/>
        <v>1</v>
      </c>
      <c r="AC24" s="1810">
        <f t="shared" si="5"/>
        <v>1</v>
      </c>
    </row>
    <row r="25" spans="1:29" s="117" customFormat="1" ht="16"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325"/>
      <c r="Q25" s="1794">
        <f t="shared" si="11"/>
        <v>111</v>
      </c>
      <c r="R25" s="770" t="s">
        <v>17</v>
      </c>
      <c r="S25" s="771">
        <f>F25</f>
        <v>100</v>
      </c>
      <c r="T25" s="770" t="s">
        <v>17</v>
      </c>
      <c r="U25" s="771">
        <f>H25</f>
        <v>100</v>
      </c>
      <c r="V25" s="770" t="s">
        <v>17</v>
      </c>
      <c r="W25" s="771">
        <f>J25</f>
        <v>100</v>
      </c>
      <c r="X25" s="772"/>
      <c r="Y25" s="3325"/>
      <c r="Z25" s="55">
        <f>Q25</f>
        <v>111</v>
      </c>
      <c r="AA25" s="1810">
        <f>D25/F25</f>
        <v>1</v>
      </c>
      <c r="AB25" s="1810">
        <f>D25/H25</f>
        <v>1</v>
      </c>
      <c r="AC25" s="1810">
        <f>D25/J25</f>
        <v>1</v>
      </c>
    </row>
    <row r="26" spans="1:29" ht="29">
      <c r="A26" s="466" t="s">
        <v>2558</v>
      </c>
      <c r="B26" s="71" t="s">
        <v>2709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326"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327" t="s">
        <v>2560</v>
      </c>
      <c r="Z26" s="1813" t="str">
        <f t="shared" ref="Z26:Z34" si="15">Q26</f>
        <v>公共部分装修</v>
      </c>
      <c r="AA26" s="1810">
        <f t="shared" si="3"/>
        <v>1</v>
      </c>
      <c r="AB26" s="1810">
        <f t="shared" si="4"/>
        <v>1</v>
      </c>
      <c r="AC26" s="1810">
        <f t="shared" si="5"/>
        <v>1</v>
      </c>
    </row>
    <row r="27" spans="1:29" s="471" customFormat="1" ht="15.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27"/>
      <c r="Q27" s="776" t="str">
        <f t="shared" si="11"/>
        <v>成新率</v>
      </c>
      <c r="R27" s="777" t="s">
        <v>17</v>
      </c>
      <c r="S27" s="778" t="e">
        <f t="shared" si="12"/>
        <v>#N/A</v>
      </c>
      <c r="T27" s="777" t="s">
        <v>17</v>
      </c>
      <c r="U27" s="778" t="e">
        <f t="shared" si="13"/>
        <v>#N/A</v>
      </c>
      <c r="V27" s="777" t="s">
        <v>17</v>
      </c>
      <c r="W27" s="778" t="e">
        <f t="shared" si="14"/>
        <v>#N/A</v>
      </c>
      <c r="X27" s="779"/>
      <c r="Y27" s="3327"/>
      <c r="Z27" s="780" t="str">
        <f t="shared" si="15"/>
        <v>成新率</v>
      </c>
      <c r="AA27" s="1810" t="e">
        <f t="shared" si="3"/>
        <v>#N/A</v>
      </c>
      <c r="AB27" s="1810" t="e">
        <f t="shared" si="4"/>
        <v>#N/A</v>
      </c>
      <c r="AC27" s="1810" t="e">
        <f t="shared" si="5"/>
        <v>#N/A</v>
      </c>
    </row>
    <row r="28" spans="1:29" ht="15.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27"/>
      <c r="Q28" s="1809" t="str">
        <f t="shared" si="11"/>
        <v>物业等级</v>
      </c>
      <c r="R28" s="774" t="s">
        <v>17</v>
      </c>
      <c r="S28" s="775">
        <f t="shared" si="12"/>
        <v>100</v>
      </c>
      <c r="T28" s="774" t="s">
        <v>17</v>
      </c>
      <c r="U28" s="775">
        <f t="shared" si="13"/>
        <v>100</v>
      </c>
      <c r="V28" s="774" t="s">
        <v>17</v>
      </c>
      <c r="W28" s="775">
        <f t="shared" si="14"/>
        <v>100</v>
      </c>
      <c r="X28" s="1812"/>
      <c r="Y28" s="3327"/>
      <c r="Z28" s="1813" t="str">
        <f t="shared" si="15"/>
        <v>物业等级</v>
      </c>
      <c r="AA28" s="1810">
        <f t="shared" si="3"/>
        <v>1</v>
      </c>
      <c r="AB28" s="1810">
        <f t="shared" si="4"/>
        <v>1</v>
      </c>
      <c r="AC28" s="1810">
        <f t="shared" si="5"/>
        <v>1</v>
      </c>
    </row>
    <row r="29" spans="1:29" ht="15.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27"/>
      <c r="Q29" s="1809" t="str">
        <f t="shared" si="11"/>
        <v>有无电梯</v>
      </c>
      <c r="R29" s="774" t="s">
        <v>17</v>
      </c>
      <c r="S29" s="775">
        <f t="shared" si="12"/>
        <v>100</v>
      </c>
      <c r="T29" s="774" t="s">
        <v>17</v>
      </c>
      <c r="U29" s="775">
        <f t="shared" si="13"/>
        <v>100</v>
      </c>
      <c r="V29" s="774" t="s">
        <v>17</v>
      </c>
      <c r="W29" s="775">
        <f t="shared" si="14"/>
        <v>100</v>
      </c>
      <c r="X29" s="1812"/>
      <c r="Y29" s="3327"/>
      <c r="Z29" s="1813" t="str">
        <f t="shared" si="15"/>
        <v>有无电梯</v>
      </c>
      <c r="AA29" s="1810">
        <f t="shared" si="3"/>
        <v>1</v>
      </c>
      <c r="AB29" s="1810">
        <f t="shared" si="4"/>
        <v>1</v>
      </c>
      <c r="AC29" s="1810">
        <f t="shared" si="5"/>
        <v>1</v>
      </c>
    </row>
    <row r="30" spans="1:29" ht="15.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27"/>
      <c r="Q30" s="1809" t="str">
        <f t="shared" si="11"/>
        <v>建筑面积</v>
      </c>
      <c r="R30" s="774" t="s">
        <v>17</v>
      </c>
      <c r="S30" s="775" t="e">
        <f t="shared" si="12"/>
        <v>#N/A</v>
      </c>
      <c r="T30" s="774" t="s">
        <v>17</v>
      </c>
      <c r="U30" s="775" t="e">
        <f t="shared" si="13"/>
        <v>#N/A</v>
      </c>
      <c r="V30" s="774" t="s">
        <v>17</v>
      </c>
      <c r="W30" s="775" t="e">
        <f t="shared" si="14"/>
        <v>#N/A</v>
      </c>
      <c r="X30" s="1812"/>
      <c r="Y30" s="3327"/>
      <c r="Z30" s="1813" t="str">
        <f t="shared" si="15"/>
        <v>建筑面积</v>
      </c>
      <c r="AA30" s="1810" t="e">
        <f t="shared" si="3"/>
        <v>#N/A</v>
      </c>
      <c r="AB30" s="1810" t="e">
        <f t="shared" si="4"/>
        <v>#N/A</v>
      </c>
      <c r="AC30" s="1810" t="e">
        <f t="shared" si="5"/>
        <v>#N/A</v>
      </c>
    </row>
    <row r="31" spans="1:29" s="117" customFormat="1" ht="15.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27"/>
      <c r="Q31" s="1794" t="str">
        <f t="shared" si="11"/>
        <v>是否封闭</v>
      </c>
      <c r="R31" s="770" t="s">
        <v>17</v>
      </c>
      <c r="S31" s="771">
        <f t="shared" si="12"/>
        <v>100</v>
      </c>
      <c r="T31" s="770" t="s">
        <v>17</v>
      </c>
      <c r="U31" s="771">
        <f t="shared" si="13"/>
        <v>100</v>
      </c>
      <c r="V31" s="770" t="s">
        <v>17</v>
      </c>
      <c r="W31" s="771">
        <f t="shared" si="14"/>
        <v>100</v>
      </c>
      <c r="X31" s="772"/>
      <c r="Y31" s="3327"/>
      <c r="Z31" s="55" t="str">
        <f t="shared" si="15"/>
        <v>是否封闭</v>
      </c>
      <c r="AA31" s="773">
        <f t="shared" si="3"/>
        <v>1</v>
      </c>
      <c r="AB31" s="773">
        <f t="shared" si="4"/>
        <v>1</v>
      </c>
      <c r="AC31" s="773">
        <f t="shared" si="5"/>
        <v>1</v>
      </c>
    </row>
    <row r="32" spans="1:29" ht="15.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27" t="s">
        <v>2560</v>
      </c>
      <c r="Q32" s="1809">
        <f t="shared" si="11"/>
        <v>111</v>
      </c>
      <c r="R32" s="774" t="s">
        <v>17</v>
      </c>
      <c r="S32" s="775">
        <f t="shared" si="12"/>
        <v>100</v>
      </c>
      <c r="T32" s="774" t="s">
        <v>17</v>
      </c>
      <c r="U32" s="775">
        <f t="shared" si="13"/>
        <v>100</v>
      </c>
      <c r="V32" s="774" t="s">
        <v>17</v>
      </c>
      <c r="W32" s="775">
        <f t="shared" si="14"/>
        <v>100</v>
      </c>
      <c r="X32" s="1812"/>
      <c r="Y32" s="3327" t="s">
        <v>2560</v>
      </c>
      <c r="Z32" s="1813">
        <f t="shared" si="15"/>
        <v>111</v>
      </c>
      <c r="AA32" s="1810">
        <f t="shared" si="3"/>
        <v>1</v>
      </c>
      <c r="AB32" s="1810">
        <f t="shared" si="4"/>
        <v>1</v>
      </c>
      <c r="AC32" s="1810">
        <f t="shared" si="5"/>
        <v>1</v>
      </c>
    </row>
    <row r="33" spans="1:29" ht="15.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27"/>
      <c r="Q33" s="1809">
        <f t="shared" si="11"/>
        <v>111</v>
      </c>
      <c r="R33" s="774" t="s">
        <v>17</v>
      </c>
      <c r="S33" s="775">
        <f t="shared" si="12"/>
        <v>100</v>
      </c>
      <c r="T33" s="774" t="s">
        <v>17</v>
      </c>
      <c r="U33" s="775">
        <f t="shared" si="13"/>
        <v>100</v>
      </c>
      <c r="V33" s="774" t="s">
        <v>17</v>
      </c>
      <c r="W33" s="775">
        <f t="shared" si="14"/>
        <v>100</v>
      </c>
      <c r="X33" s="1812"/>
      <c r="Y33" s="3327"/>
      <c r="Z33" s="1813">
        <f t="shared" si="15"/>
        <v>111</v>
      </c>
      <c r="AA33" s="1810">
        <f t="shared" si="3"/>
        <v>1</v>
      </c>
      <c r="AB33" s="1810">
        <f t="shared" si="4"/>
        <v>1</v>
      </c>
      <c r="AC33" s="1810">
        <f t="shared" si="5"/>
        <v>1</v>
      </c>
    </row>
    <row r="34" spans="1:29" ht="16"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327"/>
      <c r="Q34" s="1809">
        <f t="shared" si="11"/>
        <v>111</v>
      </c>
      <c r="R34" s="774" t="s">
        <v>17</v>
      </c>
      <c r="S34" s="775">
        <f t="shared" si="12"/>
        <v>100</v>
      </c>
      <c r="T34" s="774" t="s">
        <v>17</v>
      </c>
      <c r="U34" s="775">
        <f t="shared" si="13"/>
        <v>100</v>
      </c>
      <c r="V34" s="774" t="s">
        <v>17</v>
      </c>
      <c r="W34" s="775">
        <f t="shared" si="14"/>
        <v>100</v>
      </c>
      <c r="X34" s="1812"/>
      <c r="Y34" s="3327"/>
      <c r="Z34" s="1813">
        <f t="shared" si="15"/>
        <v>111</v>
      </c>
      <c r="AA34" s="1810">
        <f t="shared" si="3"/>
        <v>1</v>
      </c>
      <c r="AB34" s="1810">
        <f t="shared" si="4"/>
        <v>1</v>
      </c>
      <c r="AC34" s="1810">
        <f t="shared" si="5"/>
        <v>1</v>
      </c>
    </row>
    <row r="35" spans="1:29">
      <c r="A35" s="479" t="s">
        <v>2572</v>
      </c>
      <c r="B35" s="480"/>
      <c r="C35" s="1407" t="s">
        <v>1</v>
      </c>
      <c r="D35" s="1408"/>
      <c r="E35" s="1409"/>
      <c r="F35" s="1410"/>
      <c r="G35" s="1411"/>
      <c r="H35" s="1412"/>
      <c r="I35" s="1409"/>
      <c r="J35" s="1412"/>
      <c r="K35" s="783"/>
      <c r="L35" s="1143"/>
      <c r="M35" s="1144"/>
      <c r="N35" s="1131"/>
      <c r="O35" s="1144"/>
      <c r="P35" s="3322" t="str">
        <f>A35</f>
        <v>成交单价（元/平方米）</v>
      </c>
      <c r="Q35" s="3322"/>
      <c r="R35" s="3359">
        <f>E35</f>
        <v>0</v>
      </c>
      <c r="S35" s="3359"/>
      <c r="T35" s="3359">
        <f>G35</f>
        <v>0</v>
      </c>
      <c r="U35" s="3359"/>
      <c r="V35" s="3359">
        <f>I35</f>
        <v>0</v>
      </c>
      <c r="W35" s="3359"/>
      <c r="X35" s="759"/>
      <c r="Y35" s="781"/>
      <c r="Z35" s="759"/>
      <c r="AA35" s="759"/>
      <c r="AB35" s="759"/>
      <c r="AC35" s="759"/>
    </row>
    <row r="36" spans="1:29" ht="14.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22" t="str">
        <f>A36</f>
        <v>比较价值（元/平方米）</v>
      </c>
      <c r="Q36" s="3322"/>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759"/>
      <c r="Y36" s="759"/>
      <c r="Z36" s="759"/>
      <c r="AA36" s="759"/>
      <c r="AB36" s="759"/>
      <c r="AC36" s="759"/>
    </row>
    <row r="37" spans="1:29" ht="14.5" thickBot="1">
      <c r="A37" s="492" t="s">
        <v>2665</v>
      </c>
      <c r="B37" s="493"/>
      <c r="C37" s="1417" t="e">
        <f>R37</f>
        <v>#DIV/0!</v>
      </c>
      <c r="D37" s="1417"/>
      <c r="E37" s="1417"/>
      <c r="F37" s="1417"/>
      <c r="G37" s="1417"/>
      <c r="H37" s="1417"/>
      <c r="I37" s="1417"/>
      <c r="J37" s="1417"/>
      <c r="K37" s="785"/>
      <c r="L37" s="1143"/>
      <c r="M37" s="1144"/>
      <c r="N37" s="1144"/>
      <c r="O37" s="1144"/>
      <c r="P37" s="3316" t="str">
        <f>A37</f>
        <v>估价对象XX用房的比较价值（楼面单价，元/平方米）</v>
      </c>
      <c r="Q37" s="3317"/>
      <c r="R37" s="3358" t="e">
        <f>IF(F1="售价",ROUND(AVERAGE(R36:V36),0),ROUND(AVERAGE(R36:V36),1))</f>
        <v>#DIV/0!</v>
      </c>
      <c r="S37" s="3358"/>
      <c r="T37" s="3358"/>
      <c r="U37" s="3358"/>
      <c r="V37" s="3358"/>
      <c r="W37" s="335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2669</v>
      </c>
      <c r="B45" s="759"/>
      <c r="C45" s="764"/>
      <c r="D45" s="764"/>
      <c r="E45" s="764"/>
      <c r="F45" s="765"/>
      <c r="G45" s="765"/>
      <c r="H45" s="764"/>
      <c r="I45" s="764"/>
      <c r="J45" s="764"/>
      <c r="K45" s="766"/>
      <c r="L45" s="767"/>
      <c r="M45" s="764"/>
      <c r="N45" s="764"/>
      <c r="O45" s="764"/>
      <c r="P45" s="503"/>
      <c r="Q45" s="504"/>
    </row>
    <row r="46" spans="1:29" s="508" customFormat="1">
      <c r="A46" s="505" t="s">
        <v>2543</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2580</v>
      </c>
      <c r="B48" s="516"/>
      <c r="C48" s="517"/>
      <c r="D48" s="518"/>
      <c r="E48" s="518"/>
      <c r="F48" s="518"/>
      <c r="G48" s="518"/>
      <c r="H48" s="518"/>
      <c r="I48" s="518"/>
      <c r="J48" s="518"/>
      <c r="K48" s="518"/>
      <c r="L48" s="518"/>
      <c r="M48" s="519"/>
      <c r="N48" s="518"/>
      <c r="O48" s="520"/>
      <c r="P48" s="504"/>
      <c r="Q48" s="504"/>
    </row>
    <row r="49" spans="1:17" s="117" customFormat="1">
      <c r="A49" s="521" t="s">
        <v>2545</v>
      </c>
      <c r="B49" s="510"/>
      <c r="C49" s="522" t="s">
        <v>2647</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2724</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2558</v>
      </c>
      <c r="B77" s="528" t="s">
        <v>2611</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2728</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2736</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2738</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7265625" style="403" customWidth="1"/>
    <col min="3" max="3" width="14.36328125" style="403" customWidth="1"/>
    <col min="4" max="4" width="12.26953125" style="403" customWidth="1"/>
    <col min="5" max="5" width="14.36328125" style="403" customWidth="1"/>
    <col min="6" max="6" width="12.26953125" style="403" customWidth="1"/>
    <col min="7" max="7" width="14.453125" style="403" customWidth="1"/>
    <col min="8" max="8" width="12.26953125" style="403" customWidth="1"/>
    <col min="9" max="9" width="14.453125" style="403" customWidth="1"/>
    <col min="10" max="10" width="12.26953125" style="403" customWidth="1"/>
    <col min="11" max="11" width="12.26953125" style="495" customWidth="1"/>
    <col min="12" max="12" width="12.26953125" style="496" customWidth="1"/>
    <col min="13" max="15" width="12.26953125" style="403" customWidth="1"/>
    <col min="16" max="16" width="4.7265625" style="403" customWidth="1"/>
    <col min="17" max="17" width="19.453125" style="403" customWidth="1"/>
    <col min="18" max="22" width="6.08984375" style="403" customWidth="1"/>
    <col min="23" max="23" width="5.7265625" style="403" customWidth="1"/>
    <col min="24" max="24" width="4.26953125" style="403" customWidth="1"/>
    <col min="25" max="25" width="3.453125" style="403" customWidth="1"/>
    <col min="26" max="26" width="19.7265625" style="403" customWidth="1"/>
    <col min="27" max="28" width="9.3632812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2640</v>
      </c>
      <c r="B4" s="402"/>
      <c r="C4" s="3319" t="s">
        <v>2641</v>
      </c>
      <c r="D4" s="3332"/>
      <c r="E4" s="3333" t="s">
        <v>2642</v>
      </c>
      <c r="F4" s="3334"/>
      <c r="G4" s="3319" t="s">
        <v>2643</v>
      </c>
      <c r="H4" s="3332"/>
      <c r="I4" s="3319" t="s">
        <v>2644</v>
      </c>
      <c r="J4" s="3332"/>
      <c r="K4" s="610" t="s">
        <v>2645</v>
      </c>
      <c r="L4" s="1130"/>
      <c r="M4" s="1131"/>
      <c r="N4" s="1131"/>
      <c r="O4" s="1131"/>
      <c r="P4" s="3335" t="s">
        <v>2646</v>
      </c>
      <c r="Q4" s="3336"/>
      <c r="R4" s="3341" t="s">
        <v>2642</v>
      </c>
      <c r="S4" s="3342"/>
      <c r="T4" s="3341" t="s">
        <v>2643</v>
      </c>
      <c r="U4" s="3342"/>
      <c r="V4" s="3328" t="s">
        <v>2644</v>
      </c>
      <c r="W4" s="3328"/>
      <c r="X4" s="1812"/>
      <c r="Y4" s="3341" t="s">
        <v>2646</v>
      </c>
      <c r="Z4" s="3342"/>
      <c r="AA4" s="3329" t="s">
        <v>2642</v>
      </c>
      <c r="AB4" s="3330" t="s">
        <v>2643</v>
      </c>
      <c r="AC4" s="3329" t="s">
        <v>2644</v>
      </c>
    </row>
    <row r="5" spans="1:29">
      <c r="A5" s="404"/>
      <c r="B5" s="405"/>
      <c r="C5" s="3349" t="s">
        <v>2537</v>
      </c>
      <c r="D5" s="3350"/>
      <c r="E5" s="3356" t="s">
        <v>2538</v>
      </c>
      <c r="F5" s="3357"/>
      <c r="G5" s="3349" t="s">
        <v>2539</v>
      </c>
      <c r="H5" s="3350"/>
      <c r="I5" s="3349" t="s">
        <v>2540</v>
      </c>
      <c r="J5" s="3350"/>
      <c r="K5" s="610"/>
      <c r="L5" s="1130"/>
      <c r="M5" s="1131"/>
      <c r="N5" s="1131"/>
      <c r="O5" s="1131"/>
      <c r="P5" s="3337"/>
      <c r="Q5" s="3338"/>
      <c r="R5" s="3343"/>
      <c r="S5" s="3344"/>
      <c r="T5" s="3343"/>
      <c r="U5" s="3344"/>
      <c r="V5" s="3328"/>
      <c r="W5" s="3328"/>
      <c r="X5" s="1812"/>
      <c r="Y5" s="3343"/>
      <c r="Z5" s="3344"/>
      <c r="AA5" s="3330"/>
      <c r="AB5" s="3330"/>
      <c r="AC5" s="3330"/>
    </row>
    <row r="6" spans="1:29" ht="15" thickBot="1">
      <c r="A6" s="406"/>
      <c r="B6" s="407"/>
      <c r="C6" s="3410" t="s">
        <v>2791</v>
      </c>
      <c r="D6" s="3411"/>
      <c r="E6" s="3412" t="s">
        <v>2791</v>
      </c>
      <c r="F6" s="3413"/>
      <c r="G6" s="3410" t="s">
        <v>2791</v>
      </c>
      <c r="H6" s="3411"/>
      <c r="I6" s="3410" t="s">
        <v>2791</v>
      </c>
      <c r="J6" s="3411"/>
      <c r="K6" s="610" t="s">
        <v>2542</v>
      </c>
      <c r="L6" s="1130"/>
      <c r="M6" s="1131"/>
      <c r="N6" s="1131"/>
      <c r="O6" s="1131"/>
      <c r="P6" s="3339"/>
      <c r="Q6" s="3340"/>
      <c r="R6" s="3343"/>
      <c r="S6" s="3344"/>
      <c r="T6" s="3345"/>
      <c r="U6" s="3346"/>
      <c r="V6" s="3328"/>
      <c r="W6" s="3328"/>
      <c r="X6" s="1812"/>
      <c r="Y6" s="3345"/>
      <c r="Z6" s="3346"/>
      <c r="AA6" s="3331"/>
      <c r="AB6" s="3331"/>
      <c r="AC6" s="3331"/>
    </row>
    <row r="7" spans="1:29" s="117" customFormat="1" ht="14.5" thickBot="1">
      <c r="A7" s="408" t="s">
        <v>2543</v>
      </c>
      <c r="B7" s="409"/>
      <c r="C7" s="410">
        <f>'数据-取费表'!B2</f>
        <v>43913</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351" t="s">
        <v>2544</v>
      </c>
      <c r="Q7" s="3353"/>
      <c r="R7" s="770" t="s">
        <v>17</v>
      </c>
      <c r="S7" s="771">
        <f t="shared" ref="S7:S15" si="0">F7</f>
        <v>0</v>
      </c>
      <c r="T7" s="770" t="s">
        <v>17</v>
      </c>
      <c r="U7" s="771">
        <f t="shared" ref="U7:U15" si="1">H7</f>
        <v>0</v>
      </c>
      <c r="V7" s="770" t="s">
        <v>17</v>
      </c>
      <c r="W7" s="771">
        <f t="shared" ref="W7:W15" si="2">J7</f>
        <v>0</v>
      </c>
      <c r="X7" s="772"/>
      <c r="Y7" s="3351" t="s">
        <v>2544</v>
      </c>
      <c r="Z7" s="3352"/>
      <c r="AA7" s="773" t="e">
        <f>D7/F7</f>
        <v>#DIV/0!</v>
      </c>
      <c r="AB7" s="773" t="e">
        <f>D7/H7</f>
        <v>#DIV/0!</v>
      </c>
      <c r="AC7" s="773" t="e">
        <f>D7/J7</f>
        <v>#DIV/0!</v>
      </c>
    </row>
    <row r="8" spans="1:29" s="117" customFormat="1" ht="14.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51" t="s">
        <v>2547</v>
      </c>
      <c r="Q8" s="3352"/>
      <c r="R8" s="770" t="s">
        <v>17</v>
      </c>
      <c r="S8" s="771">
        <f t="shared" si="0"/>
        <v>0</v>
      </c>
      <c r="T8" s="770" t="s">
        <v>17</v>
      </c>
      <c r="U8" s="771">
        <f t="shared" si="1"/>
        <v>0</v>
      </c>
      <c r="V8" s="770" t="s">
        <v>17</v>
      </c>
      <c r="W8" s="771">
        <f t="shared" si="2"/>
        <v>0</v>
      </c>
      <c r="X8" s="772"/>
      <c r="Y8" s="3351" t="s">
        <v>2547</v>
      </c>
      <c r="Z8" s="3352"/>
      <c r="AA8" s="773" t="e">
        <f t="shared" ref="AA8:AA40" si="3">D8/F8</f>
        <v>#DIV/0!</v>
      </c>
      <c r="AB8" s="773" t="e">
        <f t="shared" ref="AB8:AB40" si="4">D8/H8</f>
        <v>#DIV/0!</v>
      </c>
      <c r="AC8" s="773" t="e">
        <f t="shared" ref="AC8:AC40" si="5">D8/J8</f>
        <v>#DIV/0!</v>
      </c>
    </row>
    <row r="9" spans="1:29" s="117" customFormat="1">
      <c r="A9" s="415" t="s">
        <v>2548</v>
      </c>
      <c r="B9" s="71" t="s">
        <v>2549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322" t="s">
        <v>2550</v>
      </c>
      <c r="Q9" s="1794" t="str">
        <f t="shared" ref="Q9:Q15" si="6">B9</f>
        <v>用途</v>
      </c>
      <c r="R9" s="770" t="s">
        <v>17</v>
      </c>
      <c r="S9" s="771">
        <f t="shared" si="0"/>
        <v>100</v>
      </c>
      <c r="T9" s="770" t="s">
        <v>17</v>
      </c>
      <c r="U9" s="771">
        <f t="shared" si="1"/>
        <v>100</v>
      </c>
      <c r="V9" s="770" t="s">
        <v>17</v>
      </c>
      <c r="W9" s="771">
        <f t="shared" si="2"/>
        <v>100</v>
      </c>
      <c r="X9" s="772"/>
      <c r="Y9" s="3112" t="s">
        <v>2551</v>
      </c>
      <c r="Z9" s="55" t="str">
        <f t="shared" ref="Z9:Z15" si="7">Q9</f>
        <v>用途</v>
      </c>
      <c r="AA9" s="773">
        <f t="shared" si="3"/>
        <v>1</v>
      </c>
      <c r="AB9" s="773">
        <f t="shared" si="4"/>
        <v>1</v>
      </c>
      <c r="AC9" s="773">
        <f t="shared" si="5"/>
        <v>1</v>
      </c>
    </row>
    <row r="10" spans="1:29" s="427" customFormat="1" ht="28">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322"/>
      <c r="Q10" s="1794" t="str">
        <f t="shared" si="6"/>
        <v>土地使用年限（年）</v>
      </c>
      <c r="R10" s="770" t="s">
        <v>17</v>
      </c>
      <c r="S10" s="771">
        <f t="shared" si="0"/>
        <v>117</v>
      </c>
      <c r="T10" s="770" t="s">
        <v>17</v>
      </c>
      <c r="U10" s="771">
        <f t="shared" si="1"/>
        <v>117</v>
      </c>
      <c r="V10" s="770" t="s">
        <v>17</v>
      </c>
      <c r="W10" s="771">
        <f t="shared" si="2"/>
        <v>117</v>
      </c>
      <c r="X10" s="772"/>
      <c r="Y10" s="3112"/>
      <c r="Z10" s="55" t="str">
        <f t="shared" si="7"/>
        <v>土地使用年限（年）</v>
      </c>
      <c r="AA10" s="773">
        <f t="shared" si="3"/>
        <v>0.85470085470085466</v>
      </c>
      <c r="AB10" s="773">
        <f t="shared" si="4"/>
        <v>0.85470085470085466</v>
      </c>
      <c r="AC10" s="773">
        <f t="shared" si="5"/>
        <v>0.85470085470085466</v>
      </c>
    </row>
    <row r="11" spans="1:29" ht="15.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22"/>
      <c r="Q11" s="1794" t="str">
        <f t="shared" si="6"/>
        <v>容积率</v>
      </c>
      <c r="R11" s="770" t="s">
        <v>17</v>
      </c>
      <c r="S11" s="771" t="e">
        <f t="shared" si="0"/>
        <v>#N/A</v>
      </c>
      <c r="T11" s="770" t="s">
        <v>17</v>
      </c>
      <c r="U11" s="771" t="e">
        <f t="shared" si="1"/>
        <v>#N/A</v>
      </c>
      <c r="V11" s="770" t="s">
        <v>17</v>
      </c>
      <c r="W11" s="771" t="e">
        <f t="shared" si="2"/>
        <v>#N/A</v>
      </c>
      <c r="X11" s="772"/>
      <c r="Y11" s="3112"/>
      <c r="Z11" s="55" t="str">
        <f t="shared" si="7"/>
        <v>容积率</v>
      </c>
      <c r="AA11" s="773" t="e">
        <f t="shared" si="3"/>
        <v>#N/A</v>
      </c>
      <c r="AB11" s="773" t="e">
        <f t="shared" si="4"/>
        <v>#N/A</v>
      </c>
      <c r="AC11" s="773" t="e">
        <f t="shared" si="5"/>
        <v>#N/A</v>
      </c>
    </row>
    <row r="12" spans="1:29" s="117" customFormat="1" ht="15.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22"/>
      <c r="Q12" s="1794">
        <f t="shared" si="6"/>
        <v>111</v>
      </c>
      <c r="R12" s="770" t="s">
        <v>17</v>
      </c>
      <c r="S12" s="771">
        <f t="shared" si="0"/>
        <v>100</v>
      </c>
      <c r="T12" s="770" t="s">
        <v>17</v>
      </c>
      <c r="U12" s="771">
        <f t="shared" si="1"/>
        <v>100</v>
      </c>
      <c r="V12" s="770" t="s">
        <v>17</v>
      </c>
      <c r="W12" s="771">
        <f t="shared" si="2"/>
        <v>100</v>
      </c>
      <c r="X12" s="772"/>
      <c r="Y12" s="3112"/>
      <c r="Z12" s="55">
        <f t="shared" si="7"/>
        <v>111</v>
      </c>
      <c r="AA12" s="773">
        <f>D12/F12</f>
        <v>1</v>
      </c>
      <c r="AB12" s="773">
        <f>D12/H12</f>
        <v>1</v>
      </c>
      <c r="AC12" s="773">
        <f>D12/J12</f>
        <v>1</v>
      </c>
    </row>
    <row r="13" spans="1:29" ht="15.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22"/>
      <c r="Q13" s="1794">
        <f t="shared" si="6"/>
        <v>111</v>
      </c>
      <c r="R13" s="770" t="s">
        <v>17</v>
      </c>
      <c r="S13" s="771">
        <f t="shared" si="0"/>
        <v>100</v>
      </c>
      <c r="T13" s="770" t="s">
        <v>17</v>
      </c>
      <c r="U13" s="771">
        <f t="shared" si="1"/>
        <v>100</v>
      </c>
      <c r="V13" s="770" t="s">
        <v>17</v>
      </c>
      <c r="W13" s="771">
        <f t="shared" si="2"/>
        <v>100</v>
      </c>
      <c r="X13" s="772"/>
      <c r="Y13" s="3112"/>
      <c r="Z13" s="55">
        <f t="shared" si="7"/>
        <v>111</v>
      </c>
      <c r="AA13" s="773">
        <f t="shared" si="3"/>
        <v>1</v>
      </c>
      <c r="AB13" s="773">
        <f t="shared" si="4"/>
        <v>1</v>
      </c>
      <c r="AC13" s="773">
        <f t="shared" si="5"/>
        <v>1</v>
      </c>
    </row>
    <row r="14" spans="1:29" ht="16"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22"/>
      <c r="Q14" s="1794">
        <f t="shared" si="6"/>
        <v>111</v>
      </c>
      <c r="R14" s="770" t="s">
        <v>17</v>
      </c>
      <c r="S14" s="771">
        <f t="shared" si="0"/>
        <v>100</v>
      </c>
      <c r="T14" s="770" t="s">
        <v>17</v>
      </c>
      <c r="U14" s="771">
        <f t="shared" si="1"/>
        <v>100</v>
      </c>
      <c r="V14" s="770" t="s">
        <v>17</v>
      </c>
      <c r="W14" s="771">
        <f t="shared" si="2"/>
        <v>100</v>
      </c>
      <c r="X14" s="772"/>
      <c r="Y14" s="3112"/>
      <c r="Z14" s="55">
        <f t="shared" si="7"/>
        <v>111</v>
      </c>
      <c r="AA14" s="773">
        <f t="shared" si="3"/>
        <v>1</v>
      </c>
      <c r="AB14" s="773">
        <f t="shared" si="4"/>
        <v>1</v>
      </c>
      <c r="AC14" s="773">
        <f t="shared" si="5"/>
        <v>1</v>
      </c>
    </row>
    <row r="15" spans="1:29" ht="70">
      <c r="A15" s="440" t="s">
        <v>2554</v>
      </c>
      <c r="B15" s="629" t="s">
        <v>2792</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24" t="s">
        <v>2555</v>
      </c>
      <c r="Q15" s="1809" t="str">
        <f t="shared" si="6"/>
        <v>产业集聚程度</v>
      </c>
      <c r="R15" s="774" t="s">
        <v>17</v>
      </c>
      <c r="S15" s="775">
        <f t="shared" si="0"/>
        <v>100</v>
      </c>
      <c r="T15" s="774" t="s">
        <v>17</v>
      </c>
      <c r="U15" s="775">
        <f t="shared" si="1"/>
        <v>100</v>
      </c>
      <c r="V15" s="774" t="s">
        <v>17</v>
      </c>
      <c r="W15" s="775">
        <f t="shared" si="2"/>
        <v>100</v>
      </c>
      <c r="X15" s="1812"/>
      <c r="Y15" s="3324" t="s">
        <v>2555</v>
      </c>
      <c r="Z15" s="1813" t="str">
        <f t="shared" si="7"/>
        <v>产业集聚程度</v>
      </c>
      <c r="AA15" s="1810">
        <f t="shared" si="3"/>
        <v>1</v>
      </c>
      <c r="AB15" s="1810">
        <f t="shared" si="4"/>
        <v>1</v>
      </c>
      <c r="AC15" s="1810">
        <f t="shared" si="5"/>
        <v>1</v>
      </c>
    </row>
    <row r="16" spans="1:29" ht="15.5">
      <c r="A16" s="428"/>
      <c r="B16" s="630"/>
      <c r="C16" s="447"/>
      <c r="D16" s="448"/>
      <c r="E16" s="2607"/>
      <c r="F16" s="448"/>
      <c r="G16" s="2607"/>
      <c r="H16" s="450"/>
      <c r="I16" s="2607"/>
      <c r="J16" s="448"/>
      <c r="K16" s="672"/>
      <c r="L16" s="1140"/>
      <c r="M16" s="1131"/>
      <c r="N16" s="1131"/>
      <c r="O16" s="1139"/>
      <c r="P16" s="3325"/>
      <c r="Q16" s="1809"/>
      <c r="R16" s="774"/>
      <c r="S16" s="775"/>
      <c r="T16" s="774"/>
      <c r="U16" s="775"/>
      <c r="V16" s="774"/>
      <c r="W16" s="775"/>
      <c r="X16" s="1812"/>
      <c r="Y16" s="3325"/>
      <c r="Z16" s="1813"/>
      <c r="AA16" s="1810">
        <v>1</v>
      </c>
      <c r="AB16" s="1810">
        <v>1</v>
      </c>
      <c r="AC16" s="1810">
        <v>1</v>
      </c>
    </row>
    <row r="17" spans="1:29" ht="98">
      <c r="A17" s="428"/>
      <c r="B17" s="631"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25"/>
      <c r="Q17" s="1809" t="str">
        <f>B17</f>
        <v>交通便捷度</v>
      </c>
      <c r="R17" s="774" t="s">
        <v>17</v>
      </c>
      <c r="S17" s="775">
        <f>F17</f>
        <v>100</v>
      </c>
      <c r="T17" s="774" t="s">
        <v>17</v>
      </c>
      <c r="U17" s="775">
        <f>H17</f>
        <v>100</v>
      </c>
      <c r="V17" s="774" t="s">
        <v>17</v>
      </c>
      <c r="W17" s="775">
        <f>J17</f>
        <v>100</v>
      </c>
      <c r="X17" s="1812"/>
      <c r="Y17" s="3325"/>
      <c r="Z17" s="1813" t="str">
        <f>Q17</f>
        <v>交通便捷度</v>
      </c>
      <c r="AA17" s="1810">
        <f t="shared" si="3"/>
        <v>1</v>
      </c>
      <c r="AB17" s="1810">
        <f t="shared" si="4"/>
        <v>1</v>
      </c>
      <c r="AC17" s="1810">
        <f t="shared" si="5"/>
        <v>1</v>
      </c>
    </row>
    <row r="18" spans="1:29" ht="15.5">
      <c r="A18" s="428"/>
      <c r="B18" s="632"/>
      <c r="C18" s="447"/>
      <c r="D18" s="448"/>
      <c r="E18" s="2601"/>
      <c r="F18" s="448"/>
      <c r="G18" s="2601"/>
      <c r="H18" s="448"/>
      <c r="I18" s="2600"/>
      <c r="J18" s="448"/>
      <c r="K18" s="672"/>
      <c r="L18" s="1140"/>
      <c r="M18" s="1131"/>
      <c r="N18" s="1131"/>
      <c r="O18" s="1139"/>
      <c r="P18" s="3325"/>
      <c r="Q18" s="1809"/>
      <c r="R18" s="774"/>
      <c r="S18" s="775"/>
      <c r="T18" s="774"/>
      <c r="U18" s="775"/>
      <c r="V18" s="774"/>
      <c r="W18" s="775"/>
      <c r="X18" s="1812"/>
      <c r="Y18" s="3325"/>
      <c r="Z18" s="1813"/>
      <c r="AA18" s="1810">
        <v>1</v>
      </c>
      <c r="AB18" s="1810">
        <v>1</v>
      </c>
      <c r="AC18" s="1810">
        <v>1</v>
      </c>
    </row>
    <row r="19" spans="1:29" ht="28">
      <c r="A19" s="428"/>
      <c r="B19" s="631"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25"/>
      <c r="Q19" s="1809" t="str">
        <f t="shared" ref="Q19:Q33" si="8">B19</f>
        <v>区域土地利用方向</v>
      </c>
      <c r="R19" s="774" t="s">
        <v>17</v>
      </c>
      <c r="S19" s="775">
        <f>F19</f>
        <v>100</v>
      </c>
      <c r="T19" s="774" t="s">
        <v>17</v>
      </c>
      <c r="U19" s="775">
        <f>H19</f>
        <v>100</v>
      </c>
      <c r="V19" s="774" t="s">
        <v>17</v>
      </c>
      <c r="W19" s="775">
        <f>J19</f>
        <v>100</v>
      </c>
      <c r="X19" s="1812"/>
      <c r="Y19" s="3325"/>
      <c r="Z19" s="1813" t="str">
        <f>Q19</f>
        <v>区域土地利用方向</v>
      </c>
      <c r="AA19" s="1810">
        <f t="shared" si="3"/>
        <v>1</v>
      </c>
      <c r="AB19" s="1810">
        <f t="shared" si="4"/>
        <v>1</v>
      </c>
      <c r="AC19" s="1810">
        <f t="shared" si="5"/>
        <v>1</v>
      </c>
    </row>
    <row r="20" spans="1:29" ht="15.5">
      <c r="A20" s="404"/>
      <c r="B20" s="632"/>
      <c r="C20" s="447"/>
      <c r="D20" s="448"/>
      <c r="E20" s="2601"/>
      <c r="F20" s="448"/>
      <c r="G20" s="2601"/>
      <c r="H20" s="448"/>
      <c r="I20" s="2601"/>
      <c r="J20" s="448"/>
      <c r="K20" s="812"/>
      <c r="L20" s="1140"/>
      <c r="M20" s="1131"/>
      <c r="N20" s="1131"/>
      <c r="O20" s="1139"/>
      <c r="P20" s="3325"/>
      <c r="Q20" s="1809"/>
      <c r="R20" s="774"/>
      <c r="S20" s="775"/>
      <c r="T20" s="774"/>
      <c r="U20" s="775"/>
      <c r="V20" s="774"/>
      <c r="W20" s="775"/>
      <c r="X20" s="1812"/>
      <c r="Y20" s="3325"/>
      <c r="Z20" s="1813"/>
      <c r="AA20" s="1810"/>
      <c r="AB20" s="1810"/>
      <c r="AC20" s="1810"/>
    </row>
    <row r="21" spans="1:29" ht="84">
      <c r="A21" s="404"/>
      <c r="B21" s="631"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25"/>
      <c r="Q21" s="1809" t="str">
        <f t="shared" si="8"/>
        <v>环境状况</v>
      </c>
      <c r="R21" s="774" t="s">
        <v>17</v>
      </c>
      <c r="S21" s="775">
        <f>F21</f>
        <v>100</v>
      </c>
      <c r="T21" s="774" t="s">
        <v>17</v>
      </c>
      <c r="U21" s="775">
        <f>H21</f>
        <v>100</v>
      </c>
      <c r="V21" s="774" t="s">
        <v>17</v>
      </c>
      <c r="W21" s="775">
        <f>J21</f>
        <v>100</v>
      </c>
      <c r="X21" s="1812"/>
      <c r="Y21" s="3325"/>
      <c r="Z21" s="1813" t="str">
        <f>Q21</f>
        <v>环境状况</v>
      </c>
      <c r="AA21" s="1810">
        <f t="shared" si="3"/>
        <v>1</v>
      </c>
      <c r="AB21" s="1810">
        <f t="shared" si="4"/>
        <v>1</v>
      </c>
      <c r="AC21" s="1810">
        <f t="shared" si="5"/>
        <v>1</v>
      </c>
    </row>
    <row r="22" spans="1:29" ht="15.5">
      <c r="A22" s="404"/>
      <c r="B22" s="632"/>
      <c r="C22" s="447"/>
      <c r="D22" s="448"/>
      <c r="E22" s="2607"/>
      <c r="F22" s="448"/>
      <c r="G22" s="2607"/>
      <c r="H22" s="448"/>
      <c r="I22" s="447"/>
      <c r="J22" s="448"/>
      <c r="K22" s="672"/>
      <c r="L22" s="1140"/>
      <c r="M22" s="1131"/>
      <c r="N22" s="1131"/>
      <c r="O22" s="1139"/>
      <c r="P22" s="3325"/>
      <c r="Q22" s="1809"/>
      <c r="R22" s="774"/>
      <c r="S22" s="775"/>
      <c r="T22" s="774"/>
      <c r="U22" s="775"/>
      <c r="V22" s="774"/>
      <c r="W22" s="775"/>
      <c r="X22" s="1812"/>
      <c r="Y22" s="3325"/>
      <c r="Z22" s="1813"/>
      <c r="AA22" s="1810">
        <v>1</v>
      </c>
      <c r="AB22" s="1810">
        <v>1</v>
      </c>
      <c r="AC22" s="1810">
        <v>1</v>
      </c>
    </row>
    <row r="23" spans="1:29" s="117" customFormat="1" ht="42">
      <c r="A23" s="649"/>
      <c r="B23" s="633"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25"/>
      <c r="Q23" s="1794" t="str">
        <f t="shared" si="8"/>
        <v>公共配套设施</v>
      </c>
      <c r="R23" s="770" t="s">
        <v>17</v>
      </c>
      <c r="S23" s="771">
        <f>F23</f>
        <v>100</v>
      </c>
      <c r="T23" s="770" t="s">
        <v>17</v>
      </c>
      <c r="U23" s="771">
        <f>H23</f>
        <v>100</v>
      </c>
      <c r="V23" s="770" t="s">
        <v>17</v>
      </c>
      <c r="W23" s="771">
        <f>J23</f>
        <v>100</v>
      </c>
      <c r="X23" s="772"/>
      <c r="Y23" s="3325"/>
      <c r="Z23" s="55" t="str">
        <f>Q23</f>
        <v>公共配套设施</v>
      </c>
      <c r="AA23" s="1810">
        <f>D23/F23</f>
        <v>1</v>
      </c>
      <c r="AB23" s="1810">
        <f>D23/H23</f>
        <v>1</v>
      </c>
      <c r="AC23" s="1810">
        <f>D23/J23</f>
        <v>1</v>
      </c>
    </row>
    <row r="24" spans="1:29" s="117" customFormat="1" ht="15.5">
      <c r="A24" s="649"/>
      <c r="B24" s="632"/>
      <c r="C24" s="2694"/>
      <c r="D24" s="448"/>
      <c r="E24" s="2607"/>
      <c r="F24" s="448"/>
      <c r="G24" s="2607"/>
      <c r="H24" s="448"/>
      <c r="I24" s="447"/>
      <c r="J24" s="448"/>
      <c r="K24" s="672"/>
      <c r="L24" s="1132"/>
      <c r="M24" s="1133"/>
      <c r="N24" s="1133"/>
      <c r="O24" s="1134"/>
      <c r="P24" s="3325"/>
      <c r="Q24" s="1794"/>
      <c r="R24" s="770"/>
      <c r="S24" s="771"/>
      <c r="T24" s="770"/>
      <c r="U24" s="771"/>
      <c r="V24" s="770"/>
      <c r="W24" s="771"/>
      <c r="X24" s="772"/>
      <c r="Y24" s="3325"/>
      <c r="Z24" s="55"/>
      <c r="AA24" s="773">
        <v>1</v>
      </c>
      <c r="AB24" s="773">
        <v>1</v>
      </c>
      <c r="AC24" s="773">
        <v>1</v>
      </c>
    </row>
    <row r="25" spans="1:29" s="117" customFormat="1" ht="42">
      <c r="A25" s="649"/>
      <c r="B25" s="633"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25"/>
      <c r="Q25" s="1794" t="str">
        <f t="shared" ref="Q25" si="9">B25</f>
        <v>基础设施水平</v>
      </c>
      <c r="R25" s="770" t="s">
        <v>17</v>
      </c>
      <c r="S25" s="771">
        <f>F25</f>
        <v>100</v>
      </c>
      <c r="T25" s="770" t="s">
        <v>17</v>
      </c>
      <c r="U25" s="771">
        <f>H25</f>
        <v>100</v>
      </c>
      <c r="V25" s="770" t="s">
        <v>17</v>
      </c>
      <c r="W25" s="771">
        <f>J25</f>
        <v>100</v>
      </c>
      <c r="X25" s="772"/>
      <c r="Y25" s="3325"/>
      <c r="Z25" s="55" t="str">
        <f>Q25</f>
        <v>基础设施水平</v>
      </c>
      <c r="AA25" s="1810">
        <f>D25/F25</f>
        <v>1</v>
      </c>
      <c r="AB25" s="1810">
        <f>D25/H25</f>
        <v>1</v>
      </c>
      <c r="AC25" s="1810">
        <f>D25/J25</f>
        <v>1</v>
      </c>
    </row>
    <row r="26" spans="1:29" s="117" customFormat="1" ht="15.5">
      <c r="A26" s="649"/>
      <c r="B26" s="632"/>
      <c r="C26" s="2694"/>
      <c r="D26" s="448"/>
      <c r="E26" s="2695"/>
      <c r="F26" s="448"/>
      <c r="G26" s="2695"/>
      <c r="H26" s="448"/>
      <c r="I26" s="2695"/>
      <c r="J26" s="448"/>
      <c r="K26" s="672"/>
      <c r="L26" s="1132"/>
      <c r="M26" s="1133"/>
      <c r="N26" s="1133"/>
      <c r="O26" s="1134"/>
      <c r="P26" s="3325"/>
      <c r="Q26" s="1794"/>
      <c r="R26" s="770"/>
      <c r="S26" s="771"/>
      <c r="T26" s="770"/>
      <c r="U26" s="771"/>
      <c r="V26" s="770"/>
      <c r="W26" s="771"/>
      <c r="X26" s="772"/>
      <c r="Y26" s="3325"/>
      <c r="Z26" s="55"/>
      <c r="AA26" s="773">
        <v>1</v>
      </c>
      <c r="AB26" s="773">
        <v>1</v>
      </c>
      <c r="AC26" s="773">
        <v>1</v>
      </c>
    </row>
    <row r="27" spans="1:29" ht="15.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2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325"/>
      <c r="Z27" s="1813" t="str">
        <f t="shared" ref="Z27:Z40" si="13">Q27</f>
        <v>临街状况</v>
      </c>
      <c r="AA27" s="1810">
        <f t="shared" si="3"/>
        <v>1</v>
      </c>
      <c r="AB27" s="1810">
        <f t="shared" si="4"/>
        <v>1</v>
      </c>
      <c r="AC27" s="1810">
        <f t="shared" si="5"/>
        <v>1</v>
      </c>
    </row>
    <row r="28" spans="1:29" ht="28">
      <c r="A28" s="428"/>
      <c r="B28" s="633" t="s">
        <v>2686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25"/>
      <c r="Q28" s="1809" t="str">
        <f t="shared" si="8"/>
        <v>毗邻道路的类型与等级</v>
      </c>
      <c r="R28" s="774" t="s">
        <v>17</v>
      </c>
      <c r="S28" s="775">
        <f t="shared" si="10"/>
        <v>100</v>
      </c>
      <c r="T28" s="774" t="s">
        <v>17</v>
      </c>
      <c r="U28" s="775">
        <f t="shared" si="11"/>
        <v>100</v>
      </c>
      <c r="V28" s="774" t="s">
        <v>17</v>
      </c>
      <c r="W28" s="775">
        <f t="shared" si="12"/>
        <v>100</v>
      </c>
      <c r="X28" s="1812"/>
      <c r="Y28" s="3325"/>
      <c r="Z28" s="1813" t="str">
        <f t="shared" si="13"/>
        <v>毗邻道路的类型与等级</v>
      </c>
      <c r="AA28" s="1810">
        <f t="shared" si="3"/>
        <v>1</v>
      </c>
      <c r="AB28" s="1810">
        <f t="shared" si="4"/>
        <v>1</v>
      </c>
      <c r="AC28" s="1810">
        <f t="shared" si="5"/>
        <v>1</v>
      </c>
    </row>
    <row r="29" spans="1:29" ht="15.5">
      <c r="A29" s="428"/>
      <c r="B29" s="632"/>
      <c r="C29" s="447"/>
      <c r="D29" s="448"/>
      <c r="E29" s="2607"/>
      <c r="F29" s="448"/>
      <c r="G29" s="2607"/>
      <c r="H29" s="448"/>
      <c r="I29" s="2607"/>
      <c r="J29" s="448"/>
      <c r="K29" s="613"/>
      <c r="L29" s="1140"/>
      <c r="M29" s="1131"/>
      <c r="N29" s="1131"/>
      <c r="O29" s="1139"/>
      <c r="P29" s="3325"/>
      <c r="Q29" s="1809"/>
      <c r="R29" s="774"/>
      <c r="S29" s="775"/>
      <c r="T29" s="774"/>
      <c r="U29" s="775"/>
      <c r="V29" s="774"/>
      <c r="W29" s="775"/>
      <c r="X29" s="1812"/>
      <c r="Y29" s="3325"/>
      <c r="Z29" s="1813"/>
      <c r="AA29" s="1810">
        <v>1</v>
      </c>
      <c r="AB29" s="1810">
        <v>1</v>
      </c>
      <c r="AC29" s="1810">
        <v>1</v>
      </c>
    </row>
    <row r="30" spans="1:29" ht="15.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25"/>
      <c r="Q30" s="1809" t="str">
        <f t="shared" si="8"/>
        <v>土地级别</v>
      </c>
      <c r="R30" s="774" t="s">
        <v>17</v>
      </c>
      <c r="S30" s="775">
        <f t="shared" si="10"/>
        <v>100</v>
      </c>
      <c r="T30" s="774" t="s">
        <v>17</v>
      </c>
      <c r="U30" s="775">
        <f t="shared" si="11"/>
        <v>100</v>
      </c>
      <c r="V30" s="774" t="s">
        <v>17</v>
      </c>
      <c r="W30" s="775">
        <f t="shared" si="12"/>
        <v>100</v>
      </c>
      <c r="X30" s="1812"/>
      <c r="Y30" s="3325"/>
      <c r="Z30" s="1813" t="str">
        <f t="shared" si="13"/>
        <v>土地级别</v>
      </c>
      <c r="AA30" s="1810">
        <f t="shared" si="3"/>
        <v>1</v>
      </c>
      <c r="AB30" s="1810">
        <f t="shared" si="4"/>
        <v>1</v>
      </c>
      <c r="AC30" s="1810">
        <f t="shared" si="5"/>
        <v>1</v>
      </c>
    </row>
    <row r="31" spans="1:29" ht="15.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25"/>
      <c r="Q31" s="1809">
        <f t="shared" si="8"/>
        <v>111</v>
      </c>
      <c r="R31" s="774" t="s">
        <v>17</v>
      </c>
      <c r="S31" s="775">
        <f t="shared" si="10"/>
        <v>100</v>
      </c>
      <c r="T31" s="774" t="s">
        <v>17</v>
      </c>
      <c r="U31" s="775">
        <f t="shared" si="11"/>
        <v>100</v>
      </c>
      <c r="V31" s="774" t="s">
        <v>17</v>
      </c>
      <c r="W31" s="775">
        <f t="shared" si="12"/>
        <v>100</v>
      </c>
      <c r="X31" s="1812"/>
      <c r="Y31" s="3325"/>
      <c r="Z31" s="1813">
        <f t="shared" si="13"/>
        <v>111</v>
      </c>
      <c r="AA31" s="1810">
        <f t="shared" si="3"/>
        <v>1</v>
      </c>
      <c r="AB31" s="1810">
        <f t="shared" si="4"/>
        <v>1</v>
      </c>
      <c r="AC31" s="1810">
        <f t="shared" si="5"/>
        <v>1</v>
      </c>
    </row>
    <row r="32" spans="1:29" ht="15.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6" t="s">
        <v>2560</v>
      </c>
      <c r="Q32" s="1809">
        <f t="shared" si="8"/>
        <v>111</v>
      </c>
      <c r="R32" s="774" t="s">
        <v>17</v>
      </c>
      <c r="S32" s="775">
        <f t="shared" si="10"/>
        <v>100</v>
      </c>
      <c r="T32" s="774" t="s">
        <v>17</v>
      </c>
      <c r="U32" s="775">
        <f t="shared" si="11"/>
        <v>100</v>
      </c>
      <c r="V32" s="774" t="s">
        <v>17</v>
      </c>
      <c r="W32" s="775">
        <f t="shared" si="12"/>
        <v>100</v>
      </c>
      <c r="X32" s="1812"/>
      <c r="Y32" s="3327" t="s">
        <v>2560</v>
      </c>
      <c r="Z32" s="1813">
        <f t="shared" si="13"/>
        <v>111</v>
      </c>
      <c r="AA32" s="1810">
        <f t="shared" si="3"/>
        <v>1</v>
      </c>
      <c r="AB32" s="1810">
        <f t="shared" si="4"/>
        <v>1</v>
      </c>
      <c r="AC32" s="1810">
        <f t="shared" si="5"/>
        <v>1</v>
      </c>
    </row>
    <row r="33" spans="1:29" s="471" customFormat="1" ht="16"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27"/>
      <c r="Q33" s="1809">
        <f t="shared" si="8"/>
        <v>111</v>
      </c>
      <c r="R33" s="777" t="s">
        <v>17</v>
      </c>
      <c r="S33" s="778">
        <f t="shared" si="10"/>
        <v>100</v>
      </c>
      <c r="T33" s="777" t="s">
        <v>17</v>
      </c>
      <c r="U33" s="778">
        <f t="shared" si="11"/>
        <v>100</v>
      </c>
      <c r="V33" s="777" t="s">
        <v>17</v>
      </c>
      <c r="W33" s="778">
        <f t="shared" si="12"/>
        <v>100</v>
      </c>
      <c r="X33" s="779"/>
      <c r="Y33" s="3327"/>
      <c r="Z33" s="780">
        <f t="shared" si="13"/>
        <v>111</v>
      </c>
      <c r="AA33" s="1810">
        <f t="shared" si="3"/>
        <v>1</v>
      </c>
      <c r="AB33" s="1810">
        <f t="shared" si="4"/>
        <v>1</v>
      </c>
      <c r="AC33" s="1810">
        <f t="shared" si="5"/>
        <v>1</v>
      </c>
    </row>
    <row r="34" spans="1:29" ht="15.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27"/>
      <c r="Q34" s="1809" t="str">
        <f>B34</f>
        <v>宗地面积</v>
      </c>
      <c r="R34" s="774" t="s">
        <v>17</v>
      </c>
      <c r="S34" s="775" t="e">
        <f t="shared" si="10"/>
        <v>#N/A</v>
      </c>
      <c r="T34" s="774" t="s">
        <v>17</v>
      </c>
      <c r="U34" s="775" t="e">
        <f t="shared" si="11"/>
        <v>#N/A</v>
      </c>
      <c r="V34" s="774" t="s">
        <v>17</v>
      </c>
      <c r="W34" s="775" t="e">
        <f t="shared" si="12"/>
        <v>#N/A</v>
      </c>
      <c r="X34" s="1812"/>
      <c r="Y34" s="3327"/>
      <c r="Z34" s="1813" t="str">
        <f t="shared" si="13"/>
        <v>宗地面积</v>
      </c>
      <c r="AA34" s="1810" t="e">
        <f t="shared" si="3"/>
        <v>#N/A</v>
      </c>
      <c r="AB34" s="1810" t="e">
        <f t="shared" si="4"/>
        <v>#N/A</v>
      </c>
      <c r="AC34" s="1810" t="e">
        <f t="shared" si="5"/>
        <v>#N/A</v>
      </c>
    </row>
    <row r="35" spans="1:29" ht="15.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327"/>
      <c r="Q35" s="1809" t="str">
        <f t="shared" ref="Q35:Q40" si="14">B35</f>
        <v>宗地形状</v>
      </c>
      <c r="R35" s="774" t="s">
        <v>17</v>
      </c>
      <c r="S35" s="775">
        <f t="shared" si="10"/>
        <v>100</v>
      </c>
      <c r="T35" s="774" t="s">
        <v>17</v>
      </c>
      <c r="U35" s="775">
        <f t="shared" si="11"/>
        <v>100</v>
      </c>
      <c r="V35" s="774" t="s">
        <v>17</v>
      </c>
      <c r="W35" s="775">
        <f t="shared" si="12"/>
        <v>100</v>
      </c>
      <c r="X35" s="1812"/>
      <c r="Y35" s="3327"/>
      <c r="Z35" s="1813" t="str">
        <f t="shared" si="13"/>
        <v>宗地形状</v>
      </c>
      <c r="AA35" s="1810">
        <f t="shared" si="3"/>
        <v>1</v>
      </c>
      <c r="AB35" s="1810">
        <f t="shared" si="4"/>
        <v>1</v>
      </c>
      <c r="AC35" s="1810">
        <f t="shared" si="5"/>
        <v>1</v>
      </c>
    </row>
    <row r="36" spans="1:29" s="117" customFormat="1" ht="15.5">
      <c r="A36" s="473"/>
      <c r="B36" s="422" t="s">
        <v>2749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327"/>
      <c r="Q36" s="1809" t="str">
        <f t="shared" si="14"/>
        <v>宗地开发程度</v>
      </c>
      <c r="R36" s="770" t="s">
        <v>17</v>
      </c>
      <c r="S36" s="771">
        <f t="shared" si="10"/>
        <v>100</v>
      </c>
      <c r="T36" s="770" t="s">
        <v>17</v>
      </c>
      <c r="U36" s="771">
        <f t="shared" si="11"/>
        <v>100</v>
      </c>
      <c r="V36" s="770" t="s">
        <v>17</v>
      </c>
      <c r="W36" s="771">
        <f t="shared" si="12"/>
        <v>100</v>
      </c>
      <c r="X36" s="772"/>
      <c r="Y36" s="3327"/>
      <c r="Z36" s="55" t="str">
        <f t="shared" si="13"/>
        <v>宗地开发程度</v>
      </c>
      <c r="AA36" s="773">
        <f t="shared" si="3"/>
        <v>1</v>
      </c>
      <c r="AB36" s="773">
        <f t="shared" si="4"/>
        <v>1</v>
      </c>
      <c r="AC36" s="773">
        <f t="shared" si="5"/>
        <v>1</v>
      </c>
    </row>
    <row r="37" spans="1:29" ht="15.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327" t="s">
        <v>2560</v>
      </c>
      <c r="Q37" s="1809" t="str">
        <f t="shared" si="14"/>
        <v>工程地质条件</v>
      </c>
      <c r="R37" s="774" t="s">
        <v>17</v>
      </c>
      <c r="S37" s="775">
        <f t="shared" si="10"/>
        <v>100</v>
      </c>
      <c r="T37" s="774" t="s">
        <v>17</v>
      </c>
      <c r="U37" s="775">
        <f t="shared" si="11"/>
        <v>100</v>
      </c>
      <c r="V37" s="774" t="s">
        <v>17</v>
      </c>
      <c r="W37" s="775">
        <f t="shared" si="12"/>
        <v>100</v>
      </c>
      <c r="X37" s="1812"/>
      <c r="Y37" s="3327" t="s">
        <v>2560</v>
      </c>
      <c r="Z37" s="1813" t="str">
        <f t="shared" si="13"/>
        <v>工程地质条件</v>
      </c>
      <c r="AA37" s="1810">
        <f t="shared" si="3"/>
        <v>1</v>
      </c>
      <c r="AB37" s="1810">
        <f t="shared" si="4"/>
        <v>1</v>
      </c>
      <c r="AC37" s="1810">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27"/>
      <c r="Q38" s="1809">
        <f t="shared" si="14"/>
        <v>111</v>
      </c>
      <c r="R38" s="774" t="s">
        <v>17</v>
      </c>
      <c r="S38" s="775">
        <f t="shared" si="10"/>
        <v>100</v>
      </c>
      <c r="T38" s="774" t="s">
        <v>17</v>
      </c>
      <c r="U38" s="775">
        <f t="shared" si="11"/>
        <v>100</v>
      </c>
      <c r="V38" s="774" t="s">
        <v>17</v>
      </c>
      <c r="W38" s="775">
        <f t="shared" si="12"/>
        <v>100</v>
      </c>
      <c r="X38" s="1812"/>
      <c r="Y38" s="3327"/>
      <c r="Z38" s="1813">
        <f t="shared" si="13"/>
        <v>111</v>
      </c>
      <c r="AA38" s="1810">
        <f t="shared" si="3"/>
        <v>1</v>
      </c>
      <c r="AB38" s="1810">
        <f t="shared" si="4"/>
        <v>1</v>
      </c>
      <c r="AC38" s="1810">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27"/>
      <c r="Q39" s="1809">
        <f t="shared" si="14"/>
        <v>111</v>
      </c>
      <c r="R39" s="774" t="s">
        <v>17</v>
      </c>
      <c r="S39" s="775">
        <f t="shared" si="10"/>
        <v>100</v>
      </c>
      <c r="T39" s="774" t="s">
        <v>17</v>
      </c>
      <c r="U39" s="775">
        <f t="shared" si="11"/>
        <v>100</v>
      </c>
      <c r="V39" s="774" t="s">
        <v>17</v>
      </c>
      <c r="W39" s="775">
        <f t="shared" si="12"/>
        <v>100</v>
      </c>
      <c r="X39" s="1812"/>
      <c r="Y39" s="3327"/>
      <c r="Z39" s="1813">
        <f t="shared" si="13"/>
        <v>111</v>
      </c>
      <c r="AA39" s="1810">
        <f t="shared" si="3"/>
        <v>1</v>
      </c>
      <c r="AB39" s="1810">
        <f t="shared" si="4"/>
        <v>1</v>
      </c>
      <c r="AC39" s="1810">
        <f t="shared" si="5"/>
        <v>1</v>
      </c>
    </row>
    <row r="40" spans="1:29" s="471" customFormat="1" ht="16"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27"/>
      <c r="Q40" s="1809">
        <f t="shared" si="14"/>
        <v>111</v>
      </c>
      <c r="R40" s="777" t="s">
        <v>17</v>
      </c>
      <c r="S40" s="778">
        <f t="shared" si="10"/>
        <v>100</v>
      </c>
      <c r="T40" s="777" t="s">
        <v>17</v>
      </c>
      <c r="U40" s="778">
        <f t="shared" si="11"/>
        <v>100</v>
      </c>
      <c r="V40" s="777" t="s">
        <v>17</v>
      </c>
      <c r="W40" s="778">
        <f t="shared" si="12"/>
        <v>100</v>
      </c>
      <c r="X40" s="779"/>
      <c r="Y40" s="3327"/>
      <c r="Z40" s="780">
        <f t="shared" si="13"/>
        <v>111</v>
      </c>
      <c r="AA40" s="1810">
        <f t="shared" si="3"/>
        <v>1</v>
      </c>
      <c r="AB40" s="1810">
        <f t="shared" si="4"/>
        <v>1</v>
      </c>
      <c r="AC40" s="1810">
        <f t="shared" si="5"/>
        <v>1</v>
      </c>
    </row>
    <row r="41" spans="1:29">
      <c r="A41" s="479" t="s">
        <v>2715</v>
      </c>
      <c r="B41" s="2698" t="s">
        <v>2794</v>
      </c>
      <c r="C41" s="682" t="s">
        <v>1</v>
      </c>
      <c r="D41" s="481"/>
      <c r="E41" s="482"/>
      <c r="F41" s="483"/>
      <c r="G41" s="484"/>
      <c r="H41" s="485"/>
      <c r="I41" s="482"/>
      <c r="J41" s="485"/>
      <c r="K41" s="783"/>
      <c r="L41" s="1143"/>
      <c r="M41" s="1131"/>
      <c r="N41" s="1131"/>
      <c r="O41" s="1144"/>
      <c r="P41" s="3322" t="str">
        <f>A41</f>
        <v>成交单价</v>
      </c>
      <c r="Q41" s="3322"/>
      <c r="R41" s="3328">
        <f>E41</f>
        <v>0</v>
      </c>
      <c r="S41" s="3328"/>
      <c r="T41" s="3328">
        <f>G41</f>
        <v>0</v>
      </c>
      <c r="U41" s="3328"/>
      <c r="V41" s="3328">
        <f>I41</f>
        <v>0</v>
      </c>
      <c r="W41" s="3328"/>
      <c r="X41" s="759"/>
      <c r="Y41" s="781"/>
      <c r="Z41" s="759"/>
      <c r="AA41" s="759"/>
      <c r="AB41" s="759"/>
      <c r="AC41" s="759"/>
    </row>
    <row r="42" spans="1:29" ht="14.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22" t="str">
        <f>A42</f>
        <v>比较价值（元/平方米）</v>
      </c>
      <c r="Q42" s="3322"/>
      <c r="R42" s="3315" t="e">
        <f>ROUND(PRODUCT(R41,AA7:AA40),0)</f>
        <v>#DIV/0!</v>
      </c>
      <c r="S42" s="3315"/>
      <c r="T42" s="3315" t="e">
        <f>ROUND(PRODUCT(T41,AB7:AB40),0)</f>
        <v>#DIV/0!</v>
      </c>
      <c r="U42" s="3315"/>
      <c r="V42" s="3315" t="e">
        <f>ROUND(PRODUCT(V41,AC7:AC40),0)</f>
        <v>#DIV/0!</v>
      </c>
      <c r="W42" s="3315"/>
      <c r="X42" s="759"/>
      <c r="Y42" s="759"/>
      <c r="Z42" s="759"/>
      <c r="AA42" s="759"/>
      <c r="AB42" s="759"/>
      <c r="AC42" s="759"/>
    </row>
    <row r="43" spans="1:29" ht="14.5" thickBot="1">
      <c r="A43" s="492" t="s">
        <v>2665</v>
      </c>
      <c r="B43" s="493"/>
      <c r="C43" s="494" t="e">
        <f>R43</f>
        <v>#DIV/0!</v>
      </c>
      <c r="D43" s="494"/>
      <c r="E43" s="494"/>
      <c r="F43" s="494"/>
      <c r="G43" s="494"/>
      <c r="H43" s="494"/>
      <c r="I43" s="494"/>
      <c r="J43" s="494"/>
      <c r="K43" s="785"/>
      <c r="L43" s="1143"/>
      <c r="M43" s="1131"/>
      <c r="N43" s="1131"/>
      <c r="O43" s="1144"/>
      <c r="P43" s="3316" t="str">
        <f>A43</f>
        <v>估价对象XX用房的比较价值（楼面单价，元/平方米）</v>
      </c>
      <c r="Q43" s="3317"/>
      <c r="R43" s="3318" t="e">
        <f>ROUND(AVERAGE(R42:V42),0)</f>
        <v>#DIV/0!</v>
      </c>
      <c r="S43" s="3318"/>
      <c r="T43" s="3318"/>
      <c r="U43" s="3318"/>
      <c r="V43" s="3318"/>
      <c r="W43" s="331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2752</v>
      </c>
      <c r="B50" s="685" t="s">
        <v>2753</v>
      </c>
      <c r="C50" s="2699" t="s">
        <v>2754</v>
      </c>
      <c r="D50" s="2700" t="s">
        <v>2755</v>
      </c>
      <c r="E50" s="686" t="s">
        <v>2756</v>
      </c>
      <c r="F50" s="687" t="s">
        <v>2757</v>
      </c>
      <c r="G50" s="3319" t="s">
        <v>2758</v>
      </c>
      <c r="H50" s="3320"/>
      <c r="I50" s="1813" t="s">
        <v>2795</v>
      </c>
      <c r="J50" s="1813" t="str">
        <f>项目基本情况!F35</f>
        <v>海南省</v>
      </c>
      <c r="K50" s="2702" t="s">
        <v>2760</v>
      </c>
      <c r="L50" s="1106"/>
      <c r="M50" s="1144"/>
      <c r="N50" s="1144"/>
      <c r="O50" s="1144"/>
    </row>
    <row r="51" spans="1:17" s="692" customFormat="1">
      <c r="A51" s="688" t="s">
        <v>2761</v>
      </c>
      <c r="B51" s="689" t="e">
        <f>C43</f>
        <v>#DIV/0!</v>
      </c>
      <c r="C51" s="690">
        <v>1</v>
      </c>
      <c r="D51" s="1163">
        <v>1</v>
      </c>
      <c r="E51" s="690">
        <f>'数据-汇总表'!E8+'数据-汇总表'!E9</f>
        <v>40033.22</v>
      </c>
      <c r="F51" s="691" t="e">
        <f t="shared" ref="F51:F60" si="15">ROUND(B51*E51/10000,0)</f>
        <v>#DIV/0!</v>
      </c>
      <c r="G51" s="3321"/>
      <c r="H51" s="3322"/>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323"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323"/>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323"/>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323"/>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3"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3" t="s">
        <v>2763</v>
      </c>
      <c r="H59" s="1104">
        <f>项目基本情况!B37</f>
        <v>0</v>
      </c>
      <c r="I59" s="942">
        <f>SUMIF(修正!A45:A56,H59,修正!H45:H56)</f>
        <v>0</v>
      </c>
      <c r="J59" s="943"/>
      <c r="K59" s="1145"/>
      <c r="L59" s="941"/>
      <c r="M59" s="941"/>
      <c r="N59" s="941"/>
      <c r="O59" s="941"/>
    </row>
    <row r="60" spans="1:17" s="692" customFormat="1" ht="14.5" thickBot="1">
      <c r="A60" s="693" t="s">
        <v>2774</v>
      </c>
      <c r="B60" s="262" t="e">
        <f t="shared" si="17"/>
        <v>#DIV/0!</v>
      </c>
      <c r="C60" s="200">
        <f t="shared" si="16"/>
        <v>0</v>
      </c>
      <c r="D60" s="1164">
        <v>0.25</v>
      </c>
      <c r="E60" s="261">
        <f>'数据-汇总表'!E15</f>
        <v>0</v>
      </c>
      <c r="F60" s="691" t="e">
        <f t="shared" si="15"/>
        <v>#DIV/0!</v>
      </c>
      <c r="G60" s="2704" t="s">
        <v>2768</v>
      </c>
      <c r="H60" s="1114">
        <f>项目基本情况!C37</f>
        <v>0</v>
      </c>
      <c r="I60" s="942">
        <f>SUMIF(修正!A45:A56,H60,修正!H45:H56)</f>
        <v>0</v>
      </c>
      <c r="J60" s="943"/>
      <c r="K60" s="1144"/>
      <c r="L60" s="941"/>
      <c r="M60" s="941"/>
      <c r="N60" s="941"/>
      <c r="O60" s="941"/>
    </row>
    <row r="61" spans="1:17" s="692" customFormat="1" ht="14.5" thickBot="1">
      <c r="A61" s="695" t="s">
        <v>2775</v>
      </c>
      <c r="B61" s="696" t="s">
        <v>28</v>
      </c>
      <c r="C61" s="696" t="s">
        <v>29</v>
      </c>
      <c r="D61" s="696" t="s">
        <v>1026</v>
      </c>
      <c r="E61" s="696">
        <f>IF(B41="楼面地价",SUM(E51:E60),'数据-汇总表'!D3)</f>
        <v>88343.87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5" thickBot="1">
      <c r="A64" s="763" t="s">
        <v>2669</v>
      </c>
      <c r="B64" s="759"/>
      <c r="C64" s="764"/>
      <c r="D64" s="764"/>
      <c r="E64" s="764"/>
      <c r="F64" s="765"/>
      <c r="G64" s="765"/>
      <c r="H64" s="764"/>
      <c r="I64" s="764"/>
      <c r="J64" s="764"/>
      <c r="K64" s="766"/>
      <c r="L64" s="767"/>
      <c r="M64" s="764"/>
      <c r="N64" s="764"/>
      <c r="O64" s="1159"/>
      <c r="P64" s="503"/>
      <c r="Q64" s="504"/>
    </row>
    <row r="65" spans="1:17" s="508" customFormat="1">
      <c r="A65" s="2705" t="s">
        <v>2776</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0" t="s">
        <v>2796</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4.5" thickBot="1">
      <c r="A67" s="515" t="s">
        <v>2580</v>
      </c>
      <c r="B67" s="516"/>
      <c r="C67" s="517"/>
      <c r="D67" s="518"/>
      <c r="E67" s="518"/>
      <c r="F67" s="518"/>
      <c r="G67" s="518"/>
      <c r="H67" s="518"/>
      <c r="I67" s="518"/>
      <c r="J67" s="518"/>
      <c r="K67" s="518"/>
      <c r="L67" s="518"/>
      <c r="M67" s="519"/>
      <c r="N67" s="519"/>
      <c r="O67" s="520"/>
      <c r="P67" s="504"/>
      <c r="Q67" s="504"/>
    </row>
    <row r="68" spans="1:17" s="117" customFormat="1">
      <c r="A68" s="521" t="s">
        <v>2545</v>
      </c>
      <c r="B68" s="510"/>
      <c r="C68" s="522" t="s">
        <v>2647</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2552</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2779</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2780</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2797</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2686</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2745</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2786</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2789</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8" customWidth="1"/>
    <col min="2" max="2" width="37.26953125" style="1958" customWidth="1"/>
    <col min="3" max="3" width="11.36328125" style="1958" customWidth="1"/>
    <col min="4" max="4" width="31.7265625" style="1958" customWidth="1"/>
    <col min="5" max="5" width="0.453125" style="1958" customWidth="1"/>
    <col min="6" max="7" width="13" style="1958" customWidth="1"/>
    <col min="8" max="16384" width="9" style="1958"/>
  </cols>
  <sheetData>
    <row r="1" spans="1:5" ht="18">
      <c r="A1" s="1956" t="s">
        <v>1616</v>
      </c>
      <c r="B1" s="1957"/>
      <c r="C1" s="1957"/>
      <c r="D1" s="1957"/>
      <c r="E1" s="1957"/>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8.5" thickBot="1">
      <c r="A4" s="1959"/>
      <c r="B4" s="3072" t="s">
        <v>1625</v>
      </c>
      <c r="C4" s="3072"/>
      <c r="D4" s="3072"/>
      <c r="E4" s="1959"/>
    </row>
    <row r="5" spans="1:5" ht="16" thickTop="1">
      <c r="A5" s="1957"/>
      <c r="B5" s="3070" t="s">
        <v>1617</v>
      </c>
      <c r="C5" s="1960" t="s">
        <v>1618</v>
      </c>
      <c r="D5" s="1040">
        <f ca="1">结果表!H101</f>
        <v>181650</v>
      </c>
      <c r="E5" s="1957"/>
    </row>
    <row r="6" spans="1:5" ht="15.5">
      <c r="A6" s="1957"/>
      <c r="B6" s="3070"/>
      <c r="C6" s="1960" t="s">
        <v>1619</v>
      </c>
      <c r="D6" s="1040" t="str">
        <f ca="1">NUMBERSTRING(INT(D5*10000),2)&amp;"元整"</f>
        <v>壹拾捌亿壹仟陆佰伍拾万元整</v>
      </c>
      <c r="E6" s="1957"/>
    </row>
    <row r="7" spans="1:5" ht="15.5">
      <c r="A7" s="1957"/>
      <c r="B7" s="3075"/>
      <c r="C7" s="1961" t="s">
        <v>1620</v>
      </c>
      <c r="D7" s="1041">
        <f ca="1">结果表!H102</f>
        <v>22440</v>
      </c>
      <c r="E7" s="1957"/>
    </row>
    <row r="8" spans="1:5" ht="15.5">
      <c r="A8" s="1957"/>
      <c r="B8" s="3076" t="str">
        <f>结果表!E103</f>
        <v>2.估价师知悉的法定优先受偿款</v>
      </c>
      <c r="C8" s="1962" t="s">
        <v>1621</v>
      </c>
      <c r="D8" s="1041">
        <f>结果表!H103</f>
        <v>0</v>
      </c>
      <c r="E8" s="1957"/>
    </row>
    <row r="9" spans="1:5" ht="15.5">
      <c r="A9" s="1957"/>
      <c r="B9" s="3078"/>
      <c r="C9" s="1960" t="s">
        <v>1619</v>
      </c>
      <c r="D9" s="1040" t="str">
        <f>NUMBERSTRING(INT(D8*10000),2)&amp;"元整"</f>
        <v>零元整</v>
      </c>
      <c r="E9" s="1957"/>
    </row>
    <row r="10" spans="1:5" ht="16">
      <c r="A10" s="1957"/>
      <c r="B10" s="1963" t="s">
        <v>1624</v>
      </c>
      <c r="C10" s="1964" t="s">
        <v>1622</v>
      </c>
      <c r="D10" s="1042">
        <f>结果表!H104</f>
        <v>0</v>
      </c>
      <c r="E10" s="1957"/>
    </row>
    <row r="11" spans="1:5" ht="16">
      <c r="A11" s="1957"/>
      <c r="B11" s="1963" t="s">
        <v>1626</v>
      </c>
      <c r="C11" s="1964" t="s">
        <v>1627</v>
      </c>
      <c r="D11" s="1042">
        <f>结果表!H105</f>
        <v>0</v>
      </c>
      <c r="E11" s="1957"/>
    </row>
    <row r="12" spans="1:5" ht="16">
      <c r="A12" s="1957"/>
      <c r="B12" s="1963" t="s">
        <v>1628</v>
      </c>
      <c r="C12" s="1964" t="s">
        <v>1627</v>
      </c>
      <c r="D12" s="1042">
        <f>结果表!H106</f>
        <v>0</v>
      </c>
      <c r="E12" s="1957"/>
    </row>
    <row r="13" spans="1:5" ht="15.5">
      <c r="A13" s="1957"/>
      <c r="B13" s="3069" t="str">
        <f>结果表!E107</f>
        <v>3.房地产抵押价值</v>
      </c>
      <c r="C13" s="1965" t="s">
        <v>1618</v>
      </c>
      <c r="D13" s="1043">
        <f ca="1">结果表!H107</f>
        <v>181650</v>
      </c>
      <c r="E13" s="1957"/>
    </row>
    <row r="14" spans="1:5" ht="15.5">
      <c r="A14" s="1957"/>
      <c r="B14" s="3070"/>
      <c r="C14" s="1960" t="s">
        <v>1619</v>
      </c>
      <c r="D14" s="1040" t="str">
        <f ca="1">NUMBERSTRING(INT(D13*10000),2)&amp;"元整"</f>
        <v>壹拾捌亿壹仟陆佰伍拾万元整</v>
      </c>
      <c r="E14" s="1957"/>
    </row>
    <row r="15" spans="1:5" ht="15.5">
      <c r="A15" s="1957"/>
      <c r="B15" s="3075"/>
      <c r="C15" s="1961" t="s">
        <v>1629</v>
      </c>
      <c r="D15" s="1052">
        <f ca="1">结果表!H108</f>
        <v>16997</v>
      </c>
      <c r="E15" s="1957"/>
    </row>
    <row r="16" spans="1:5" ht="15">
      <c r="A16" s="1957"/>
      <c r="B16" s="3076" t="str">
        <f>结果表!E109</f>
        <v>——</v>
      </c>
      <c r="C16" s="1965" t="s">
        <v>1630</v>
      </c>
      <c r="D16" s="1966" t="str">
        <f>结果表!H109</f>
        <v>——</v>
      </c>
      <c r="E16" s="1957"/>
    </row>
    <row r="17" spans="1:5" ht="15.5">
      <c r="A17" s="1957"/>
      <c r="B17" s="3077"/>
      <c r="C17" s="1960" t="s">
        <v>1631</v>
      </c>
      <c r="D17" s="1040" t="e">
        <f>NUMBERSTRING(INT(D16*10000),2)&amp;"元整"</f>
        <v>#VALUE!</v>
      </c>
      <c r="E17" s="1957"/>
    </row>
    <row r="18" spans="1:5" ht="15.5">
      <c r="A18" s="1957"/>
      <c r="B18" s="3078"/>
      <c r="C18" s="1961" t="s">
        <v>1620</v>
      </c>
      <c r="D18" s="1052" t="str">
        <f>结果表!H110</f>
        <v>——</v>
      </c>
      <c r="E18" s="1957"/>
    </row>
    <row r="19" spans="1:5" ht="15.5">
      <c r="A19" s="1957"/>
      <c r="B19" s="3069" t="str">
        <f>结果表!E111</f>
        <v>——</v>
      </c>
      <c r="C19" s="1965" t="s">
        <v>1618</v>
      </c>
      <c r="D19" s="1041" t="str">
        <f>结果表!H111</f>
        <v>——</v>
      </c>
      <c r="E19" s="1957"/>
    </row>
    <row r="20" spans="1:5" ht="15.5">
      <c r="A20" s="1957"/>
      <c r="B20" s="3070"/>
      <c r="C20" s="1960" t="s">
        <v>1631</v>
      </c>
      <c r="D20" s="1040" t="e">
        <f>NUMBERSTRING(INT(D19*10000),2)&amp;"元整"</f>
        <v>#VALUE!</v>
      </c>
      <c r="E20" s="1957"/>
    </row>
    <row r="21" spans="1:5" ht="16" thickBot="1">
      <c r="A21" s="1957"/>
      <c r="B21" s="3071"/>
      <c r="C21" s="1967" t="s">
        <v>1629</v>
      </c>
      <c r="D21" s="1053" t="str">
        <f>结果表!H112</f>
        <v>——</v>
      </c>
      <c r="E21" s="1957"/>
    </row>
    <row r="22" spans="1:5" ht="14.5" thickTop="1">
      <c r="A22" s="1957"/>
      <c r="B22" s="1968" t="s">
        <v>1632</v>
      </c>
      <c r="C22" s="1957"/>
      <c r="D22" s="1957"/>
      <c r="E22" s="1957"/>
    </row>
    <row r="23" spans="1:5">
      <c r="A23" s="1957"/>
      <c r="B23" s="1957"/>
      <c r="C23" s="1957"/>
      <c r="D23" s="1957"/>
      <c r="E23" s="1957"/>
    </row>
    <row r="24" spans="1:5" ht="1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zoomScale="80" zoomScaleNormal="80" zoomScaleSheetLayoutView="96" workbookViewId="0">
      <selection activeCell="P15" sqref="P15:P31"/>
    </sheetView>
  </sheetViews>
  <sheetFormatPr defaultColWidth="12" defaultRowHeight="12.5"/>
  <cols>
    <col min="1" max="1" width="9.7265625" style="2782" customWidth="1"/>
    <col min="2" max="2" width="19.26953125" style="2888" customWidth="1"/>
    <col min="3" max="4" width="12" style="2714"/>
    <col min="5" max="5" width="14.6328125" style="2714" customWidth="1"/>
    <col min="6" max="8" width="12" style="2714"/>
    <col min="9" max="9" width="12.26953125" style="2714" bestFit="1" customWidth="1"/>
    <col min="10" max="10" width="12" style="2714"/>
    <col min="11" max="11" width="8.08984375" style="2777" customWidth="1"/>
    <col min="12" max="12" width="12" style="2714"/>
    <col min="13" max="13" width="8.453125" style="2714" customWidth="1"/>
    <col min="14" max="14" width="9.7265625" style="2714" customWidth="1"/>
    <col min="15" max="25" width="12" style="2714"/>
    <col min="26" max="26" width="9.36328125" style="2782" customWidth="1"/>
    <col min="27" max="32" width="9.36328125" style="1372" customWidth="1"/>
    <col min="33" max="36" width="9.36328125" style="2782" customWidth="1"/>
    <col min="37" max="38" width="9.36328125" style="2714" customWidth="1"/>
    <col min="39" max="16384" width="12" style="2714"/>
  </cols>
  <sheetData>
    <row r="1" spans="1:36" ht="30">
      <c r="A1" s="240" t="s">
        <v>2798</v>
      </c>
      <c r="B1" s="241"/>
      <c r="C1" s="245" t="s">
        <v>2799</v>
      </c>
      <c r="D1" s="388">
        <f>SUM(D29:D30,D33:D39)</f>
        <v>0</v>
      </c>
      <c r="E1" s="2711"/>
      <c r="F1" s="2711"/>
      <c r="G1" s="2711"/>
      <c r="H1" s="2711"/>
      <c r="I1" s="2711"/>
      <c r="J1" s="2711"/>
      <c r="K1" s="1370"/>
      <c r="L1" s="2712" t="s">
        <v>2800</v>
      </c>
      <c r="M1" s="1080">
        <f>SUMPRODUCT((区片价!B5:B9=I2)*(区片价!C3:F3=E2)*(区片价!C5:F9))</f>
        <v>0</v>
      </c>
      <c r="N1" s="1083">
        <f>SUMPRODUCT((因素修正幅度!B5:B9=I2)*(因素修正幅度!C3:F3=E2)*(因素修正幅度!C5:F9))</f>
        <v>0</v>
      </c>
      <c r="O1" s="2713"/>
      <c r="P1" s="2713"/>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5">
      <c r="A2" s="245" t="s">
        <v>2806</v>
      </c>
      <c r="B2" s="248"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70"/>
      <c r="L2" s="2720"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5">
      <c r="A3" s="247" t="s">
        <v>2812</v>
      </c>
      <c r="B3" s="248" t="e">
        <f>ROUND(B2*10000/D1,0)</f>
        <v>#DIV/0!</v>
      </c>
      <c r="C3" s="2715" t="s">
        <v>2813</v>
      </c>
      <c r="D3" s="2716" t="s">
        <v>2814</v>
      </c>
      <c r="E3" s="2721"/>
      <c r="F3" s="2722" t="s">
        <v>2815</v>
      </c>
      <c r="G3" s="916">
        <f>IF(F3="宗地容积率",'数据-汇总表'!I4,IF(F3="估价对象容积率",'数据-汇总表'!I6,'数据-汇总表'!I7))</f>
        <v>0.41</v>
      </c>
      <c r="H3" s="198" t="s">
        <v>2816</v>
      </c>
      <c r="I3" s="944"/>
      <c r="J3" s="2719" t="s">
        <v>2817</v>
      </c>
      <c r="K3" s="1370"/>
      <c r="L3" s="2720"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5">
      <c r="A4" s="3417"/>
      <c r="B4" s="3418"/>
      <c r="C4" s="3418"/>
      <c r="D4" s="3419"/>
      <c r="E4" s="3419"/>
      <c r="F4" s="3419"/>
      <c r="G4" s="3419"/>
      <c r="H4" s="3419"/>
      <c r="I4" s="3419"/>
      <c r="J4" s="3420"/>
      <c r="K4" s="1370"/>
      <c r="L4" s="2720"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6" thickBot="1">
      <c r="A5" s="2723" t="s">
        <v>807</v>
      </c>
      <c r="B5" s="2724" t="s">
        <v>2820</v>
      </c>
      <c r="C5" s="917" t="e">
        <f>ROUND(IF(E2="商业",C6*C7+C16,(IF(E2="住宅",C6*C12+C16,C6+C16))),0)</f>
        <v>#DIV/0!</v>
      </c>
      <c r="D5" s="1786" t="e">
        <f>ROUND(C6+C16,0)</f>
        <v>#DIV/0!</v>
      </c>
      <c r="E5" s="1786"/>
      <c r="F5" s="2725"/>
      <c r="G5" s="2726"/>
      <c r="H5" s="2726"/>
      <c r="I5" s="2726"/>
      <c r="J5" s="2727"/>
      <c r="K5" s="2728"/>
      <c r="L5" s="2720"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6" thickBot="1">
      <c r="A6" s="2733" t="s">
        <v>2822</v>
      </c>
      <c r="B6" s="2734" t="s">
        <v>2823</v>
      </c>
      <c r="C6" s="918">
        <f>SUMIF(L1:L12,G2,M1:M12)</f>
        <v>0</v>
      </c>
      <c r="D6" s="2735" t="s">
        <v>2824</v>
      </c>
      <c r="E6" s="2736"/>
      <c r="F6" s="2736"/>
      <c r="G6" s="2737"/>
      <c r="H6" s="2737"/>
      <c r="I6" s="2737"/>
      <c r="J6" s="2738"/>
      <c r="K6" s="1841"/>
      <c r="L6" s="2720"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6">
      <c r="A7" s="3421" t="str">
        <f>IF(E2="商业",IF(C8="不临58条商业街","",2),"")</f>
        <v/>
      </c>
      <c r="B7" s="2739" t="s">
        <v>2826</v>
      </c>
      <c r="C7" s="919" t="e">
        <f>IF(C8="不临58条商业街",1,ROUND(1+(1.6*E8+1.2*E9+0.8*E10+0.4*E11)*C9,4))</f>
        <v>#DIV/0!</v>
      </c>
      <c r="D7" s="2740" t="s">
        <v>2827</v>
      </c>
      <c r="E7" s="945"/>
      <c r="F7" s="2741"/>
      <c r="G7" s="2742"/>
      <c r="H7" s="2742"/>
      <c r="I7" s="2742"/>
      <c r="J7" s="2743"/>
      <c r="K7" s="1841"/>
      <c r="L7" s="2720"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5" t="s">
        <v>2829</v>
      </c>
      <c r="X7" s="1604">
        <f>G2</f>
        <v>0</v>
      </c>
      <c r="Y7" s="1604" t="s">
        <v>2830</v>
      </c>
      <c r="Z7" s="1605">
        <f>G3</f>
        <v>0.41</v>
      </c>
      <c r="AA7" s="1606"/>
      <c r="AB7" s="1606"/>
      <c r="AC7" s="1607"/>
      <c r="AD7" s="1608"/>
      <c r="AE7" s="1608"/>
      <c r="AF7" s="1608"/>
      <c r="AG7" s="1608"/>
      <c r="AH7" s="1608"/>
      <c r="AI7" s="1608"/>
      <c r="AJ7" s="1609"/>
    </row>
    <row r="8" spans="1:36" ht="15.5">
      <c r="A8" s="3422"/>
      <c r="B8" s="198" t="s">
        <v>2831</v>
      </c>
      <c r="C8" s="2744"/>
      <c r="D8" s="920" t="s">
        <v>139</v>
      </c>
      <c r="E8" s="921" t="e">
        <f>ROUND(C11/E7,4)</f>
        <v>#DIV/0!</v>
      </c>
      <c r="F8" s="2745" t="s">
        <v>2832</v>
      </c>
      <c r="G8" s="2746"/>
      <c r="H8" s="2746"/>
      <c r="I8" s="2746"/>
      <c r="J8" s="2747"/>
      <c r="K8" s="1370"/>
      <c r="L8" s="2720"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414" t="s">
        <v>2834</v>
      </c>
      <c r="X8" s="3415"/>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5">
      <c r="A9" s="3422"/>
      <c r="B9" s="198" t="s">
        <v>2847</v>
      </c>
      <c r="C9" s="922">
        <f>SUMIF(修正!C59:C119,C8,修正!E59:E119)</f>
        <v>0</v>
      </c>
      <c r="D9" s="200" t="s">
        <v>140</v>
      </c>
      <c r="E9" s="200" t="e">
        <f>ROUND(C11/E7,4)</f>
        <v>#DIV/0!</v>
      </c>
      <c r="F9" s="2745" t="s">
        <v>2848</v>
      </c>
      <c r="G9" s="2746"/>
      <c r="H9" s="2746"/>
      <c r="I9" s="2746"/>
      <c r="J9" s="2747"/>
      <c r="K9" s="1370"/>
      <c r="L9" s="2720"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416" t="s">
        <v>2850</v>
      </c>
      <c r="X9" s="1611" t="s">
        <v>2851</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422"/>
      <c r="B10" s="198" t="s">
        <v>2852</v>
      </c>
      <c r="C10" s="200">
        <f>SUMIF(修正!C59:C119,C8,修正!F59:F119)</f>
        <v>0</v>
      </c>
      <c r="D10" s="200" t="s">
        <v>141</v>
      </c>
      <c r="E10" s="200" t="e">
        <f>ROUND(C11/E7,4)</f>
        <v>#DIV/0!</v>
      </c>
      <c r="F10" s="2745" t="s">
        <v>2853</v>
      </c>
      <c r="G10" s="2746"/>
      <c r="H10" s="2746"/>
      <c r="I10" s="2746"/>
      <c r="J10" s="2747"/>
      <c r="K10" s="1370"/>
      <c r="L10" s="2720"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41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422"/>
      <c r="B11" s="2748" t="s">
        <v>2855</v>
      </c>
      <c r="C11" s="923">
        <f>C10/4</f>
        <v>0</v>
      </c>
      <c r="D11" s="923" t="s">
        <v>142</v>
      </c>
      <c r="E11" s="923" t="e">
        <f>ROUND(C11/E7,4)</f>
        <v>#DIV/0!</v>
      </c>
      <c r="F11" s="2749" t="s">
        <v>2856</v>
      </c>
      <c r="G11" s="2750"/>
      <c r="H11" s="2750"/>
      <c r="I11" s="2750"/>
      <c r="J11" s="2751"/>
      <c r="K11" s="1370"/>
      <c r="L11" s="2720"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416" t="s">
        <v>2858</v>
      </c>
      <c r="X11" s="1614" t="s">
        <v>2859</v>
      </c>
      <c r="Y11" s="1615">
        <f>$G$3</f>
        <v>0.41</v>
      </c>
      <c r="Z11" s="1615">
        <f t="shared" ref="Z11:AJ11" si="3">$G$3</f>
        <v>0.41</v>
      </c>
      <c r="AA11" s="1615">
        <f t="shared" si="3"/>
        <v>0.41</v>
      </c>
      <c r="AB11" s="1615">
        <f t="shared" si="3"/>
        <v>0.41</v>
      </c>
      <c r="AC11" s="1615">
        <f t="shared" si="3"/>
        <v>0.41</v>
      </c>
      <c r="AD11" s="1615">
        <f t="shared" si="3"/>
        <v>0.41</v>
      </c>
      <c r="AE11" s="1615">
        <f t="shared" si="3"/>
        <v>0.41</v>
      </c>
      <c r="AF11" s="1615">
        <f t="shared" si="3"/>
        <v>0.41</v>
      </c>
      <c r="AG11" s="1615">
        <f t="shared" si="3"/>
        <v>0.41</v>
      </c>
      <c r="AH11" s="1615">
        <f t="shared" si="3"/>
        <v>0.41</v>
      </c>
      <c r="AI11" s="1615">
        <f t="shared" si="3"/>
        <v>0.41</v>
      </c>
      <c r="AJ11" s="1615">
        <f t="shared" si="3"/>
        <v>0.41</v>
      </c>
    </row>
    <row r="12" spans="1:36" ht="26.5" thickBot="1">
      <c r="A12" s="3421" t="s">
        <v>2860</v>
      </c>
      <c r="B12" s="2752" t="s">
        <v>2861</v>
      </c>
      <c r="C12" s="919">
        <f>ROUND(C15*D15*E15*F15*G15*H15*I15*J15,4)</f>
        <v>1</v>
      </c>
      <c r="D12" s="2753" t="s">
        <v>2862</v>
      </c>
      <c r="E12" s="2754"/>
      <c r="F12" s="2754"/>
      <c r="G12" s="2755"/>
      <c r="H12" s="2755"/>
      <c r="I12" s="2755"/>
      <c r="J12" s="2756"/>
      <c r="K12" s="1370"/>
      <c r="L12" s="2757"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416"/>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423"/>
      <c r="B13" s="2758" t="s">
        <v>2865</v>
      </c>
      <c r="C13" s="2759" t="s">
        <v>2866</v>
      </c>
      <c r="D13" s="1807" t="s">
        <v>2867</v>
      </c>
      <c r="E13" s="1807" t="s">
        <v>2868</v>
      </c>
      <c r="F13" s="30" t="s">
        <v>2869</v>
      </c>
      <c r="G13" s="2760" t="s">
        <v>2870</v>
      </c>
      <c r="H13" s="2760" t="s">
        <v>2870</v>
      </c>
      <c r="I13" s="2760" t="s">
        <v>2870</v>
      </c>
      <c r="J13" s="2761" t="s">
        <v>2870</v>
      </c>
      <c r="K13" s="1370"/>
      <c r="L13" s="1370"/>
      <c r="M13" s="1370"/>
      <c r="N13" s="1370"/>
      <c r="O13" s="1370"/>
      <c r="P13" s="1370"/>
      <c r="Q13" s="1370"/>
      <c r="R13" s="1602">
        <v>12</v>
      </c>
      <c r="S13" s="1603"/>
      <c r="T13" s="1602" t="e">
        <f t="shared" si="0"/>
        <v>#DIV/0!</v>
      </c>
      <c r="U13" s="1603"/>
      <c r="V13" s="1602" t="e">
        <f t="shared" si="1"/>
        <v>#DIV/0!</v>
      </c>
      <c r="W13" s="3416"/>
      <c r="X13" s="1616"/>
      <c r="Y13" s="1613">
        <f>(-0.163*(Y12^2)-0.59*Y12+7617)*(10^(-4))/Y11</f>
        <v>1.8578048780487808</v>
      </c>
      <c r="Z13" s="1613">
        <f t="shared" ref="Z13:AJ13" si="5">(-0.163*(Z12^2)-0.59*Z12+7617)*(10^(-4))/Z11</f>
        <v>1.8578048780487808</v>
      </c>
      <c r="AA13" s="1613">
        <f t="shared" si="5"/>
        <v>1.8578048780487808</v>
      </c>
      <c r="AB13" s="1613">
        <f t="shared" si="5"/>
        <v>1.8578048780487808</v>
      </c>
      <c r="AC13" s="1613">
        <f t="shared" si="5"/>
        <v>1.8578048780487808</v>
      </c>
      <c r="AD13" s="1613">
        <f t="shared" si="5"/>
        <v>1.8578048780487808</v>
      </c>
      <c r="AE13" s="1613">
        <f t="shared" si="5"/>
        <v>1.8578048780487808</v>
      </c>
      <c r="AF13" s="1613">
        <f t="shared" si="5"/>
        <v>1.8578048780487808</v>
      </c>
      <c r="AG13" s="1613">
        <f t="shared" si="5"/>
        <v>1.8578048780487808</v>
      </c>
      <c r="AH13" s="1613">
        <f t="shared" si="5"/>
        <v>1.8578048780487808</v>
      </c>
      <c r="AI13" s="1613">
        <f t="shared" si="5"/>
        <v>1.8578048780487808</v>
      </c>
      <c r="AJ13" s="1613">
        <f t="shared" si="5"/>
        <v>1.8578048780487808</v>
      </c>
    </row>
    <row r="14" spans="1:36" ht="15.5">
      <c r="A14" s="3423"/>
      <c r="B14" s="2762"/>
      <c r="C14" s="2763"/>
      <c r="D14" s="2764"/>
      <c r="E14" s="2764"/>
      <c r="F14" s="2765"/>
      <c r="G14" s="2766" t="s">
        <v>2871</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6" thickBot="1">
      <c r="A15" s="3424"/>
      <c r="B15" s="2770"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5" customHeight="1">
      <c r="A16" s="3421" t="s">
        <v>2877</v>
      </c>
      <c r="B16" s="2739" t="s">
        <v>2878</v>
      </c>
      <c r="C16" s="2926" t="e">
        <f>ROUND(IF(F17="与级别开发程度一致",0,(G17-E17)/C17),0)</f>
        <v>#DIV/0!</v>
      </c>
      <c r="D16" s="3435" t="s">
        <v>2882</v>
      </c>
      <c r="E16" s="3436"/>
      <c r="F16" s="3435" t="s">
        <v>2879</v>
      </c>
      <c r="G16" s="3436"/>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425"/>
      <c r="B17" s="2937" t="s">
        <v>2881</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4.5" thickBot="1">
      <c r="A18" s="2931" t="s">
        <v>808</v>
      </c>
      <c r="B18" s="2932" t="s">
        <v>2884</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8.5" thickBot="1">
      <c r="A19" s="2778" t="s">
        <v>809</v>
      </c>
      <c r="B19" s="2779" t="s">
        <v>2885</v>
      </c>
      <c r="C19" s="924" t="e">
        <f>ROUND(IF(H19="按公示增长率计算",SUMPRODUCT((地价!A3:A27=YEAR(G19)&amp;"-"&amp;ROUNDUP(MONTH(G19)/3,0))*(地价!X2:AB2=E2)*(地价!X3:AB27)),IF(H19="地价指数",M20/M19,(1+I19)^O19)),4)</f>
        <v>#VALUE!</v>
      </c>
      <c r="D19" s="2783" t="s">
        <v>2886</v>
      </c>
      <c r="E19" s="925">
        <v>41640</v>
      </c>
      <c r="F19" s="2783" t="s">
        <v>2887</v>
      </c>
      <c r="G19" s="926">
        <f>'数据-取费表'!B2</f>
        <v>43913</v>
      </c>
      <c r="H19" s="2784"/>
      <c r="I19" s="927" t="str">
        <f>IF(H19="季度增幅（自定义）",SUMIF(N21:N24,E2,O21:O24),"")</f>
        <v/>
      </c>
      <c r="J19" s="2781"/>
      <c r="K19" s="1377"/>
      <c r="L19" s="2785" t="s">
        <v>2888</v>
      </c>
      <c r="M19" s="1734">
        <f>ROUND(SUMIF(地价!B2:F2,E2,地价!B27:F27),0)</f>
        <v>0</v>
      </c>
      <c r="N19" s="2786" t="s">
        <v>2889</v>
      </c>
      <c r="O19" s="928">
        <f>ROUNDDOWN(DATEDIF(E19,G19,"M")/3,0)</f>
        <v>24</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8.5" thickBot="1">
      <c r="A20" s="2790" t="s">
        <v>810</v>
      </c>
      <c r="B20" s="2791" t="s">
        <v>2890</v>
      </c>
      <c r="C20" s="929" t="e">
        <f>ROUND(POWER(1+G20,J20-I20)*(POWER(1+G20,I20)-1)/(POWER(1+G20,J20)-1),4)</f>
        <v>#DIV/0!</v>
      </c>
      <c r="D20" s="2792" t="s">
        <v>2891</v>
      </c>
      <c r="E20" s="1767">
        <f ca="1">存贷款利率!D4/100</f>
        <v>4.3499999999999997E-2</v>
      </c>
      <c r="F20" s="2792" t="s">
        <v>2883</v>
      </c>
      <c r="G20" s="934">
        <f>SUMIF(M26:P26,E2,M28:P28)</f>
        <v>0</v>
      </c>
      <c r="H20" s="2792" t="s">
        <v>2892</v>
      </c>
      <c r="I20" s="935" t="e">
        <f>SUMIF('数据-取费表'!C6:C15,E2,'数据-取费表'!F6:F15)/COUNTIF('数据-取费表'!C6:C15,E2)</f>
        <v>#DIV/0!</v>
      </c>
      <c r="J20" s="936">
        <f>IF(E2="住宅",70,IF(E2="商业",40,50))</f>
        <v>50</v>
      </c>
      <c r="K20" s="1377"/>
      <c r="L20" s="2793" t="s">
        <v>2893</v>
      </c>
      <c r="M20" s="1735">
        <f>ROUND(SUMPRODUCT((地价!A4:A27=YEAR(G19)&amp;"-"&amp;ROUNDUP(MONTH(G19)/3,0))*(地价!B2:F2=E2)*(地价!B4:F27)),0)</f>
        <v>0</v>
      </c>
      <c r="N20" s="2794" t="s">
        <v>2894</v>
      </c>
      <c r="O20" s="2795" t="s">
        <v>2895</v>
      </c>
      <c r="P20" s="2796" t="s">
        <v>2896</v>
      </c>
      <c r="R20" s="1376"/>
      <c r="S20" s="1376"/>
      <c r="T20" s="1371"/>
      <c r="U20" s="1371"/>
      <c r="V20" s="1371"/>
      <c r="W20" s="1370"/>
      <c r="X20" s="1370"/>
      <c r="Y20" s="1370"/>
      <c r="Z20" s="1377"/>
      <c r="AA20" s="1378"/>
      <c r="AB20" s="1378"/>
      <c r="AC20" s="1378"/>
      <c r="AD20" s="1378"/>
      <c r="AE20" s="1378"/>
      <c r="AF20" s="1378"/>
    </row>
    <row r="21" spans="1:37" s="2732" customFormat="1" ht="14">
      <c r="A21" s="2797" t="s">
        <v>811</v>
      </c>
      <c r="B21" s="2798" t="s">
        <v>2897</v>
      </c>
      <c r="C21" s="937">
        <f>IF(B21="容积率修正",IF(G3&lt;=10,D22,J22),C23)</f>
        <v>0</v>
      </c>
      <c r="D21" s="2799"/>
      <c r="E21" s="2799"/>
      <c r="F21" s="2799"/>
      <c r="G21" s="2799"/>
      <c r="H21" s="2799"/>
      <c r="I21" s="2799"/>
      <c r="J21" s="2800"/>
      <c r="K21" s="1377"/>
      <c r="N21" s="2801" t="s">
        <v>2898</v>
      </c>
      <c r="O21" s="1561"/>
      <c r="P21" s="1562">
        <f>SUMPRODUCT((地价!A3:A27=YEAR(G19)&amp;"-"&amp;ROUNDUP(MONTH(G19)/3,0))*(地价!AD2:AH2=N21)*(地价!AD3:AH27))</f>
        <v>0</v>
      </c>
      <c r="R21" s="1376"/>
      <c r="S21" s="1376"/>
      <c r="T21" s="1371"/>
      <c r="U21" s="1371"/>
      <c r="V21" s="1371"/>
      <c r="W21" s="1370"/>
      <c r="X21" s="1370"/>
      <c r="Y21" s="1370"/>
      <c r="Z21" s="1377"/>
      <c r="AA21" s="1378"/>
      <c r="AB21" s="1378"/>
      <c r="AC21" s="1378"/>
      <c r="AD21" s="1378"/>
      <c r="AE21" s="1378"/>
      <c r="AF21" s="1378"/>
    </row>
    <row r="22" spans="1:37" s="2732" customFormat="1" ht="14.5">
      <c r="A22" s="2658" t="s">
        <v>2899</v>
      </c>
      <c r="B22" s="2802" t="s">
        <v>2900</v>
      </c>
      <c r="C22" s="1809" t="s">
        <v>2901</v>
      </c>
      <c r="D22" s="1809">
        <f>IF(E22=G22,F22,IF(G3&lt;=10,ROUND(F22+(H22-F22)*(G3-E22)/(G22-E22),4),"——"))</f>
        <v>0</v>
      </c>
      <c r="E22" s="916">
        <f>ROUNDDOWN(G3,1)</f>
        <v>0.4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1" t="s">
        <v>2902</v>
      </c>
      <c r="O22" s="1561"/>
      <c r="P22" s="1562">
        <f>SUMPRODUCT((地价!A3:A27=YEAR(G19)&amp;"-"&amp;ROUNDUP(MONTH(G19)/3,0))*(地价!AD2:AH2=N22)*(地价!AD3:AH27))</f>
        <v>0</v>
      </c>
      <c r="R22" s="1376"/>
      <c r="S22" s="1376"/>
      <c r="T22" s="1371"/>
      <c r="U22" s="1371"/>
      <c r="V22" s="1371"/>
      <c r="W22" s="1370"/>
      <c r="X22" s="1370"/>
      <c r="Y22" s="1370"/>
      <c r="Z22" s="1377"/>
      <c r="AA22" s="1378"/>
      <c r="AB22" s="1378"/>
      <c r="AC22" s="1378"/>
      <c r="AD22" s="1378"/>
      <c r="AE22" s="1378"/>
      <c r="AF22" s="1378"/>
    </row>
    <row r="23" spans="1:37" ht="28.5" thickBot="1">
      <c r="A23" s="2658" t="s">
        <v>2903</v>
      </c>
      <c r="B23" s="2803" t="s">
        <v>2904</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2905</v>
      </c>
      <c r="O23" s="1561"/>
      <c r="P23" s="1562">
        <f>SUMPRODUCT((地价!A3:A27=YEAR(G19)&amp;"-"&amp;ROUNDUP(MONTH(G19)/3,0))*(地价!AD2:AH2=N23)*(地价!AD3:AH27))</f>
        <v>0</v>
      </c>
      <c r="R23" s="1376"/>
      <c r="S23" s="1376"/>
      <c r="T23" s="1371"/>
      <c r="U23" s="1371"/>
      <c r="V23" s="1371"/>
      <c r="W23" s="1370"/>
      <c r="X23" s="1370"/>
      <c r="Y23" s="1370"/>
      <c r="Z23" s="1377"/>
      <c r="AA23" s="1378"/>
      <c r="AB23" s="1378"/>
      <c r="AC23" s="1378"/>
      <c r="AD23" s="1378"/>
      <c r="AK23" s="2782"/>
    </row>
    <row r="24" spans="1:37" s="2732" customFormat="1" ht="14.5" thickBot="1">
      <c r="A24" s="2790" t="s">
        <v>812</v>
      </c>
      <c r="B24" s="2779" t="s">
        <v>2906</v>
      </c>
      <c r="C24" s="924">
        <f>SUMIF(A45:A88,E2,B45:B88)</f>
        <v>0</v>
      </c>
      <c r="D24" s="2780"/>
      <c r="E24" s="2809"/>
      <c r="F24" s="2809"/>
      <c r="G24" s="2809"/>
      <c r="H24" s="2809"/>
      <c r="I24" s="2809"/>
      <c r="J24" s="2810"/>
      <c r="K24" s="1377"/>
      <c r="N24" s="2811" t="s">
        <v>2907</v>
      </c>
      <c r="O24" s="1563"/>
      <c r="P24" s="1564">
        <f>SUMPRODUCT((地价!A3:A27=YEAR(G19)&amp;"-"&amp;ROUNDUP(MONTH(G19)/3,0))*(地价!AD2:AH2=N24)*(地价!AD3:AH27))</f>
        <v>0</v>
      </c>
      <c r="R24" s="1376"/>
      <c r="S24" s="1376"/>
      <c r="T24" s="1371"/>
      <c r="U24" s="1371"/>
      <c r="V24" s="1371"/>
      <c r="W24" s="1370"/>
      <c r="X24" s="1370"/>
      <c r="Y24" s="1370"/>
      <c r="Z24" s="1377"/>
      <c r="AA24" s="1378"/>
      <c r="AB24" s="1378"/>
      <c r="AC24" s="1378"/>
      <c r="AD24" s="1378"/>
      <c r="AE24" s="1378"/>
      <c r="AF24" s="1378"/>
    </row>
    <row r="25" spans="1:37" ht="14.5" thickBot="1">
      <c r="A25" s="2790" t="s">
        <v>813</v>
      </c>
      <c r="B25" s="2812" t="s">
        <v>2908</v>
      </c>
      <c r="C25" s="930"/>
      <c r="D25" s="2742"/>
      <c r="E25" s="2742"/>
      <c r="F25" s="2813"/>
      <c r="G25" s="2742"/>
      <c r="H25" s="2742"/>
      <c r="I25" s="2742"/>
      <c r="J25" s="2743"/>
      <c r="K25" s="1370"/>
      <c r="N25" s="2814" t="s">
        <v>2909</v>
      </c>
      <c r="O25" s="1565"/>
      <c r="P25" s="1564">
        <f>SUMPRODUCT((地价!A3:A27=YEAR(G19)&amp;"-"&amp;ROUNDUP(MONTH(G19)/3,0))*(地价!AD2:AH2=N25)*(地价!AD3:AH27))</f>
        <v>0</v>
      </c>
      <c r="R25" s="1376"/>
      <c r="S25" s="1376"/>
      <c r="T25" s="1371"/>
      <c r="U25" s="1371"/>
      <c r="V25" s="1371"/>
      <c r="W25" s="1370"/>
      <c r="X25" s="1370"/>
      <c r="Y25" s="1370"/>
      <c r="Z25" s="1377"/>
      <c r="AA25" s="1378"/>
      <c r="AB25" s="1378"/>
      <c r="AC25" s="1378"/>
      <c r="AD25" s="1378"/>
    </row>
    <row r="26" spans="1:37" ht="14">
      <c r="A26" s="2815"/>
      <c r="B26" s="2802" t="s">
        <v>2910</v>
      </c>
      <c r="C26" s="206" t="e">
        <f>E29+SUM(E33:E39)</f>
        <v>#DIV/0!</v>
      </c>
      <c r="D26" s="2816"/>
      <c r="E26" s="2767"/>
      <c r="F26" s="2817"/>
      <c r="G26" s="2767"/>
      <c r="H26" s="2767"/>
      <c r="I26" s="2767"/>
      <c r="J26" s="2818"/>
      <c r="K26" s="1370"/>
      <c r="L26" s="2771" t="s">
        <v>2808</v>
      </c>
      <c r="M26" s="920" t="s">
        <v>2873</v>
      </c>
      <c r="N26" s="920" t="s">
        <v>2874</v>
      </c>
      <c r="O26" s="920" t="s">
        <v>2875</v>
      </c>
      <c r="P26" s="2772" t="s">
        <v>2876</v>
      </c>
      <c r="R26" s="1376"/>
      <c r="S26" s="1376"/>
      <c r="T26" s="1371"/>
      <c r="U26" s="1371"/>
      <c r="V26" s="1371"/>
      <c r="W26" s="1370"/>
      <c r="X26" s="1370"/>
      <c r="Y26" s="1370"/>
      <c r="Z26" s="1377"/>
      <c r="AA26" s="1378"/>
      <c r="AB26" s="1378"/>
      <c r="AC26" s="1378"/>
      <c r="AD26" s="1378"/>
    </row>
    <row r="27" spans="1:37" ht="14.5" thickBot="1">
      <c r="A27" s="2815"/>
      <c r="B27" s="2819" t="s">
        <v>2911</v>
      </c>
      <c r="C27" s="931" t="e">
        <f>E30+SUM(I33:I39)</f>
        <v>#DIV/0!</v>
      </c>
      <c r="D27" s="2820"/>
      <c r="E27" s="2821"/>
      <c r="F27" s="2822"/>
      <c r="G27" s="2821"/>
      <c r="H27" s="2821"/>
      <c r="I27" s="2821"/>
      <c r="J27" s="2823"/>
      <c r="K27" s="1370"/>
      <c r="L27" s="2775"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24"/>
      <c r="B28" s="2825" t="s">
        <v>2912</v>
      </c>
      <c r="C28" s="2826" t="s">
        <v>2913</v>
      </c>
      <c r="D28" s="2826" t="s">
        <v>2914</v>
      </c>
      <c r="E28" s="2827" t="s">
        <v>2915</v>
      </c>
      <c r="F28" s="2828"/>
      <c r="G28" s="2755"/>
      <c r="H28" s="2755"/>
      <c r="I28" s="2755"/>
      <c r="J28" s="2756"/>
      <c r="K28" s="1370"/>
      <c r="L28" s="2776"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2916</v>
      </c>
      <c r="C29" s="206" t="e">
        <f>ROUND(C5*C18*C19*C20*C21*C24,0)</f>
        <v>#DIV/0!</v>
      </c>
      <c r="D29" s="2831"/>
      <c r="E29" s="942" t="e">
        <f>ROUND(C29*D29/10000,0)</f>
        <v>#DIV/0!</v>
      </c>
      <c r="F29" s="2832" t="s">
        <v>2917</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6.5" thickBot="1">
      <c r="A30" s="2835"/>
      <c r="B30" s="2836" t="s">
        <v>2918</v>
      </c>
      <c r="C30" s="229" t="e">
        <f>ROUND(IF(E2="工业",C29*M39,C29*M38),0)</f>
        <v>#DIV/0!</v>
      </c>
      <c r="D30" s="2837"/>
      <c r="E30" s="942" t="e">
        <f>ROUND(C30*D30/10000,0)</f>
        <v>#DIV/0!</v>
      </c>
      <c r="F30" s="2838" t="s">
        <v>2919</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
      <c r="A31" s="2841"/>
      <c r="B31" s="2842" t="s">
        <v>2920</v>
      </c>
      <c r="C31" s="2843" t="s">
        <v>2921</v>
      </c>
      <c r="D31" s="2755"/>
      <c r="E31" s="2843"/>
      <c r="F31" s="2843"/>
      <c r="G31" s="2753" t="s">
        <v>2922</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6">
      <c r="A32" s="2829"/>
      <c r="B32" s="2845"/>
      <c r="C32" s="501" t="s">
        <v>2913</v>
      </c>
      <c r="D32" s="498" t="s">
        <v>2914</v>
      </c>
      <c r="E32" s="498" t="s">
        <v>2915</v>
      </c>
      <c r="F32" s="388" t="s">
        <v>2923</v>
      </c>
      <c r="G32" s="2846" t="s">
        <v>2913</v>
      </c>
      <c r="H32" s="2846" t="s">
        <v>2914</v>
      </c>
      <c r="I32" s="284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432" t="s">
        <v>2924</v>
      </c>
      <c r="B33" s="2847" t="s">
        <v>2925</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433"/>
      <c r="B34" s="2759" t="s">
        <v>2926</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433"/>
      <c r="B35" s="2759" t="s">
        <v>2927</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434"/>
      <c r="B36" s="2759" t="s">
        <v>2928</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ht="13">
      <c r="A37" s="2849"/>
      <c r="B37" s="2759" t="s">
        <v>2929</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2930</v>
      </c>
      <c r="M37" s="2851"/>
      <c r="N37" s="1370"/>
      <c r="O37" s="1370"/>
      <c r="P37" s="1370"/>
      <c r="Q37" s="1370"/>
      <c r="R37" s="1370"/>
      <c r="S37" s="1370"/>
      <c r="T37" s="1370"/>
      <c r="U37" s="1370"/>
      <c r="V37" s="1370"/>
      <c r="W37" s="1370"/>
      <c r="X37" s="1370"/>
      <c r="Y37" s="1370"/>
      <c r="Z37" s="1371"/>
    </row>
    <row r="38" spans="1:37" ht="13">
      <c r="A38" s="2849"/>
      <c r="B38" s="2759" t="s">
        <v>2931</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86" t="s">
        <v>2932</v>
      </c>
      <c r="M38" s="2852">
        <v>0.25</v>
      </c>
      <c r="N38" s="1370"/>
      <c r="O38" s="1370"/>
      <c r="P38" s="1370"/>
      <c r="Q38" s="1370"/>
      <c r="R38" s="1370"/>
      <c r="S38" s="1370"/>
      <c r="T38" s="1370"/>
      <c r="U38" s="1370"/>
      <c r="V38" s="1370"/>
      <c r="W38" s="1370"/>
      <c r="X38" s="1370"/>
      <c r="Y38" s="1370"/>
      <c r="Z38" s="1371"/>
    </row>
    <row r="39" spans="1:37" ht="13.5" thickBot="1">
      <c r="A39" s="2835"/>
      <c r="B39" s="2853" t="s">
        <v>2933</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2876</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24" t="s">
        <v>3044</v>
      </c>
      <c r="C41" s="388" t="e">
        <f>ROUND(POWER(1+E41,H41-G41)*(POWER(1+E41,G41)-1)/(POWER(1+E41,H41)-1),4)</f>
        <v>#DIV/0!</v>
      </c>
      <c r="D41" s="200" t="s">
        <v>2883</v>
      </c>
      <c r="E41" s="2923">
        <f>G20</f>
        <v>0</v>
      </c>
      <c r="F41" s="200" t="s">
        <v>2892</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4.5" thickBot="1">
      <c r="A45" s="2858" t="s">
        <v>2934</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4">
      <c r="A46" s="2860" t="s">
        <v>2935</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6">
      <c r="A47" s="2864" t="s">
        <v>2936</v>
      </c>
      <c r="B47" s="1808" t="s">
        <v>2937</v>
      </c>
      <c r="C47" s="1808" t="s">
        <v>2938</v>
      </c>
      <c r="D47" s="1808" t="s">
        <v>2939</v>
      </c>
      <c r="E47" s="819" t="s">
        <v>2940</v>
      </c>
      <c r="F47" s="2865" t="s">
        <v>2941</v>
      </c>
      <c r="G47" s="1808" t="s">
        <v>754</v>
      </c>
      <c r="H47" s="2866" t="s">
        <v>2942</v>
      </c>
      <c r="I47" s="1808"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50">
      <c r="A48" s="2864" t="s">
        <v>2944</v>
      </c>
      <c r="B48" s="2867" t="str">
        <f>估价对象房地状况!C4</f>
        <v>估价对象位于XX商圈，周边商业氛围成熟，人流量大，商业繁华度好</v>
      </c>
      <c r="C48" s="2764"/>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0">
      <c r="A49" s="2864" t="s">
        <v>2945</v>
      </c>
      <c r="B49" s="2868" t="str">
        <f>估价对象房地状况!C18</f>
        <v>估价对象周边道路状况、公共交通通达情况、停车便捷程度，综合评价交通便捷度较好</v>
      </c>
      <c r="C49" s="2764"/>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6">
      <c r="A50" s="2864" t="s">
        <v>2946</v>
      </c>
      <c r="B50" s="2868">
        <f>估价对象房地状况!C19</f>
        <v>0</v>
      </c>
      <c r="C50" s="2764"/>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2">
      <c r="A51" s="2864" t="s">
        <v>2947</v>
      </c>
      <c r="B51" s="2869" t="s">
        <v>2948</v>
      </c>
      <c r="C51" s="2764"/>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6">
      <c r="A52" s="2864" t="s">
        <v>2949</v>
      </c>
      <c r="B52" s="2868">
        <f>估价对象房地状况!C24</f>
        <v>0</v>
      </c>
      <c r="C52" s="2764"/>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6">
      <c r="A53" s="2864" t="s">
        <v>2950</v>
      </c>
      <c r="B53" s="2870" t="s">
        <v>2951</v>
      </c>
      <c r="C53" s="2764"/>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
      <c r="A54" s="2871" t="s">
        <v>2952</v>
      </c>
      <c r="B54" s="1725" t="str">
        <f>估价对象房地状况!C21</f>
        <v>估价对象所在区域公共配套设施齐备情况</v>
      </c>
      <c r="C54" s="2764"/>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
      <c r="A55" s="2871" t="s">
        <v>2953</v>
      </c>
      <c r="B55" s="2868" t="str">
        <f>估价对象房地状况!C22</f>
        <v>估价对象所在区域基础设施水平</v>
      </c>
      <c r="C55" s="2764"/>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8" thickBot="1">
      <c r="A56" s="2872" t="s">
        <v>2954</v>
      </c>
      <c r="B56" s="2873" t="str">
        <f>估价对象房地状况!C20</f>
        <v>区域自然环境：；人文环境；综合评价环境状况一般</v>
      </c>
      <c r="C56" s="2764"/>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
      <c r="A57" s="2860" t="s">
        <v>2955</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64" t="s">
        <v>2936</v>
      </c>
      <c r="B58" s="1808"/>
      <c r="C58" s="1808" t="s">
        <v>2938</v>
      </c>
      <c r="D58" s="1808" t="s">
        <v>2939</v>
      </c>
      <c r="E58" s="819" t="s">
        <v>2940</v>
      </c>
      <c r="F58" s="2865" t="s">
        <v>2956</v>
      </c>
      <c r="G58" s="1808" t="s">
        <v>754</v>
      </c>
      <c r="H58" s="2866" t="s">
        <v>2942</v>
      </c>
      <c r="I58" s="1808"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50">
      <c r="A59" s="2864" t="s">
        <v>2957</v>
      </c>
      <c r="B59" s="2867" t="str">
        <f>估价对象房地状况!C17</f>
        <v>估价对象位于XX商圈，周边办公楼项目较多，入驻率高，办公集聚程度较好</v>
      </c>
      <c r="C59" s="2764"/>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0">
      <c r="A60" s="2864" t="s">
        <v>2945</v>
      </c>
      <c r="B60" s="2868" t="str">
        <f>估价对象房地状况!C18</f>
        <v>估价对象周边道路状况、公共交通通达情况、停车便捷程度，综合评价交通便捷度较好</v>
      </c>
      <c r="C60" s="2764"/>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6">
      <c r="A61" s="2864" t="s">
        <v>2946</v>
      </c>
      <c r="B61" s="2868">
        <f>估价对象房地状况!C19</f>
        <v>0</v>
      </c>
      <c r="C61" s="2764"/>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2">
      <c r="A62" s="2864" t="s">
        <v>2947</v>
      </c>
      <c r="B62" s="2869" t="s">
        <v>2948</v>
      </c>
      <c r="C62" s="2764"/>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6">
      <c r="A63" s="2864" t="s">
        <v>2949</v>
      </c>
      <c r="B63" s="2868">
        <f>估价对象房地状况!C24</f>
        <v>0</v>
      </c>
      <c r="C63" s="2764"/>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6">
      <c r="A64" s="2864" t="s">
        <v>2950</v>
      </c>
      <c r="B64" s="2870" t="s">
        <v>2951</v>
      </c>
      <c r="C64" s="2764"/>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
      <c r="A65" s="2864" t="s">
        <v>2952</v>
      </c>
      <c r="B65" s="1725" t="str">
        <f>估价对象房地状况!C21</f>
        <v>估价对象所在区域公共配套设施齐备情况</v>
      </c>
      <c r="C65" s="2764"/>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
      <c r="A66" s="2864" t="s">
        <v>2953</v>
      </c>
      <c r="B66" s="1725" t="str">
        <f>估价对象房地状况!C22</f>
        <v>估价对象所在区域基础设施水平</v>
      </c>
      <c r="C66" s="2764"/>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8" thickBot="1">
      <c r="A67" s="2872" t="s">
        <v>2954</v>
      </c>
      <c r="B67" s="2874" t="str">
        <f>估价对象房地状况!C20</f>
        <v>区域自然环境：；人文环境；综合评价环境状况一般</v>
      </c>
      <c r="C67" s="2764"/>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
      <c r="A68" s="2860" t="s">
        <v>2958</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64" t="s">
        <v>2936</v>
      </c>
      <c r="B69" s="1808"/>
      <c r="C69" s="1808" t="s">
        <v>2938</v>
      </c>
      <c r="D69" s="1808" t="s">
        <v>2939</v>
      </c>
      <c r="E69" s="819" t="s">
        <v>2940</v>
      </c>
      <c r="F69" s="2865" t="s">
        <v>2956</v>
      </c>
      <c r="G69" s="1808" t="s">
        <v>754</v>
      </c>
      <c r="H69" s="2866" t="s">
        <v>2942</v>
      </c>
      <c r="I69" s="1808"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62.5">
      <c r="A70" s="2864" t="s">
        <v>2959</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0">
      <c r="A71" s="2864" t="s">
        <v>2945</v>
      </c>
      <c r="B71" s="2868" t="str">
        <f>估价对象房地状况!C18</f>
        <v>估价对象周边道路状况、公共交通通达情况、停车便捷程度，综合评价交通便捷度较好</v>
      </c>
      <c r="C71" s="2764"/>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6">
      <c r="A72" s="2864" t="s">
        <v>2946</v>
      </c>
      <c r="B72" s="2868">
        <f>估价对象房地状况!C19</f>
        <v>0</v>
      </c>
      <c r="C72" s="2764"/>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
      <c r="A73" s="2864" t="s">
        <v>2960</v>
      </c>
      <c r="B73" s="2868">
        <f>估价对象房地状况!C24</f>
        <v>0</v>
      </c>
      <c r="C73" s="2764"/>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
      <c r="A74" s="2864" t="s">
        <v>2952</v>
      </c>
      <c r="B74" s="1725" t="str">
        <f>估价对象房地状况!C21</f>
        <v>估价对象所在区域公共配套设施齐备情况</v>
      </c>
      <c r="C74" s="2764"/>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
      <c r="A75" s="2864" t="s">
        <v>2953</v>
      </c>
      <c r="B75" s="1725" t="str">
        <f>估价对象房地状况!C22</f>
        <v>估价对象所在区域基础设施水平</v>
      </c>
      <c r="C75" s="2764"/>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6">
      <c r="A76" s="2864" t="s">
        <v>2950</v>
      </c>
      <c r="B76" s="2870" t="s">
        <v>2951</v>
      </c>
      <c r="C76" s="2764"/>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7.5">
      <c r="A77" s="2864" t="s">
        <v>2954</v>
      </c>
      <c r="B77" s="2867" t="str">
        <f>估价对象房地状况!C20</f>
        <v>区域自然环境：；人文环境；综合评价环境状况一般</v>
      </c>
      <c r="C77" s="2764"/>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6.5" thickBot="1">
      <c r="A78" s="2872" t="s">
        <v>2961</v>
      </c>
      <c r="B78" s="2876"/>
      <c r="C78" s="2764"/>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4">
      <c r="A79" s="2860" t="s">
        <v>2962</v>
      </c>
      <c r="B79" s="2861">
        <f>1+E81</f>
        <v>1</v>
      </c>
      <c r="C79" s="814"/>
      <c r="D79" s="814"/>
      <c r="E79" s="815"/>
      <c r="F79" s="2863"/>
      <c r="G79" s="6"/>
      <c r="H79" s="6"/>
      <c r="I79" s="6"/>
      <c r="J79" s="7"/>
      <c r="K79" s="7"/>
      <c r="L79" s="7"/>
      <c r="M79" s="7"/>
      <c r="N79" s="7"/>
      <c r="Z79" s="2714"/>
      <c r="AA79" s="2782"/>
      <c r="AG79" s="1372"/>
      <c r="AK79" s="2782"/>
    </row>
    <row r="80" spans="1:37" ht="26">
      <c r="A80" s="2864" t="s">
        <v>2936</v>
      </c>
      <c r="B80" s="1808"/>
      <c r="C80" s="1808" t="s">
        <v>2938</v>
      </c>
      <c r="D80" s="1808" t="s">
        <v>2939</v>
      </c>
      <c r="E80" s="819" t="s">
        <v>2940</v>
      </c>
      <c r="F80" s="2865" t="s">
        <v>2956</v>
      </c>
      <c r="G80" s="1808" t="s">
        <v>754</v>
      </c>
      <c r="H80" s="2866" t="s">
        <v>2942</v>
      </c>
      <c r="I80" s="1808" t="s">
        <v>2943</v>
      </c>
      <c r="J80" s="603" t="s">
        <v>2592</v>
      </c>
      <c r="K80" s="603" t="s">
        <v>2593</v>
      </c>
      <c r="L80" s="603" t="s">
        <v>2594</v>
      </c>
      <c r="M80" s="603" t="s">
        <v>2595</v>
      </c>
      <c r="N80" s="603" t="s">
        <v>2596</v>
      </c>
      <c r="Z80" s="2714"/>
      <c r="AA80" s="2782"/>
      <c r="AG80" s="1372"/>
      <c r="AK80" s="2782"/>
    </row>
    <row r="81" spans="1:37" ht="37.5">
      <c r="A81" s="2864" t="s">
        <v>2963</v>
      </c>
      <c r="B81" s="2868" t="str">
        <f>估价对象房地状况!G15</f>
        <v>估价对象位于XX开发区，园区建设成熟度XX，产业集聚程度XX</v>
      </c>
      <c r="C81" s="2764"/>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0">
      <c r="A82" s="2864" t="s">
        <v>2945</v>
      </c>
      <c r="B82" s="2868" t="str">
        <f>估价对象房地状况!G16</f>
        <v>估价对象周边道路状况、公共交通通达情况、停车便捷程度，综合评价交通便捷度较好</v>
      </c>
      <c r="C82" s="2764"/>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6">
      <c r="A83" s="2864" t="s">
        <v>2946</v>
      </c>
      <c r="B83" s="2868">
        <f>估价对象房地状况!G17</f>
        <v>0</v>
      </c>
      <c r="C83" s="2764"/>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
      <c r="A84" s="2864" t="s">
        <v>2960</v>
      </c>
      <c r="B84" s="2868">
        <f>估价对象房地状况!G22</f>
        <v>0</v>
      </c>
      <c r="C84" s="2764"/>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6">
      <c r="A85" s="2864" t="s">
        <v>2952</v>
      </c>
      <c r="B85" s="1725" t="str">
        <f>估价对象房地状况!G19</f>
        <v>估价对象所在区域公共配套设施齐备情况</v>
      </c>
      <c r="C85" s="2764"/>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6">
      <c r="A86" s="2864" t="s">
        <v>2953</v>
      </c>
      <c r="B86" s="1725" t="str">
        <f>估价对象房地状况!G20</f>
        <v>估价对象所在区域基础设施水平</v>
      </c>
      <c r="C86" s="2764"/>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6">
      <c r="A87" s="2864" t="s">
        <v>2950</v>
      </c>
      <c r="B87" s="2870" t="s">
        <v>2964</v>
      </c>
      <c r="C87" s="2764"/>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50.5" thickBot="1">
      <c r="A88" s="2872" t="s">
        <v>2965</v>
      </c>
      <c r="B88" s="2877" t="str">
        <f>估价对象房地状况!G18</f>
        <v>该园区内是否有污染型企业，绿化情况，卫生条件，整体环境状况判断</v>
      </c>
      <c r="C88" s="2764"/>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ht="13">
      <c r="A90" s="3426" t="s">
        <v>2966</v>
      </c>
      <c r="B90" s="3426"/>
      <c r="C90" s="3426"/>
      <c r="D90" s="3426"/>
      <c r="E90" s="3426"/>
      <c r="F90" s="3426"/>
      <c r="G90" s="3426"/>
      <c r="H90" s="3426"/>
      <c r="I90" s="3426"/>
      <c r="J90" s="3426"/>
      <c r="K90" s="2878"/>
      <c r="L90" s="2878"/>
      <c r="M90" s="2878"/>
      <c r="N90" s="2878"/>
    </row>
    <row r="91" spans="1:37" ht="13">
      <c r="A91" s="3428" t="s">
        <v>2967</v>
      </c>
      <c r="B91" s="3428" t="s">
        <v>2968</v>
      </c>
      <c r="C91" s="2832" t="s">
        <v>2969</v>
      </c>
      <c r="D91" s="2833"/>
      <c r="E91" s="2833"/>
      <c r="F91" s="2833"/>
      <c r="G91" s="2833"/>
      <c r="H91" s="2833"/>
      <c r="I91" s="2833"/>
      <c r="J91" s="2879"/>
      <c r="K91" s="2880"/>
      <c r="L91" s="2880"/>
      <c r="M91" s="2880"/>
      <c r="N91" s="2880"/>
    </row>
    <row r="92" spans="1:37" ht="13">
      <c r="A92" s="3428"/>
      <c r="B92" s="3428"/>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429"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43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43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43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43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43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ht="13">
      <c r="A99" s="3430"/>
      <c r="B99" s="2881" t="s">
        <v>2851</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31"/>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ht="13">
      <c r="A101" s="3429" t="s">
        <v>2971</v>
      </c>
      <c r="B101" s="2885" t="s">
        <v>2972</v>
      </c>
      <c r="C101" s="2886">
        <f>$G$3</f>
        <v>0.41</v>
      </c>
      <c r="D101" s="2886">
        <f t="shared" ref="D101:N101" si="31">$G$3</f>
        <v>0.41</v>
      </c>
      <c r="E101" s="2886">
        <f t="shared" si="31"/>
        <v>0.41</v>
      </c>
      <c r="F101" s="2886">
        <f t="shared" si="31"/>
        <v>0.41</v>
      </c>
      <c r="G101" s="2886">
        <f t="shared" si="31"/>
        <v>0.41</v>
      </c>
      <c r="H101" s="2886">
        <f t="shared" si="31"/>
        <v>0.41</v>
      </c>
      <c r="I101" s="2886">
        <f t="shared" si="31"/>
        <v>0.41</v>
      </c>
      <c r="J101" s="2886">
        <f t="shared" si="31"/>
        <v>0.41</v>
      </c>
      <c r="K101" s="2886">
        <f t="shared" si="31"/>
        <v>0.41</v>
      </c>
      <c r="L101" s="2886">
        <f t="shared" si="31"/>
        <v>0.41</v>
      </c>
      <c r="M101" s="2886">
        <f t="shared" si="31"/>
        <v>0.41</v>
      </c>
      <c r="N101" s="2886">
        <f t="shared" si="31"/>
        <v>0.41</v>
      </c>
    </row>
    <row r="102" spans="1:14">
      <c r="A102" s="3430"/>
      <c r="B102" s="2881">
        <v>1</v>
      </c>
      <c r="C102" s="2882">
        <f>1.9362/C101</f>
        <v>4.7224390243902441</v>
      </c>
      <c r="D102" s="2882">
        <f>1.9362/D101</f>
        <v>4.7224390243902441</v>
      </c>
      <c r="E102" s="2882">
        <f>1.8629/E101</f>
        <v>4.5436585365853661</v>
      </c>
      <c r="F102" s="2882">
        <f>1.8629/F101</f>
        <v>4.5436585365853661</v>
      </c>
      <c r="G102" s="2882">
        <f>1.8629/G101</f>
        <v>4.5436585365853661</v>
      </c>
      <c r="H102" s="2882">
        <f>1.8629/H101</f>
        <v>4.5436585365853661</v>
      </c>
      <c r="I102" s="2882">
        <f>1.8629/I101</f>
        <v>4.5436585365853661</v>
      </c>
      <c r="J102" s="2882">
        <f>1.942/J101</f>
        <v>4.7365853658536583</v>
      </c>
      <c r="K102" s="2882">
        <f>1.942/K101</f>
        <v>4.7365853658536583</v>
      </c>
      <c r="L102" s="2882">
        <f>1.942/L101</f>
        <v>4.7365853658536583</v>
      </c>
      <c r="M102" s="2882">
        <f>1.942/M101</f>
        <v>4.7365853658536583</v>
      </c>
      <c r="N102" s="2882">
        <f>1.942/N101</f>
        <v>4.7365853658536583</v>
      </c>
    </row>
    <row r="103" spans="1:14">
      <c r="A103" s="3430"/>
      <c r="B103" s="2881">
        <v>2</v>
      </c>
      <c r="C103" s="2882">
        <f>1.4198/C101</f>
        <v>3.4629268292682926</v>
      </c>
      <c r="D103" s="2882">
        <f>1.4198/D101</f>
        <v>3.4629268292682926</v>
      </c>
      <c r="E103" s="2882">
        <f>1.3372/E101</f>
        <v>3.2614634146341466</v>
      </c>
      <c r="F103" s="2882">
        <f>1.3372/F101</f>
        <v>3.2614634146341466</v>
      </c>
      <c r="G103" s="2882">
        <f>1.3372/G101</f>
        <v>3.2614634146341466</v>
      </c>
      <c r="H103" s="2882">
        <f>1.3372/H101</f>
        <v>3.2614634146341466</v>
      </c>
      <c r="I103" s="2882">
        <f>1.3372/I101</f>
        <v>3.2614634146341466</v>
      </c>
      <c r="J103" s="2882">
        <f>1.2799/J101</f>
        <v>3.1217073170731711</v>
      </c>
      <c r="K103" s="2882">
        <f>1.2799/K101</f>
        <v>3.1217073170731711</v>
      </c>
      <c r="L103" s="2882">
        <f>1.2799/L101</f>
        <v>3.1217073170731711</v>
      </c>
      <c r="M103" s="2882">
        <f>1.2799/M101</f>
        <v>3.1217073170731711</v>
      </c>
      <c r="N103" s="2882">
        <f>1.2799/N101</f>
        <v>3.1217073170731711</v>
      </c>
    </row>
    <row r="104" spans="1:14">
      <c r="A104" s="3430"/>
      <c r="B104" s="2881">
        <v>3</v>
      </c>
      <c r="C104" s="2882">
        <f>1.1594/C101</f>
        <v>2.8278048780487808</v>
      </c>
      <c r="D104" s="2882">
        <f>1.1594/D101</f>
        <v>2.8278048780487808</v>
      </c>
      <c r="E104" s="2882">
        <f>1.0788/E101</f>
        <v>2.6312195121951221</v>
      </c>
      <c r="F104" s="2882">
        <f>1.0788/F101</f>
        <v>2.6312195121951221</v>
      </c>
      <c r="G104" s="2882">
        <f>1.0788/G101</f>
        <v>2.6312195121951221</v>
      </c>
      <c r="H104" s="2882">
        <f>1.0788/H101</f>
        <v>2.6312195121951221</v>
      </c>
      <c r="I104" s="2882">
        <f>1.0788/I101</f>
        <v>2.6312195121951221</v>
      </c>
      <c r="J104" s="2882">
        <f>1.0072/J101</f>
        <v>2.4565853658536589</v>
      </c>
      <c r="K104" s="2882">
        <f>1.0072/K101</f>
        <v>2.4565853658536589</v>
      </c>
      <c r="L104" s="2882">
        <f>1.0072/L101</f>
        <v>2.4565853658536589</v>
      </c>
      <c r="M104" s="2882">
        <f>1.0072/M101</f>
        <v>2.4565853658536589</v>
      </c>
      <c r="N104" s="2882">
        <f>1.0072/N101</f>
        <v>2.4565853658536589</v>
      </c>
    </row>
    <row r="105" spans="1:14">
      <c r="A105" s="3430"/>
      <c r="B105" s="2881">
        <v>4</v>
      </c>
      <c r="C105" s="2882">
        <f>0.9622/C101</f>
        <v>2.3468292682926832</v>
      </c>
      <c r="D105" s="2882">
        <f>0.9622/D101</f>
        <v>2.3468292682926832</v>
      </c>
      <c r="E105" s="2882">
        <f>0.8656/E101</f>
        <v>2.1112195121951221</v>
      </c>
      <c r="F105" s="2882">
        <f>0.8656/F101</f>
        <v>2.1112195121951221</v>
      </c>
      <c r="G105" s="2882">
        <f>0.8656/G101</f>
        <v>2.1112195121951221</v>
      </c>
      <c r="H105" s="2882">
        <f>0.8656/H101</f>
        <v>2.1112195121951221</v>
      </c>
      <c r="I105" s="2882">
        <f>0.8656/I101</f>
        <v>2.1112195121951221</v>
      </c>
      <c r="J105" s="2882">
        <f>0.7525/J101</f>
        <v>1.8353658536585367</v>
      </c>
      <c r="K105" s="2882">
        <f>0.7525/K101</f>
        <v>1.8353658536585367</v>
      </c>
      <c r="L105" s="2882">
        <f>0.7525/L101</f>
        <v>1.8353658536585367</v>
      </c>
      <c r="M105" s="2882">
        <f>0.7525/M101</f>
        <v>1.8353658536585367</v>
      </c>
      <c r="N105" s="2882">
        <f>0.7525/N101</f>
        <v>1.8353658536585367</v>
      </c>
    </row>
    <row r="106" spans="1:14">
      <c r="A106" s="3430"/>
      <c r="B106" s="2881">
        <v>5</v>
      </c>
      <c r="C106" s="2882">
        <f>0.8417/C101</f>
        <v>2.052926829268293</v>
      </c>
      <c r="D106" s="2882">
        <f>0.8417/D101</f>
        <v>2.052926829268293</v>
      </c>
      <c r="E106" s="2882">
        <f>0.7371/E101</f>
        <v>1.7978048780487805</v>
      </c>
      <c r="F106" s="2882">
        <f>0.7371/F101</f>
        <v>1.7978048780487805</v>
      </c>
      <c r="G106" s="2882">
        <f>0.7371/G101</f>
        <v>1.7978048780487805</v>
      </c>
      <c r="H106" s="2882">
        <f>0.7371/H101</f>
        <v>1.7978048780487805</v>
      </c>
      <c r="I106" s="2882">
        <f>0.7371/I101</f>
        <v>1.7978048780487805</v>
      </c>
      <c r="J106" s="2882">
        <f>0.5659/J101</f>
        <v>1.3802439024390243</v>
      </c>
      <c r="K106" s="2882">
        <f>0.5659/K101</f>
        <v>1.3802439024390243</v>
      </c>
      <c r="L106" s="2882">
        <f>0.5659/L101</f>
        <v>1.3802439024390243</v>
      </c>
      <c r="M106" s="2882">
        <f>0.5659/M101</f>
        <v>1.3802439024390243</v>
      </c>
      <c r="N106" s="2882">
        <f>0.5659/N101</f>
        <v>1.3802439024390243</v>
      </c>
    </row>
    <row r="107" spans="1:14">
      <c r="A107" s="3430"/>
      <c r="B107" s="2881">
        <v>6</v>
      </c>
      <c r="C107" s="2882">
        <f>0.7608/C101</f>
        <v>1.8556097560975611</v>
      </c>
      <c r="D107" s="2882">
        <f>0.7608/D101</f>
        <v>1.8556097560975611</v>
      </c>
      <c r="E107" s="2882">
        <f>0.6482/E101</f>
        <v>1.5809756097560976</v>
      </c>
      <c r="F107" s="2882">
        <f>0.6482/F101</f>
        <v>1.5809756097560976</v>
      </c>
      <c r="G107" s="2882">
        <f>0.6482/G101</f>
        <v>1.5809756097560976</v>
      </c>
      <c r="H107" s="2882">
        <f>0.6482/H101</f>
        <v>1.5809756097560976</v>
      </c>
      <c r="I107" s="2882">
        <f>0.6482/I101</f>
        <v>1.5809756097560976</v>
      </c>
      <c r="J107" s="2882">
        <f>0.4525/J101</f>
        <v>1.1036585365853659</v>
      </c>
      <c r="K107" s="2882">
        <f>0.4525/K101</f>
        <v>1.1036585365853659</v>
      </c>
      <c r="L107" s="2882">
        <f>0.4525/L101</f>
        <v>1.1036585365853659</v>
      </c>
      <c r="M107" s="2882">
        <f>0.4525/M101</f>
        <v>1.1036585365853659</v>
      </c>
      <c r="N107" s="2882">
        <f>0.4525/N101</f>
        <v>1.1036585365853659</v>
      </c>
    </row>
    <row r="108" spans="1:14">
      <c r="A108" s="3430"/>
      <c r="B108" s="3285"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31"/>
      <c r="B109" s="3286"/>
      <c r="C109" s="2884">
        <f>(-0.163*(C108^2)-0.59*C108+7617)*(10^(-4))/C101</f>
        <v>1.8578048780487808</v>
      </c>
      <c r="D109" s="2884">
        <f>(-0.163*(D108^2)-0.59*D108+7617)*(10^(-4))/D101</f>
        <v>1.8578048780487808</v>
      </c>
      <c r="E109" s="2884">
        <f>(-0.161*(E108^2)-7.509*E108+6533)*(10^(-4))/E101</f>
        <v>1.5934146341463415</v>
      </c>
      <c r="F109" s="2884">
        <f>(-0.161*(F108^2)-7.509*F108+6533)*(10^(-4))/F101</f>
        <v>1.5934146341463415</v>
      </c>
      <c r="G109" s="2884">
        <f>(-0.161*(G108^2)-7.509*G108+6533)*(10^(-4))/G101</f>
        <v>1.5934146341463415</v>
      </c>
      <c r="H109" s="2884">
        <f>(-0.161*(H108^2)-7.509*H108+6533)*(10^(-4))/H101</f>
        <v>1.5934146341463415</v>
      </c>
      <c r="I109" s="2884">
        <f>(-0.161*(I108^2)-7.509*I108+6533)*(10^(-4))/I101</f>
        <v>1.5934146341463415</v>
      </c>
      <c r="J109" s="2884">
        <f>(-0.214*(J108^2)-21.991*J108+4665)*(10^(-4))/J101</f>
        <v>1.1378048780487806</v>
      </c>
      <c r="K109" s="2884">
        <f>(-0.214*(K108^2)-21.991*K108+4665)*(10^(-4))/K101</f>
        <v>1.1378048780487806</v>
      </c>
      <c r="L109" s="2884">
        <f>(-0.214*(L108^2)-21.991*L108+4665)*(10^(-4))/L101</f>
        <v>1.1378048780487806</v>
      </c>
      <c r="M109" s="2884">
        <f>(-0.214*(M108^2)-21.991*M108+4665)*(10^(-4))/M101</f>
        <v>1.1378048780487806</v>
      </c>
      <c r="N109" s="2884">
        <f>(-0.214*(N108^2)-21.991*N108+4665)*(10^(-4))/N101</f>
        <v>1.1378048780487806</v>
      </c>
    </row>
    <row r="110" spans="1:14" ht="13">
      <c r="A110" s="3427" t="s">
        <v>2974</v>
      </c>
      <c r="B110" s="3427"/>
      <c r="C110" s="3427"/>
      <c r="D110" s="3427"/>
      <c r="E110" s="3427"/>
      <c r="F110" s="3427"/>
      <c r="G110" s="3427"/>
      <c r="H110" s="3427"/>
      <c r="I110" s="3427"/>
      <c r="J110" s="3427"/>
      <c r="K110" s="2887"/>
      <c r="L110" s="2887"/>
      <c r="M110" s="2887"/>
      <c r="N110" s="2887"/>
    </row>
    <row r="112" spans="1:14" ht="13" thickBot="1"/>
    <row r="113" spans="1:13" ht="26" thickBot="1">
      <c r="A113" s="903" t="s">
        <v>2975</v>
      </c>
      <c r="B113" s="1287">
        <f>G3</f>
        <v>0.41</v>
      </c>
      <c r="C113" s="904" t="s">
        <v>2976</v>
      </c>
      <c r="D113" s="905">
        <f>SUMPRODUCT((A115:A118=F113)*(B114:M114=H113)*B115:M118)</f>
        <v>0</v>
      </c>
      <c r="E113" s="2718" t="s">
        <v>2808</v>
      </c>
      <c r="F113" s="2889">
        <f>E2</f>
        <v>0</v>
      </c>
      <c r="G113" s="2718" t="s">
        <v>2809</v>
      </c>
      <c r="H113" s="2889">
        <f>G2</f>
        <v>0</v>
      </c>
      <c r="I113" s="2718"/>
      <c r="J113" s="2890"/>
      <c r="K113" s="2890"/>
      <c r="L113" s="2890"/>
      <c r="M113" s="2890"/>
    </row>
    <row r="114" spans="1:13" ht="13">
      <c r="A114" s="908"/>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ht="13">
      <c r="A115" s="909" t="s">
        <v>2873</v>
      </c>
      <c r="B115" s="910">
        <f>ROUND(0.9335-0.0094*B113,4)</f>
        <v>0.92959999999999998</v>
      </c>
      <c r="C115" s="910">
        <f>B115</f>
        <v>0.92959999999999998</v>
      </c>
      <c r="D115" s="910">
        <f>ROUND(0.8331-0.0109*B113,4)</f>
        <v>0.8286</v>
      </c>
      <c r="E115" s="910">
        <f>D115</f>
        <v>0.8286</v>
      </c>
      <c r="F115" s="910">
        <f>E115</f>
        <v>0.8286</v>
      </c>
      <c r="G115" s="910">
        <f>F115</f>
        <v>0.8286</v>
      </c>
      <c r="H115" s="910">
        <f>G115</f>
        <v>0.8286</v>
      </c>
      <c r="I115" s="910">
        <f>ROUND(0.689-0.0155*B113,4)</f>
        <v>0.68259999999999998</v>
      </c>
      <c r="J115" s="910">
        <f t="shared" ref="J115:M118" si="33">I115</f>
        <v>0.68259999999999998</v>
      </c>
      <c r="K115" s="910">
        <f t="shared" si="33"/>
        <v>0.68259999999999998</v>
      </c>
      <c r="L115" s="910">
        <f t="shared" si="33"/>
        <v>0.68259999999999998</v>
      </c>
      <c r="M115" s="911">
        <f t="shared" si="33"/>
        <v>0.68259999999999998</v>
      </c>
    </row>
    <row r="116" spans="1:13" ht="13">
      <c r="A116" s="909" t="s">
        <v>2874</v>
      </c>
      <c r="B116" s="910">
        <f>ROUND(0.949-0.012*B113,4)</f>
        <v>0.94410000000000005</v>
      </c>
      <c r="C116" s="910">
        <f>B116</f>
        <v>0.94410000000000005</v>
      </c>
      <c r="D116" s="910">
        <f>ROUND(0.8567-0.013*B113,4)</f>
        <v>0.85140000000000005</v>
      </c>
      <c r="E116" s="910">
        <f t="shared" ref="E116:H117" si="34">D116</f>
        <v>0.85140000000000005</v>
      </c>
      <c r="F116" s="910">
        <f t="shared" si="34"/>
        <v>0.85140000000000005</v>
      </c>
      <c r="G116" s="910">
        <f t="shared" si="34"/>
        <v>0.85140000000000005</v>
      </c>
      <c r="H116" s="910">
        <f t="shared" si="34"/>
        <v>0.85140000000000005</v>
      </c>
      <c r="I116" s="910">
        <f>ROUND(0.7694-0.014*B113,4)</f>
        <v>0.76370000000000005</v>
      </c>
      <c r="J116" s="910">
        <f t="shared" si="33"/>
        <v>0.76370000000000005</v>
      </c>
      <c r="K116" s="910">
        <f t="shared" si="33"/>
        <v>0.76370000000000005</v>
      </c>
      <c r="L116" s="910">
        <f t="shared" si="33"/>
        <v>0.76370000000000005</v>
      </c>
      <c r="M116" s="911">
        <f t="shared" si="33"/>
        <v>0.76370000000000005</v>
      </c>
    </row>
    <row r="117" spans="1:13" ht="13">
      <c r="A117" s="909" t="s">
        <v>2875</v>
      </c>
      <c r="B117" s="910">
        <f>ROUND(0.8808-0.006*B113,4)</f>
        <v>0.87829999999999997</v>
      </c>
      <c r="C117" s="910">
        <f>B117</f>
        <v>0.87829999999999997</v>
      </c>
      <c r="D117" s="910">
        <f>ROUND(0.8748-0.008*B113,4)</f>
        <v>0.87150000000000005</v>
      </c>
      <c r="E117" s="910">
        <f t="shared" si="34"/>
        <v>0.87150000000000005</v>
      </c>
      <c r="F117" s="910">
        <f t="shared" si="34"/>
        <v>0.87150000000000005</v>
      </c>
      <c r="G117" s="910">
        <f t="shared" si="34"/>
        <v>0.87150000000000005</v>
      </c>
      <c r="H117" s="910">
        <f t="shared" si="34"/>
        <v>0.87150000000000005</v>
      </c>
      <c r="I117" s="910">
        <f>ROUND(0.7412-0.0095*B113,4)</f>
        <v>0.73729999999999996</v>
      </c>
      <c r="J117" s="910">
        <f t="shared" si="33"/>
        <v>0.73729999999999996</v>
      </c>
      <c r="K117" s="910">
        <f t="shared" si="33"/>
        <v>0.73729999999999996</v>
      </c>
      <c r="L117" s="910">
        <f t="shared" si="33"/>
        <v>0.73729999999999996</v>
      </c>
      <c r="M117" s="911">
        <f t="shared" si="33"/>
        <v>0.73729999999999996</v>
      </c>
    </row>
    <row r="118" spans="1:13" ht="13.5" thickBot="1">
      <c r="A118" s="714" t="s">
        <v>2876</v>
      </c>
      <c r="B118" s="912">
        <f>ROUND(0.7275-0.01*B113,4)</f>
        <v>0.72340000000000004</v>
      </c>
      <c r="C118" s="912">
        <f>B118</f>
        <v>0.72340000000000004</v>
      </c>
      <c r="D118" s="912">
        <f>ROUND(0.7043-0.012*B113,4)</f>
        <v>0.69940000000000002</v>
      </c>
      <c r="E118" s="912">
        <f>D118</f>
        <v>0.69940000000000002</v>
      </c>
      <c r="F118" s="912">
        <f>E118</f>
        <v>0.69940000000000002</v>
      </c>
      <c r="G118" s="912">
        <f>ROUND(0.6299-0.0122*B113,4)</f>
        <v>0.62490000000000001</v>
      </c>
      <c r="H118" s="912">
        <f>G118</f>
        <v>0.62490000000000001</v>
      </c>
      <c r="I118" s="912">
        <f>ROUND(0.5667-0.0136*B113,4)</f>
        <v>0.56110000000000004</v>
      </c>
      <c r="J118" s="912">
        <f t="shared" si="33"/>
        <v>0.56110000000000004</v>
      </c>
      <c r="K118" s="912">
        <f t="shared" si="33"/>
        <v>0.56110000000000004</v>
      </c>
      <c r="L118" s="912">
        <f t="shared" si="33"/>
        <v>0.56110000000000004</v>
      </c>
      <c r="M118" s="913">
        <f t="shared" si="33"/>
        <v>0.56110000000000004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6953125" defaultRowHeight="19.5" customHeight="1"/>
  <cols>
    <col min="1" max="1" width="13.6328125" style="816" customWidth="1"/>
    <col min="2" max="9" width="8.26953125" style="878" customWidth="1"/>
    <col min="10" max="13" width="8.26953125" style="816"/>
    <col min="14" max="14" width="10" style="816" customWidth="1"/>
    <col min="15" max="16" width="8.26953125" style="816"/>
    <col min="17" max="17" width="34.08984375" style="816" customWidth="1"/>
    <col min="18" max="18" width="8.26953125" style="816" customWidth="1"/>
    <col min="19" max="19" width="8.26953125" style="816"/>
    <col min="20" max="20" width="11.6328125" style="816" customWidth="1"/>
    <col min="21" max="16384" width="8.26953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37" t="s">
        <v>183</v>
      </c>
      <c r="B18" s="882" t="s">
        <v>560</v>
      </c>
      <c r="C18" s="883" t="s">
        <v>561</v>
      </c>
      <c r="D18" s="884"/>
      <c r="E18" s="882">
        <v>1</v>
      </c>
      <c r="F18" s="885" t="s">
        <v>562</v>
      </c>
      <c r="G18" s="886"/>
      <c r="H18" s="878"/>
      <c r="I18" s="878"/>
    </row>
    <row r="19" spans="1:9" s="887" customFormat="1" ht="19.5" customHeight="1">
      <c r="A19" s="3437"/>
      <c r="B19" s="3437" t="s">
        <v>563</v>
      </c>
      <c r="C19" s="883" t="s">
        <v>564</v>
      </c>
      <c r="D19" s="884"/>
      <c r="E19" s="882">
        <v>0.9</v>
      </c>
      <c r="F19" s="885" t="s">
        <v>565</v>
      </c>
      <c r="G19" s="886"/>
      <c r="H19" s="878"/>
      <c r="I19" s="878"/>
    </row>
    <row r="20" spans="1:9" s="887" customFormat="1" ht="19.5" customHeight="1">
      <c r="A20" s="3437"/>
      <c r="B20" s="3437"/>
      <c r="C20" s="883" t="s">
        <v>566</v>
      </c>
      <c r="D20" s="884"/>
      <c r="E20" s="882">
        <v>1.1000000000000001</v>
      </c>
      <c r="F20" s="885" t="s">
        <v>567</v>
      </c>
      <c r="G20" s="886"/>
      <c r="H20" s="878"/>
      <c r="I20" s="878"/>
    </row>
    <row r="21" spans="1:9" s="887" customFormat="1" ht="19.5" customHeight="1">
      <c r="A21" s="3437"/>
      <c r="B21" s="3437"/>
      <c r="C21" s="883" t="s">
        <v>568</v>
      </c>
      <c r="D21" s="884"/>
      <c r="E21" s="882">
        <v>0.8</v>
      </c>
      <c r="F21" s="885" t="s">
        <v>569</v>
      </c>
      <c r="G21" s="886"/>
      <c r="H21" s="878"/>
      <c r="I21" s="878"/>
    </row>
    <row r="22" spans="1:9" s="887" customFormat="1" ht="19.5" customHeight="1">
      <c r="A22" s="3437"/>
      <c r="B22" s="3437"/>
      <c r="C22" s="883" t="s">
        <v>570</v>
      </c>
      <c r="D22" s="884"/>
      <c r="E22" s="882">
        <v>0.5</v>
      </c>
      <c r="F22" s="885"/>
      <c r="G22" s="886"/>
      <c r="H22" s="878"/>
      <c r="I22" s="878"/>
    </row>
    <row r="23" spans="1:9" s="887" customFormat="1" ht="19.5" customHeight="1">
      <c r="A23" s="3437" t="s">
        <v>184</v>
      </c>
      <c r="B23" s="882" t="s">
        <v>560</v>
      </c>
      <c r="C23" s="883" t="s">
        <v>571</v>
      </c>
      <c r="D23" s="884"/>
      <c r="E23" s="882">
        <v>1</v>
      </c>
      <c r="F23" s="885" t="s">
        <v>572</v>
      </c>
      <c r="G23" s="886"/>
      <c r="H23" s="878"/>
      <c r="I23" s="878"/>
    </row>
    <row r="24" spans="1:9" s="887" customFormat="1" ht="19.5" customHeight="1">
      <c r="A24" s="3437"/>
      <c r="B24" s="3437" t="s">
        <v>563</v>
      </c>
      <c r="C24" s="883" t="s">
        <v>573</v>
      </c>
      <c r="D24" s="884"/>
      <c r="E24" s="882">
        <v>0.5</v>
      </c>
      <c r="F24" s="885"/>
      <c r="G24" s="886"/>
      <c r="H24" s="878"/>
      <c r="I24" s="878"/>
    </row>
    <row r="25" spans="1:9" s="887" customFormat="1" ht="19.5" customHeight="1">
      <c r="A25" s="3437"/>
      <c r="B25" s="3437"/>
      <c r="C25" s="883" t="s">
        <v>574</v>
      </c>
      <c r="D25" s="884"/>
      <c r="E25" s="882">
        <v>1.1000000000000001</v>
      </c>
      <c r="F25" s="885"/>
      <c r="G25" s="886"/>
      <c r="H25" s="878"/>
      <c r="I25" s="878"/>
    </row>
    <row r="26" spans="1:9" s="887" customFormat="1" ht="19.5" customHeight="1">
      <c r="A26" s="3437"/>
      <c r="B26" s="3437"/>
      <c r="C26" s="883" t="s">
        <v>575</v>
      </c>
      <c r="D26" s="884"/>
      <c r="E26" s="882">
        <v>1.1000000000000001</v>
      </c>
      <c r="F26" s="885"/>
      <c r="G26" s="886"/>
      <c r="H26" s="878"/>
      <c r="I26" s="878"/>
    </row>
    <row r="27" spans="1:9" s="887" customFormat="1" ht="19.5" customHeight="1">
      <c r="A27" s="3437"/>
      <c r="B27" s="3437"/>
      <c r="C27" s="883" t="s">
        <v>576</v>
      </c>
      <c r="D27" s="884"/>
      <c r="E27" s="882">
        <v>0.9</v>
      </c>
      <c r="F27" s="885" t="s">
        <v>577</v>
      </c>
      <c r="G27" s="886"/>
      <c r="H27" s="878"/>
      <c r="I27" s="878"/>
    </row>
    <row r="28" spans="1:9" s="887" customFormat="1" ht="19.5" customHeight="1">
      <c r="A28" s="3437"/>
      <c r="B28" s="3437"/>
      <c r="C28" s="883" t="s">
        <v>578</v>
      </c>
      <c r="D28" s="884"/>
      <c r="E28" s="882">
        <v>0.9</v>
      </c>
      <c r="F28" s="885" t="s">
        <v>579</v>
      </c>
      <c r="G28" s="886"/>
      <c r="H28" s="878"/>
      <c r="I28" s="878"/>
    </row>
    <row r="29" spans="1:9" s="887" customFormat="1" ht="19.5" customHeight="1">
      <c r="A29" s="3437"/>
      <c r="B29" s="3437"/>
      <c r="C29" s="883" t="s">
        <v>580</v>
      </c>
      <c r="D29" s="884"/>
      <c r="E29" s="882">
        <v>0.9</v>
      </c>
      <c r="F29" s="885" t="s">
        <v>581</v>
      </c>
      <c r="G29" s="886"/>
      <c r="H29" s="878"/>
      <c r="I29" s="878"/>
    </row>
    <row r="30" spans="1:9" s="887" customFormat="1" ht="19.5" customHeight="1">
      <c r="A30" s="3437"/>
      <c r="B30" s="3437"/>
      <c r="C30" s="883" t="s">
        <v>582</v>
      </c>
      <c r="D30" s="884"/>
      <c r="E30" s="882">
        <v>0.9</v>
      </c>
      <c r="F30" s="885" t="s">
        <v>583</v>
      </c>
      <c r="G30" s="886"/>
      <c r="H30" s="878"/>
      <c r="I30" s="878"/>
    </row>
    <row r="31" spans="1:9" s="887" customFormat="1" ht="19.5" customHeight="1">
      <c r="A31" s="3437"/>
      <c r="B31" s="3437"/>
      <c r="C31" s="883" t="s">
        <v>584</v>
      </c>
      <c r="D31" s="884"/>
      <c r="E31" s="882">
        <v>0.8</v>
      </c>
      <c r="F31" s="885" t="s">
        <v>585</v>
      </c>
      <c r="G31" s="886"/>
      <c r="H31" s="878"/>
      <c r="I31" s="878"/>
    </row>
    <row r="32" spans="1:9" s="887" customFormat="1" ht="19.5" customHeight="1">
      <c r="A32" s="3437"/>
      <c r="B32" s="3437"/>
      <c r="C32" s="883" t="s">
        <v>586</v>
      </c>
      <c r="D32" s="884"/>
      <c r="E32" s="882">
        <v>0.8</v>
      </c>
      <c r="F32" s="885" t="s">
        <v>587</v>
      </c>
      <c r="G32" s="886"/>
      <c r="H32" s="878"/>
      <c r="I32" s="878"/>
    </row>
    <row r="33" spans="1:9" s="887" customFormat="1" ht="19.5" customHeight="1">
      <c r="A33" s="3437" t="s">
        <v>185</v>
      </c>
      <c r="B33" s="882" t="s">
        <v>560</v>
      </c>
      <c r="C33" s="883" t="s">
        <v>588</v>
      </c>
      <c r="D33" s="884"/>
      <c r="E33" s="882">
        <v>1</v>
      </c>
      <c r="F33" s="885" t="s">
        <v>589</v>
      </c>
      <c r="G33" s="886"/>
      <c r="H33" s="878"/>
      <c r="I33" s="878"/>
    </row>
    <row r="34" spans="1:9" s="887" customFormat="1" ht="19.5" customHeight="1">
      <c r="A34" s="3437"/>
      <c r="B34" s="882" t="s">
        <v>563</v>
      </c>
      <c r="C34" s="883" t="s">
        <v>590</v>
      </c>
      <c r="D34" s="884"/>
      <c r="E34" s="882">
        <v>1.5</v>
      </c>
      <c r="F34" s="885" t="s">
        <v>591</v>
      </c>
      <c r="G34" s="886"/>
      <c r="H34" s="878"/>
      <c r="I34" s="878"/>
    </row>
    <row r="35" spans="1:9" s="887" customFormat="1" ht="19.5" customHeight="1">
      <c r="A35" s="3437" t="s">
        <v>186</v>
      </c>
      <c r="B35" s="882" t="s">
        <v>560</v>
      </c>
      <c r="C35" s="883" t="s">
        <v>592</v>
      </c>
      <c r="D35" s="884"/>
      <c r="E35" s="882">
        <v>1</v>
      </c>
      <c r="F35" s="885" t="s">
        <v>593</v>
      </c>
      <c r="G35" s="886"/>
      <c r="H35" s="878"/>
      <c r="I35" s="878"/>
    </row>
    <row r="36" spans="1:9" s="887" customFormat="1" ht="19.5" customHeight="1">
      <c r="A36" s="3437"/>
      <c r="B36" s="3437" t="s">
        <v>563</v>
      </c>
      <c r="C36" s="883" t="s">
        <v>594</v>
      </c>
      <c r="D36" s="884"/>
      <c r="E36" s="882">
        <v>1</v>
      </c>
      <c r="F36" s="885" t="s">
        <v>595</v>
      </c>
      <c r="G36" s="886"/>
      <c r="H36" s="878"/>
      <c r="I36" s="878"/>
    </row>
    <row r="37" spans="1:9" s="887" customFormat="1" ht="19.5" customHeight="1">
      <c r="A37" s="3437"/>
      <c r="B37" s="3437"/>
      <c r="C37" s="883" t="s">
        <v>596</v>
      </c>
      <c r="D37" s="884"/>
      <c r="E37" s="882">
        <v>1.5</v>
      </c>
      <c r="F37" s="885" t="s">
        <v>597</v>
      </c>
      <c r="G37" s="886"/>
      <c r="H37" s="878"/>
      <c r="I37" s="878"/>
    </row>
    <row r="38" spans="1:9" s="887" customFormat="1" ht="19.5" customHeight="1">
      <c r="A38" s="3437"/>
      <c r="B38" s="3437"/>
      <c r="C38" s="883" t="s">
        <v>598</v>
      </c>
      <c r="D38" s="884"/>
      <c r="E38" s="882">
        <v>1</v>
      </c>
      <c r="F38" s="885" t="s">
        <v>599</v>
      </c>
      <c r="G38" s="886"/>
      <c r="H38" s="878"/>
      <c r="I38" s="878"/>
    </row>
    <row r="39" spans="1:9" s="887" customFormat="1" ht="19.5" customHeight="1">
      <c r="A39" s="3437"/>
      <c r="B39" s="343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437" t="s">
        <v>614</v>
      </c>
      <c r="C61" s="818" t="s">
        <v>615</v>
      </c>
      <c r="D61" s="818" t="s">
        <v>616</v>
      </c>
      <c r="E61" s="895">
        <v>0.5</v>
      </c>
      <c r="F61" s="882">
        <v>80</v>
      </c>
    </row>
    <row r="62" spans="1:8" s="878" customFormat="1" ht="26">
      <c r="A62" s="882">
        <v>2</v>
      </c>
      <c r="B62" s="3437"/>
      <c r="C62" s="818" t="s">
        <v>617</v>
      </c>
      <c r="D62" s="818" t="s">
        <v>618</v>
      </c>
      <c r="E62" s="895">
        <v>0.5</v>
      </c>
      <c r="F62" s="882">
        <v>80</v>
      </c>
    </row>
    <row r="63" spans="1:8" s="878" customFormat="1" ht="39">
      <c r="A63" s="882">
        <v>3</v>
      </c>
      <c r="B63" s="3437"/>
      <c r="C63" s="818" t="s">
        <v>619</v>
      </c>
      <c r="D63" s="818" t="s">
        <v>620</v>
      </c>
      <c r="E63" s="895">
        <v>0.5</v>
      </c>
      <c r="F63" s="882">
        <v>80</v>
      </c>
    </row>
    <row r="64" spans="1:8" s="878" customFormat="1" ht="39">
      <c r="A64" s="882">
        <v>4</v>
      </c>
      <c r="B64" s="3437"/>
      <c r="C64" s="818" t="s">
        <v>621</v>
      </c>
      <c r="D64" s="818" t="s">
        <v>622</v>
      </c>
      <c r="E64" s="895">
        <v>0.4</v>
      </c>
      <c r="F64" s="882">
        <v>60</v>
      </c>
    </row>
    <row r="65" spans="1:6" s="878" customFormat="1" ht="39">
      <c r="A65" s="882">
        <v>5</v>
      </c>
      <c r="B65" s="3437"/>
      <c r="C65" s="818" t="s">
        <v>623</v>
      </c>
      <c r="D65" s="818" t="s">
        <v>624</v>
      </c>
      <c r="E65" s="895">
        <v>0.2</v>
      </c>
      <c r="F65" s="882">
        <v>30</v>
      </c>
    </row>
    <row r="66" spans="1:6" s="878" customFormat="1" ht="39">
      <c r="A66" s="882">
        <v>6</v>
      </c>
      <c r="B66" s="3437"/>
      <c r="C66" s="818" t="s">
        <v>625</v>
      </c>
      <c r="D66" s="818" t="s">
        <v>626</v>
      </c>
      <c r="E66" s="895">
        <v>0.3</v>
      </c>
      <c r="F66" s="882">
        <v>50</v>
      </c>
    </row>
    <row r="67" spans="1:6" s="878" customFormat="1" ht="39">
      <c r="A67" s="882">
        <v>7</v>
      </c>
      <c r="B67" s="3437"/>
      <c r="C67" s="818" t="s">
        <v>627</v>
      </c>
      <c r="D67" s="818" t="s">
        <v>628</v>
      </c>
      <c r="E67" s="895">
        <v>0.2</v>
      </c>
      <c r="F67" s="882">
        <v>30</v>
      </c>
    </row>
    <row r="68" spans="1:6" s="878" customFormat="1" ht="39">
      <c r="A68" s="882">
        <v>8</v>
      </c>
      <c r="B68" s="3437"/>
      <c r="C68" s="818" t="s">
        <v>629</v>
      </c>
      <c r="D68" s="818" t="s">
        <v>630</v>
      </c>
      <c r="E68" s="895">
        <v>0.2</v>
      </c>
      <c r="F68" s="882">
        <v>30</v>
      </c>
    </row>
    <row r="69" spans="1:6" s="878" customFormat="1" ht="39">
      <c r="A69" s="882">
        <v>9</v>
      </c>
      <c r="B69" s="3437"/>
      <c r="C69" s="818" t="s">
        <v>631</v>
      </c>
      <c r="D69" s="818" t="s">
        <v>632</v>
      </c>
      <c r="E69" s="895">
        <v>0.2</v>
      </c>
      <c r="F69" s="882">
        <v>30</v>
      </c>
    </row>
    <row r="70" spans="1:6" s="878" customFormat="1" ht="52">
      <c r="A70" s="882">
        <v>10</v>
      </c>
      <c r="B70" s="3437"/>
      <c r="C70" s="818" t="s">
        <v>633</v>
      </c>
      <c r="D70" s="818" t="s">
        <v>634</v>
      </c>
      <c r="E70" s="895">
        <v>0.2</v>
      </c>
      <c r="F70" s="882">
        <v>30</v>
      </c>
    </row>
    <row r="71" spans="1:6" s="878" customFormat="1" ht="52">
      <c r="A71" s="882">
        <v>11</v>
      </c>
      <c r="B71" s="3437"/>
      <c r="C71" s="818" t="s">
        <v>635</v>
      </c>
      <c r="D71" s="818" t="s">
        <v>636</v>
      </c>
      <c r="E71" s="895">
        <v>0.2</v>
      </c>
      <c r="F71" s="882">
        <v>30</v>
      </c>
    </row>
    <row r="72" spans="1:6" s="878" customFormat="1" ht="39">
      <c r="A72" s="882">
        <v>12</v>
      </c>
      <c r="B72" s="3437"/>
      <c r="C72" s="818" t="s">
        <v>637</v>
      </c>
      <c r="D72" s="818" t="s">
        <v>638</v>
      </c>
      <c r="E72" s="895">
        <v>0.5</v>
      </c>
      <c r="F72" s="882">
        <v>80</v>
      </c>
    </row>
    <row r="73" spans="1:6" s="878" customFormat="1" ht="26">
      <c r="A73" s="882">
        <v>13</v>
      </c>
      <c r="B73" s="3437"/>
      <c r="C73" s="818" t="s">
        <v>639</v>
      </c>
      <c r="D73" s="818" t="s">
        <v>640</v>
      </c>
      <c r="E73" s="895">
        <v>0.4</v>
      </c>
      <c r="F73" s="882">
        <v>60</v>
      </c>
    </row>
    <row r="74" spans="1:6" s="878" customFormat="1" ht="26">
      <c r="A74" s="882">
        <v>14</v>
      </c>
      <c r="B74" s="3437"/>
      <c r="C74" s="818" t="s">
        <v>641</v>
      </c>
      <c r="D74" s="818" t="s">
        <v>642</v>
      </c>
      <c r="E74" s="895">
        <v>0.2</v>
      </c>
      <c r="F74" s="882">
        <v>30</v>
      </c>
    </row>
    <row r="75" spans="1:6" s="878" customFormat="1" ht="26">
      <c r="A75" s="882">
        <v>15</v>
      </c>
      <c r="B75" s="3437"/>
      <c r="C75" s="818" t="s">
        <v>643</v>
      </c>
      <c r="D75" s="818" t="s">
        <v>644</v>
      </c>
      <c r="E75" s="895">
        <v>0.2</v>
      </c>
      <c r="F75" s="882">
        <v>30</v>
      </c>
    </row>
    <row r="76" spans="1:6" s="878" customFormat="1" ht="26">
      <c r="A76" s="882">
        <v>16</v>
      </c>
      <c r="B76" s="3437" t="s">
        <v>645</v>
      </c>
      <c r="C76" s="818" t="s">
        <v>646</v>
      </c>
      <c r="D76" s="818" t="s">
        <v>647</v>
      </c>
      <c r="E76" s="895">
        <v>0.5</v>
      </c>
      <c r="F76" s="882">
        <v>80</v>
      </c>
    </row>
    <row r="77" spans="1:6" s="878" customFormat="1" ht="26">
      <c r="A77" s="882">
        <v>17</v>
      </c>
      <c r="B77" s="3437"/>
      <c r="C77" s="818" t="s">
        <v>648</v>
      </c>
      <c r="D77" s="818" t="s">
        <v>649</v>
      </c>
      <c r="E77" s="895">
        <v>0.5</v>
      </c>
      <c r="F77" s="882">
        <v>80</v>
      </c>
    </row>
    <row r="78" spans="1:6" s="878" customFormat="1" ht="26">
      <c r="A78" s="882">
        <v>18</v>
      </c>
      <c r="B78" s="3437"/>
      <c r="C78" s="818" t="s">
        <v>650</v>
      </c>
      <c r="D78" s="818" t="s">
        <v>651</v>
      </c>
      <c r="E78" s="895">
        <v>0.2</v>
      </c>
      <c r="F78" s="882">
        <v>30</v>
      </c>
    </row>
    <row r="79" spans="1:6" s="878" customFormat="1" ht="26">
      <c r="A79" s="882">
        <v>19</v>
      </c>
      <c r="B79" s="3437"/>
      <c r="C79" s="818" t="s">
        <v>652</v>
      </c>
      <c r="D79" s="818" t="s">
        <v>653</v>
      </c>
      <c r="E79" s="895">
        <v>0.5</v>
      </c>
      <c r="F79" s="882">
        <v>80</v>
      </c>
    </row>
    <row r="80" spans="1:6" s="878" customFormat="1" ht="39">
      <c r="A80" s="882">
        <v>20</v>
      </c>
      <c r="B80" s="3437"/>
      <c r="C80" s="818" t="s">
        <v>654</v>
      </c>
      <c r="D80" s="818" t="s">
        <v>655</v>
      </c>
      <c r="E80" s="895">
        <v>0.2</v>
      </c>
      <c r="F80" s="882">
        <v>30</v>
      </c>
    </row>
    <row r="81" spans="1:6" s="878" customFormat="1" ht="39">
      <c r="A81" s="882">
        <v>21</v>
      </c>
      <c r="B81" s="3437"/>
      <c r="C81" s="818" t="s">
        <v>656</v>
      </c>
      <c r="D81" s="818" t="s">
        <v>657</v>
      </c>
      <c r="E81" s="895">
        <v>0.2</v>
      </c>
      <c r="F81" s="882">
        <v>30</v>
      </c>
    </row>
    <row r="82" spans="1:6" s="878" customFormat="1" ht="52">
      <c r="A82" s="882">
        <v>22</v>
      </c>
      <c r="B82" s="3437"/>
      <c r="C82" s="818" t="s">
        <v>658</v>
      </c>
      <c r="D82" s="818" t="s">
        <v>659</v>
      </c>
      <c r="E82" s="895">
        <v>0.2</v>
      </c>
      <c r="F82" s="882">
        <v>30</v>
      </c>
    </row>
    <row r="83" spans="1:6" s="878" customFormat="1" ht="52">
      <c r="A83" s="882">
        <v>23</v>
      </c>
      <c r="B83" s="3437"/>
      <c r="C83" s="818" t="s">
        <v>660</v>
      </c>
      <c r="D83" s="818" t="s">
        <v>661</v>
      </c>
      <c r="E83" s="895">
        <v>0.2</v>
      </c>
      <c r="F83" s="882">
        <v>30</v>
      </c>
    </row>
    <row r="84" spans="1:6" s="878" customFormat="1" ht="39">
      <c r="A84" s="882">
        <v>24</v>
      </c>
      <c r="B84" s="3437"/>
      <c r="C84" s="818" t="s">
        <v>662</v>
      </c>
      <c r="D84" s="818" t="s">
        <v>663</v>
      </c>
      <c r="E84" s="895">
        <v>0.2</v>
      </c>
      <c r="F84" s="882">
        <v>30</v>
      </c>
    </row>
    <row r="85" spans="1:6" s="878" customFormat="1" ht="39">
      <c r="A85" s="882">
        <v>25</v>
      </c>
      <c r="B85" s="3437"/>
      <c r="C85" s="818" t="s">
        <v>664</v>
      </c>
      <c r="D85" s="818" t="s">
        <v>665</v>
      </c>
      <c r="E85" s="895">
        <v>0.5</v>
      </c>
      <c r="F85" s="882">
        <v>80</v>
      </c>
    </row>
    <row r="86" spans="1:6" s="878" customFormat="1" ht="39">
      <c r="A86" s="882">
        <v>26</v>
      </c>
      <c r="B86" s="3437"/>
      <c r="C86" s="818" t="s">
        <v>666</v>
      </c>
      <c r="D86" s="818" t="s">
        <v>667</v>
      </c>
      <c r="E86" s="895">
        <v>0.2</v>
      </c>
      <c r="F86" s="882">
        <v>30</v>
      </c>
    </row>
    <row r="87" spans="1:6" s="878" customFormat="1" ht="39">
      <c r="A87" s="882">
        <v>27</v>
      </c>
      <c r="B87" s="3437"/>
      <c r="C87" s="818" t="s">
        <v>668</v>
      </c>
      <c r="D87" s="818" t="s">
        <v>669</v>
      </c>
      <c r="E87" s="895">
        <v>0.2</v>
      </c>
      <c r="F87" s="882">
        <v>30</v>
      </c>
    </row>
    <row r="88" spans="1:6" s="878" customFormat="1" ht="39">
      <c r="A88" s="882">
        <v>28</v>
      </c>
      <c r="B88" s="3437"/>
      <c r="C88" s="818" t="s">
        <v>670</v>
      </c>
      <c r="D88" s="818" t="s">
        <v>671</v>
      </c>
      <c r="E88" s="895">
        <v>0.2</v>
      </c>
      <c r="F88" s="882">
        <v>30</v>
      </c>
    </row>
    <row r="89" spans="1:6" s="878" customFormat="1" ht="26">
      <c r="A89" s="882">
        <v>29</v>
      </c>
      <c r="B89" s="3437"/>
      <c r="C89" s="818" t="s">
        <v>672</v>
      </c>
      <c r="D89" s="818" t="s">
        <v>673</v>
      </c>
      <c r="E89" s="895">
        <v>0.2</v>
      </c>
      <c r="F89" s="882">
        <v>30</v>
      </c>
    </row>
    <row r="90" spans="1:6" s="878" customFormat="1" ht="26">
      <c r="A90" s="882">
        <v>30</v>
      </c>
      <c r="B90" s="3437"/>
      <c r="C90" s="818" t="s">
        <v>674</v>
      </c>
      <c r="D90" s="818" t="s">
        <v>675</v>
      </c>
      <c r="E90" s="895">
        <v>0.2</v>
      </c>
      <c r="F90" s="882">
        <v>30</v>
      </c>
    </row>
    <row r="91" spans="1:6" s="878" customFormat="1" ht="39">
      <c r="A91" s="882">
        <v>31</v>
      </c>
      <c r="B91" s="3437"/>
      <c r="C91" s="818" t="s">
        <v>676</v>
      </c>
      <c r="D91" s="818" t="s">
        <v>677</v>
      </c>
      <c r="E91" s="895">
        <v>0.2</v>
      </c>
      <c r="F91" s="882">
        <v>30</v>
      </c>
    </row>
    <row r="92" spans="1:6" s="878" customFormat="1" ht="26">
      <c r="A92" s="882">
        <v>32</v>
      </c>
      <c r="B92" s="3437" t="s">
        <v>678</v>
      </c>
      <c r="C92" s="882" t="s">
        <v>679</v>
      </c>
      <c r="D92" s="818" t="s">
        <v>680</v>
      </c>
      <c r="E92" s="895">
        <v>0.2</v>
      </c>
      <c r="F92" s="882">
        <v>30</v>
      </c>
    </row>
    <row r="93" spans="1:6" s="878" customFormat="1" ht="39">
      <c r="A93" s="882">
        <v>33</v>
      </c>
      <c r="B93" s="3437"/>
      <c r="C93" s="882" t="s">
        <v>681</v>
      </c>
      <c r="D93" s="818" t="s">
        <v>682</v>
      </c>
      <c r="E93" s="895">
        <v>0.2</v>
      </c>
      <c r="F93" s="882">
        <v>30</v>
      </c>
    </row>
    <row r="94" spans="1:6" s="878" customFormat="1" ht="52">
      <c r="A94" s="882">
        <v>34</v>
      </c>
      <c r="B94" s="3437"/>
      <c r="C94" s="882" t="s">
        <v>683</v>
      </c>
      <c r="D94" s="818" t="s">
        <v>684</v>
      </c>
      <c r="E94" s="895">
        <v>0.2</v>
      </c>
      <c r="F94" s="882">
        <v>30</v>
      </c>
    </row>
    <row r="95" spans="1:6" s="878" customFormat="1" ht="39">
      <c r="A95" s="882">
        <v>35</v>
      </c>
      <c r="B95" s="3437"/>
      <c r="C95" s="882" t="s">
        <v>685</v>
      </c>
      <c r="D95" s="818" t="s">
        <v>686</v>
      </c>
      <c r="E95" s="895">
        <v>0.2</v>
      </c>
      <c r="F95" s="882">
        <v>30</v>
      </c>
    </row>
    <row r="96" spans="1:6" s="878" customFormat="1" ht="52">
      <c r="A96" s="882">
        <v>36</v>
      </c>
      <c r="B96" s="3437"/>
      <c r="C96" s="818" t="s">
        <v>687</v>
      </c>
      <c r="D96" s="818" t="s">
        <v>688</v>
      </c>
      <c r="E96" s="895">
        <v>0.2</v>
      </c>
      <c r="F96" s="882">
        <v>30</v>
      </c>
    </row>
    <row r="97" spans="1:6" s="878" customFormat="1" ht="39">
      <c r="A97" s="882">
        <v>37</v>
      </c>
      <c r="B97" s="3437"/>
      <c r="C97" s="882" t="s">
        <v>689</v>
      </c>
      <c r="D97" s="818" t="s">
        <v>690</v>
      </c>
      <c r="E97" s="895">
        <v>0.2</v>
      </c>
      <c r="F97" s="882">
        <v>30</v>
      </c>
    </row>
    <row r="98" spans="1:6" s="878" customFormat="1" ht="39">
      <c r="A98" s="882">
        <v>38</v>
      </c>
      <c r="B98" s="3437"/>
      <c r="C98" s="882" t="s">
        <v>691</v>
      </c>
      <c r="D98" s="818" t="s">
        <v>692</v>
      </c>
      <c r="E98" s="895">
        <v>0.2</v>
      </c>
      <c r="F98" s="882">
        <v>30</v>
      </c>
    </row>
    <row r="99" spans="1:6" s="878" customFormat="1" ht="39">
      <c r="A99" s="882">
        <v>39</v>
      </c>
      <c r="B99" s="3437" t="s">
        <v>693</v>
      </c>
      <c r="C99" s="882" t="s">
        <v>694</v>
      </c>
      <c r="D99" s="818" t="s">
        <v>695</v>
      </c>
      <c r="E99" s="895">
        <v>0.3</v>
      </c>
      <c r="F99" s="882">
        <v>50</v>
      </c>
    </row>
    <row r="100" spans="1:6" s="878" customFormat="1" ht="26">
      <c r="A100" s="882">
        <v>40</v>
      </c>
      <c r="B100" s="3437"/>
      <c r="C100" s="882" t="s">
        <v>696</v>
      </c>
      <c r="D100" s="818" t="s">
        <v>697</v>
      </c>
      <c r="E100" s="895">
        <v>0.2</v>
      </c>
      <c r="F100" s="882">
        <v>30</v>
      </c>
    </row>
    <row r="101" spans="1:6" s="878" customFormat="1" ht="39">
      <c r="A101" s="882">
        <v>41</v>
      </c>
      <c r="B101" s="3437"/>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437" t="s">
        <v>708</v>
      </c>
      <c r="C105" s="882" t="s">
        <v>709</v>
      </c>
      <c r="D105" s="818" t="s">
        <v>710</v>
      </c>
      <c r="E105" s="895">
        <v>0.2</v>
      </c>
      <c r="F105" s="882">
        <v>30</v>
      </c>
    </row>
    <row r="106" spans="1:6" s="878" customFormat="1" ht="39">
      <c r="A106" s="882">
        <v>46</v>
      </c>
      <c r="B106" s="3437"/>
      <c r="C106" s="882" t="s">
        <v>711</v>
      </c>
      <c r="D106" s="818" t="s">
        <v>712</v>
      </c>
      <c r="E106" s="895">
        <v>0.2</v>
      </c>
      <c r="F106" s="882">
        <v>30</v>
      </c>
    </row>
    <row r="107" spans="1:6" s="878" customFormat="1" ht="39">
      <c r="A107" s="882">
        <v>47</v>
      </c>
      <c r="B107" s="3437" t="s">
        <v>713</v>
      </c>
      <c r="C107" s="882" t="s">
        <v>714</v>
      </c>
      <c r="D107" s="818" t="s">
        <v>715</v>
      </c>
      <c r="E107" s="895">
        <v>0.3</v>
      </c>
      <c r="F107" s="882">
        <v>50</v>
      </c>
    </row>
    <row r="108" spans="1:6" s="878" customFormat="1" ht="39">
      <c r="A108" s="882">
        <v>48</v>
      </c>
      <c r="B108" s="3437"/>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437" t="s">
        <v>724</v>
      </c>
      <c r="C111" s="882" t="s">
        <v>725</v>
      </c>
      <c r="D111" s="818" t="s">
        <v>726</v>
      </c>
      <c r="E111" s="895">
        <v>0.2</v>
      </c>
      <c r="F111" s="882">
        <v>30</v>
      </c>
    </row>
    <row r="112" spans="1:6" s="878" customFormat="1" ht="26">
      <c r="A112" s="882">
        <v>52</v>
      </c>
      <c r="B112" s="3437"/>
      <c r="C112" s="882" t="s">
        <v>727</v>
      </c>
      <c r="D112" s="818" t="s">
        <v>728</v>
      </c>
      <c r="E112" s="895">
        <v>0.2</v>
      </c>
      <c r="F112" s="882">
        <v>30</v>
      </c>
    </row>
    <row r="113" spans="1:6" s="878" customFormat="1" ht="26">
      <c r="A113" s="882">
        <v>53</v>
      </c>
      <c r="B113" s="3437"/>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437" t="s">
        <v>737</v>
      </c>
      <c r="C116" s="882" t="s">
        <v>738</v>
      </c>
      <c r="D116" s="818" t="s">
        <v>739</v>
      </c>
      <c r="E116" s="895">
        <v>0.2</v>
      </c>
      <c r="F116" s="882">
        <v>30</v>
      </c>
    </row>
    <row r="117" spans="1:6" ht="39">
      <c r="A117" s="882">
        <v>57</v>
      </c>
      <c r="B117" s="3437"/>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3"/>
  <sheetViews>
    <sheetView workbookViewId="0">
      <selection activeCell="P15" sqref="P15:P31"/>
    </sheetView>
  </sheetViews>
  <sheetFormatPr defaultColWidth="9" defaultRowHeight="14"/>
  <cols>
    <col min="1" max="1" width="23.36328125" style="1943" customWidth="1"/>
    <col min="2" max="2" width="12.453125" style="1943" customWidth="1"/>
    <col min="3" max="3" width="12.08984375" style="1943" customWidth="1"/>
    <col min="4" max="4" width="14.08984375" style="1943" customWidth="1"/>
    <col min="5" max="5" width="12.453125" style="1943" customWidth="1"/>
    <col min="6" max="16384" width="9" style="1943"/>
  </cols>
  <sheetData>
    <row r="1" spans="1:5" ht="21">
      <c r="A1" s="2558" t="s">
        <v>2997</v>
      </c>
    </row>
    <row r="2" spans="1:5" ht="15.5">
      <c r="A2" s="2896" t="s">
        <v>2989</v>
      </c>
      <c r="B2" s="2897" t="e">
        <f ca="1">SUMIF(B6:B13,"&lt;&gt;#ref!",B6:B13)</f>
        <v>#DIV/0!</v>
      </c>
      <c r="C2" s="2896" t="s">
        <v>2990</v>
      </c>
      <c r="D2" s="2896" t="s">
        <v>2991</v>
      </c>
      <c r="E2" s="2897">
        <f ca="1">SUMIF(E6:E13,"&lt;&gt;#ref!",E6:E13)</f>
        <v>0</v>
      </c>
    </row>
    <row r="3" spans="1:5" ht="15.5">
      <c r="A3" s="2896" t="s">
        <v>2992</v>
      </c>
      <c r="B3" s="2897" t="e">
        <f ca="1">ROUND(B2*10000/E2,0)</f>
        <v>#DIV/0!</v>
      </c>
      <c r="C3" s="2896" t="s">
        <v>2998</v>
      </c>
      <c r="D3" s="2898"/>
      <c r="E3" s="2898"/>
    </row>
    <row r="4" spans="1:5" ht="15.5">
      <c r="A4" s="2899"/>
      <c r="B4" s="2898"/>
      <c r="C4" s="2898"/>
      <c r="D4" s="2898"/>
      <c r="E4" s="2898"/>
    </row>
    <row r="5" spans="1:5" ht="30">
      <c r="A5" s="2900" t="s">
        <v>2993</v>
      </c>
      <c r="B5" s="2896" t="s">
        <v>2994</v>
      </c>
      <c r="C5" s="2897"/>
      <c r="D5" s="2898"/>
      <c r="E5" s="2896" t="s">
        <v>2995</v>
      </c>
    </row>
    <row r="6" spans="1:5" ht="15.5">
      <c r="A6" s="2901" t="s">
        <v>2996</v>
      </c>
      <c r="B6" s="2897" t="e">
        <f ca="1">SUMIF(INDIRECT("'"&amp;A6&amp;"'"&amp;"!A:A"),"总价",INDIRECT("'"&amp;A6&amp;"'"&amp;"!B:B"))</f>
        <v>#DIV/0!</v>
      </c>
      <c r="C6" s="2896" t="s">
        <v>2990</v>
      </c>
      <c r="D6" s="2898"/>
      <c r="E6" s="2572">
        <f ca="1">SUMIF(INDIRECT("'"&amp;A6&amp;"'"&amp;"!C:C"),"建筑面积",INDIRECT("'"&amp;A6&amp;"'"&amp;"!D:D"))</f>
        <v>0</v>
      </c>
    </row>
    <row r="7" spans="1:5" ht="15.5">
      <c r="A7" s="2901"/>
      <c r="B7" s="2897" t="e">
        <f ca="1">SUMIF(INDIRECT("'"&amp;A7&amp;"'"&amp;"!A:A"),"总价",INDIRECT("'"&amp;A7&amp;"'"&amp;"!B:B"))</f>
        <v>#REF!</v>
      </c>
      <c r="C7" s="2896" t="s">
        <v>2990</v>
      </c>
      <c r="D7" s="2898"/>
      <c r="E7" s="2572" t="e">
        <f t="shared" ref="E7:E13" ca="1" si="0">SUMIF(INDIRECT("'"&amp;A7&amp;"'"&amp;"!C:C"),"建筑面积",INDIRECT("'"&amp;A7&amp;"'"&amp;"!D:D"))</f>
        <v>#REF!</v>
      </c>
    </row>
    <row r="8" spans="1:5" ht="15.5">
      <c r="A8" s="2901"/>
      <c r="B8" s="2897" t="e">
        <f t="shared" ref="B8:B13" ca="1" si="1">SUMIF(INDIRECT("'"&amp;A8&amp;"'"&amp;"!A:A"),"总价",INDIRECT("'"&amp;A8&amp;"'"&amp;"!B:B"))</f>
        <v>#REF!</v>
      </c>
      <c r="C8" s="2896" t="s">
        <v>2990</v>
      </c>
      <c r="D8" s="2898"/>
      <c r="E8" s="2572" t="e">
        <f t="shared" ca="1" si="0"/>
        <v>#REF!</v>
      </c>
    </row>
    <row r="9" spans="1:5" ht="15.5">
      <c r="A9" s="2901"/>
      <c r="B9" s="2897" t="e">
        <f t="shared" ca="1" si="1"/>
        <v>#REF!</v>
      </c>
      <c r="C9" s="2896" t="s">
        <v>2990</v>
      </c>
      <c r="D9" s="2898"/>
      <c r="E9" s="2572" t="e">
        <f t="shared" ca="1" si="0"/>
        <v>#REF!</v>
      </c>
    </row>
    <row r="10" spans="1:5" ht="15.5">
      <c r="A10" s="2901"/>
      <c r="B10" s="2897" t="e">
        <f t="shared" ca="1" si="1"/>
        <v>#REF!</v>
      </c>
      <c r="C10" s="2896" t="s">
        <v>2990</v>
      </c>
      <c r="D10" s="2898"/>
      <c r="E10" s="2572" t="e">
        <f t="shared" ca="1" si="0"/>
        <v>#REF!</v>
      </c>
    </row>
    <row r="11" spans="1:5" ht="15.5">
      <c r="A11" s="2901"/>
      <c r="B11" s="2897" t="e">
        <f t="shared" ca="1" si="1"/>
        <v>#REF!</v>
      </c>
      <c r="C11" s="2896" t="s">
        <v>2990</v>
      </c>
      <c r="D11" s="2898"/>
      <c r="E11" s="2572" t="e">
        <f t="shared" ca="1" si="0"/>
        <v>#REF!</v>
      </c>
    </row>
    <row r="12" spans="1:5" ht="15.5">
      <c r="A12" s="2901"/>
      <c r="B12" s="2897" t="e">
        <f t="shared" ca="1" si="1"/>
        <v>#REF!</v>
      </c>
      <c r="C12" s="2896" t="s">
        <v>2990</v>
      </c>
      <c r="D12" s="2898"/>
      <c r="E12" s="2572" t="e">
        <f t="shared" ca="1" si="0"/>
        <v>#REF!</v>
      </c>
    </row>
    <row r="13" spans="1:5" ht="15.5">
      <c r="A13" s="2901"/>
      <c r="B13" s="2897" t="e">
        <f t="shared" ca="1" si="1"/>
        <v>#REF!</v>
      </c>
      <c r="C13" s="2896" t="s">
        <v>2990</v>
      </c>
      <c r="D13" s="2898"/>
      <c r="E13" s="257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0"/>
  <sheetViews>
    <sheetView zoomScale="80" zoomScaleNormal="80" workbookViewId="0">
      <selection activeCell="P15" sqref="P15:P31"/>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2695312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2695312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443" t="s">
        <v>1146</v>
      </c>
      <c r="C1" s="3443"/>
      <c r="D1" s="3443"/>
      <c r="E1" s="3443"/>
      <c r="F1" s="3443"/>
      <c r="G1" s="3442" t="s">
        <v>1147</v>
      </c>
      <c r="H1" s="3442"/>
      <c r="I1" s="3442"/>
      <c r="J1" s="3442"/>
      <c r="K1" s="3442"/>
      <c r="L1" s="3442"/>
      <c r="N1" s="3442" t="s">
        <v>1148</v>
      </c>
      <c r="O1" s="3442"/>
      <c r="P1" s="3442"/>
      <c r="Q1" s="3442"/>
      <c r="R1" s="1446"/>
      <c r="S1" s="3442" t="s">
        <v>1149</v>
      </c>
      <c r="T1" s="3442"/>
      <c r="U1" s="3442"/>
      <c r="V1" s="3442"/>
      <c r="X1" s="3441" t="s">
        <v>1150</v>
      </c>
      <c r="Y1" s="3442"/>
      <c r="Z1" s="3442"/>
      <c r="AA1" s="3442"/>
      <c r="AB1" s="3442"/>
      <c r="AD1" s="3441" t="s">
        <v>1151</v>
      </c>
      <c r="AE1" s="3442"/>
      <c r="AF1" s="3442"/>
      <c r="AG1" s="3442"/>
      <c r="AH1" s="3442"/>
    </row>
    <row r="2" spans="1:34" s="1447" customFormat="1" ht="14.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2" customFormat="1" ht="14">
      <c r="A3" s="2921" t="s">
        <v>3032</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53" customFormat="1" ht="14">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3049</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1">
        <v>2019</v>
      </c>
      <c r="H5" s="1730">
        <v>3</v>
      </c>
      <c r="I5" s="2908">
        <v>0</v>
      </c>
      <c r="J5" s="2908">
        <v>0</v>
      </c>
      <c r="K5" s="2908">
        <v>0</v>
      </c>
      <c r="L5" s="2908">
        <v>0</v>
      </c>
      <c r="N5" s="1467">
        <f>I5/100</f>
        <v>0</v>
      </c>
      <c r="O5" s="1467">
        <f t="shared" ref="O5" si="7">J5/100</f>
        <v>0</v>
      </c>
      <c r="P5" s="1467">
        <f t="shared" ref="P5" si="8">K5/100</f>
        <v>0</v>
      </c>
      <c r="Q5" s="1467">
        <f t="shared" ref="Q5" si="9">L5/100</f>
        <v>0</v>
      </c>
      <c r="R5" s="1732"/>
      <c r="S5" s="1733"/>
      <c r="T5" s="1732"/>
      <c r="U5" s="1732"/>
      <c r="V5" s="1732"/>
      <c r="W5" s="2911" t="s">
        <v>3033</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ht="13">
      <c r="A6" s="1461" t="s">
        <v>3048</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1">
        <v>2019</v>
      </c>
      <c r="H6" s="1462">
        <v>2</v>
      </c>
      <c r="I6" s="2945">
        <v>1.53</v>
      </c>
      <c r="J6" s="2945">
        <v>1.01</v>
      </c>
      <c r="K6" s="2945">
        <v>1.62</v>
      </c>
      <c r="L6" s="2946">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3045</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5">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ht="13">
      <c r="A8" s="1461" t="s">
        <v>3050</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43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5" customHeight="1">
      <c r="A9" s="1461" t="s">
        <v>3039</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43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5" customHeight="1">
      <c r="A10" s="1461" t="s">
        <v>3038</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43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3031</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44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ht="13">
      <c r="A12" s="1461" t="s">
        <v>3028</v>
      </c>
      <c r="B12" s="1469">
        <v>439</v>
      </c>
      <c r="C12" s="1469">
        <v>327</v>
      </c>
      <c r="D12" s="1469">
        <f>C12</f>
        <v>327</v>
      </c>
      <c r="E12" s="1469">
        <v>627</v>
      </c>
      <c r="F12" s="1470">
        <v>283</v>
      </c>
      <c r="G12" s="344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5" customHeight="1">
      <c r="A13" s="1461" t="s">
        <v>3029</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43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1" customFormat="1" ht="1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43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44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ht="13">
      <c r="A16" s="1461" t="s">
        <v>154</v>
      </c>
      <c r="B16" s="1469">
        <v>392</v>
      </c>
      <c r="C16" s="1469">
        <v>302</v>
      </c>
      <c r="D16" s="1469">
        <f>C16</f>
        <v>302</v>
      </c>
      <c r="E16" s="1469">
        <v>553</v>
      </c>
      <c r="F16" s="1470">
        <v>266</v>
      </c>
      <c r="G16" s="344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43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43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44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43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43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43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44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43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43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43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44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44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44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ht="13">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44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44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43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43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43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 thickBot="1">
      <c r="A35" s="1461" t="s">
        <v>1166</v>
      </c>
      <c r="B35" s="1477">
        <f>B34/(1+N34)</f>
        <v>275.19025476197027</v>
      </c>
      <c r="C35" s="1513">
        <v>232</v>
      </c>
      <c r="D35" s="1513">
        <f t="shared" si="97"/>
        <v>232</v>
      </c>
      <c r="E35" s="1477">
        <f t="shared" si="108"/>
        <v>375.65990977608692</v>
      </c>
      <c r="F35" s="1477">
        <f t="shared" si="108"/>
        <v>214.12518283971252</v>
      </c>
      <c r="G35" s="344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43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43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43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44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43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43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43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44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43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43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43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44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43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43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43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44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43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43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43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44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43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43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43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44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43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43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43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44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43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43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43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44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43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43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439">
        <v>2003</v>
      </c>
      <c r="H70" s="1465">
        <v>2</v>
      </c>
      <c r="I70" s="1534"/>
      <c r="J70" s="1534"/>
      <c r="K70" s="1534"/>
      <c r="L70" s="1534"/>
      <c r="X70" s="1526"/>
      <c r="Y70" s="1526"/>
      <c r="Z70" s="1526"/>
    </row>
    <row r="71" spans="1:26" ht="13" thickBot="1">
      <c r="A71" s="1461" t="s">
        <v>1202</v>
      </c>
      <c r="B71" s="1536">
        <f t="shared" si="133"/>
        <v>107.25</v>
      </c>
      <c r="C71" s="1536">
        <f t="shared" si="133"/>
        <v>108.75</v>
      </c>
      <c r="D71" s="1536">
        <f t="shared" si="97"/>
        <v>108.75</v>
      </c>
      <c r="E71" s="1536">
        <f t="shared" si="134"/>
        <v>105.75</v>
      </c>
      <c r="F71" s="1536">
        <f t="shared" si="134"/>
        <v>102.5</v>
      </c>
      <c r="G71" s="344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43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43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439">
        <v>2002</v>
      </c>
      <c r="H74" s="1465">
        <v>2</v>
      </c>
      <c r="I74" s="1534"/>
      <c r="J74" s="1534"/>
      <c r="K74" s="1534"/>
      <c r="L74" s="1534"/>
      <c r="X74" s="1526"/>
      <c r="Y74" s="1526"/>
      <c r="Z74" s="1526"/>
    </row>
    <row r="75" spans="1:26" s="1498" customFormat="1" ht="13" thickBot="1">
      <c r="A75" s="1494" t="s">
        <v>1206</v>
      </c>
      <c r="B75" s="1540">
        <f t="shared" si="135"/>
        <v>103</v>
      </c>
      <c r="C75" s="1540">
        <f t="shared" si="135"/>
        <v>104</v>
      </c>
      <c r="D75" s="1540">
        <f t="shared" si="97"/>
        <v>104</v>
      </c>
      <c r="E75" s="1540">
        <f t="shared" si="136"/>
        <v>103.5</v>
      </c>
      <c r="F75" s="1540">
        <f t="shared" si="136"/>
        <v>100.5</v>
      </c>
      <c r="G75" s="344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ht="13">
      <c r="A78" s="1548" t="s">
        <v>1207</v>
      </c>
      <c r="G78" s="1550"/>
      <c r="N78" s="1550"/>
      <c r="S78" s="1550"/>
    </row>
    <row r="79" spans="1:26" s="1549" customFormat="1" ht="13">
      <c r="A79" s="1549" t="s">
        <v>1208</v>
      </c>
      <c r="G79" s="1550"/>
      <c r="N79" s="1550"/>
      <c r="S79" s="1550"/>
    </row>
    <row r="80" spans="1:26" s="1549" customFormat="1" ht="13">
      <c r="A80" s="1549" t="s">
        <v>1209</v>
      </c>
      <c r="G80" s="1550"/>
      <c r="I80" s="1551"/>
      <c r="J80" s="1551"/>
      <c r="K80" s="1551"/>
      <c r="L80" s="1551"/>
      <c r="N80" s="1552"/>
      <c r="O80" s="1551"/>
      <c r="P80" s="1551"/>
      <c r="Q80" s="1551"/>
      <c r="S80" s="1552"/>
      <c r="T80" s="1551"/>
      <c r="U80" s="1551"/>
      <c r="V80" s="1551"/>
    </row>
    <row r="81" spans="1:22" s="1549" customFormat="1" ht="13">
      <c r="A81" s="1549" t="s">
        <v>1210</v>
      </c>
      <c r="G81" s="1550"/>
      <c r="N81" s="1550"/>
      <c r="S81" s="1550"/>
    </row>
    <row r="88" spans="1:22" ht="13" thickBot="1"/>
    <row r="89" spans="1:22" ht="13">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P15" sqref="P15:P31"/>
      <selection pane="bottomLeft" activeCell="P15" sqref="P15:P31"/>
    </sheetView>
  </sheetViews>
  <sheetFormatPr defaultColWidth="9" defaultRowHeight="12.5"/>
  <cols>
    <col min="1" max="1" width="11.453125" style="139"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450" t="s">
        <v>3000</v>
      </c>
      <c r="D1" s="3451"/>
      <c r="E1" s="3451"/>
      <c r="F1" s="3451"/>
      <c r="G1" s="3451"/>
      <c r="H1" s="3451"/>
      <c r="I1" s="3451"/>
      <c r="J1" s="3451"/>
      <c r="K1" s="3451"/>
      <c r="L1" s="3451"/>
      <c r="M1" s="3451"/>
      <c r="N1" s="3451"/>
      <c r="O1" s="3451"/>
      <c r="P1" s="3451"/>
      <c r="Q1" s="3451"/>
      <c r="R1" s="3451"/>
      <c r="S1" s="3452"/>
      <c r="T1" s="1204" t="s">
        <v>3001</v>
      </c>
    </row>
    <row r="2" spans="1:45" s="707" customFormat="1" ht="13">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8"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69"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69"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2" t="s">
        <v>3009</v>
      </c>
      <c r="B17" s="290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04" t="s">
        <v>3011</v>
      </c>
      <c r="E19" s="1791"/>
      <c r="F19" s="1791"/>
      <c r="G19" s="1791"/>
      <c r="H19" s="1280"/>
      <c r="I19" s="168"/>
      <c r="J19" s="168"/>
      <c r="K19" s="168"/>
      <c r="L19" s="168"/>
      <c r="M19" s="168"/>
      <c r="N19" s="168"/>
      <c r="O19" s="168"/>
      <c r="P19" s="168"/>
      <c r="Q19" s="168"/>
      <c r="R19" s="788"/>
      <c r="S19" s="138"/>
    </row>
    <row r="20" spans="1:45" ht="16" thickBot="1">
      <c r="A20" s="715" t="s">
        <v>3012</v>
      </c>
      <c r="B20" s="338" t="e">
        <f ca="1">IF(D20="——",S22,S22-F20)</f>
        <v>#REF!</v>
      </c>
      <c r="C20" s="168"/>
      <c r="D20" s="2905" t="s">
        <v>3013</v>
      </c>
      <c r="E20" s="1792"/>
      <c r="F20" s="1204" t="e">
        <f ca="1">SUMIF(INDIRECT("'"&amp;H20&amp;"'"&amp;"!A:A"),"承租人权益价值",INDIRECT("'"&amp;H20&amp;"'"&amp;"!c:c"))</f>
        <v>#REF!</v>
      </c>
      <c r="G20" s="1204" t="s">
        <v>3014</v>
      </c>
      <c r="H20" s="2906"/>
      <c r="I20" s="168"/>
      <c r="J20" s="168"/>
      <c r="K20" s="168"/>
      <c r="L20" s="168"/>
      <c r="M20" s="168"/>
      <c r="N20" s="168"/>
      <c r="O20" s="168"/>
      <c r="P20" s="168"/>
      <c r="Q20" s="168"/>
      <c r="R20" s="788"/>
      <c r="S20" s="138"/>
    </row>
    <row r="21" spans="1:45" ht="15.5">
      <c r="A21" s="715" t="s">
        <v>3015</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3016</v>
      </c>
      <c r="B22" s="24">
        <f>SUM(B24:B10000)</f>
        <v>100</v>
      </c>
      <c r="C22" s="3307" t="s">
        <v>33</v>
      </c>
      <c r="D22" s="3308"/>
      <c r="E22" s="3308"/>
      <c r="F22" s="3308"/>
      <c r="G22" s="3308"/>
      <c r="H22" s="3308"/>
      <c r="I22" s="3308"/>
      <c r="J22" s="3308"/>
      <c r="K22" s="3308"/>
      <c r="L22" s="3308"/>
      <c r="M22" s="3308"/>
      <c r="N22" s="3308"/>
      <c r="O22" s="3308"/>
      <c r="P22" s="3308"/>
      <c r="Q22" s="3449"/>
      <c r="R22" s="716">
        <f>ROUND(S22*10000/B22,0)</f>
        <v>10000</v>
      </c>
      <c r="S22" s="24">
        <f>SUM(S24:S10000)</f>
        <v>100</v>
      </c>
    </row>
    <row r="23" spans="1:45" s="12" customFormat="1" ht="26">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26953125" style="295" customWidth="1"/>
    <col min="3" max="3" width="12.08984375" style="295" customWidth="1"/>
    <col min="4" max="5" width="11.2695312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44770</v>
      </c>
      <c r="C2" s="2" t="s">
        <v>133</v>
      </c>
      <c r="D2" s="243"/>
      <c r="E2" s="243"/>
      <c r="F2" s="243"/>
      <c r="G2" s="243"/>
    </row>
    <row r="3" spans="1:7" s="244" customFormat="1" ht="18" customHeight="1" thickBot="1">
      <c r="A3" s="247" t="s">
        <v>85</v>
      </c>
      <c r="B3" s="248">
        <f ca="1">ROUND(B2*10000/'数据-汇总表'!E3,0)</f>
        <v>4189</v>
      </c>
      <c r="C3" s="2" t="s">
        <v>134</v>
      </c>
      <c r="D3" s="243"/>
      <c r="E3" s="243"/>
      <c r="F3" s="243"/>
      <c r="G3" s="243"/>
    </row>
    <row r="4" spans="1:7" s="252" customFormat="1" ht="16">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220</v>
      </c>
      <c r="F9" s="265"/>
      <c r="G9" s="270"/>
    </row>
    <row r="10" spans="1:7" s="258" customFormat="1" ht="13.5" customHeight="1">
      <c r="A10" s="950" t="s">
        <v>801</v>
      </c>
      <c r="B10" s="268" t="s">
        <v>94</v>
      </c>
      <c r="C10" s="269">
        <f>ROUND(D10*E10/10000,0)</f>
        <v>2351</v>
      </c>
      <c r="D10" s="1032">
        <f>'数据-汇总表'!E6</f>
        <v>106874.1</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2137</v>
      </c>
      <c r="D19" s="1036">
        <f>'数据-汇总表'!E3</f>
        <v>106874.1</v>
      </c>
      <c r="E19" s="255">
        <f>'数据-取费表'!B31</f>
        <v>200</v>
      </c>
      <c r="F19" s="275"/>
      <c r="G19" s="1" t="s">
        <v>1071</v>
      </c>
    </row>
    <row r="20" spans="1:7" s="258" customFormat="1" ht="13.5" customHeight="1">
      <c r="A20" s="948" t="s">
        <v>1054</v>
      </c>
      <c r="B20" s="254" t="s">
        <v>104</v>
      </c>
      <c r="C20" s="276">
        <f>ROUND((C5+C19)*F20,0)</f>
        <v>682</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490</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438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45</v>
      </c>
      <c r="D24" s="282"/>
      <c r="E24" s="282"/>
      <c r="F24" s="283"/>
      <c r="G24" s="284" t="s">
        <v>109</v>
      </c>
    </row>
    <row r="25" spans="1:7" s="258" customFormat="1" ht="26">
      <c r="A25" s="951" t="s">
        <v>793</v>
      </c>
      <c r="B25" s="259" t="s">
        <v>1055</v>
      </c>
      <c r="C25" s="1355">
        <f ca="1">ROUND(IF('数据-取费表'!B22&lt;=1,C20*F22*'数据-取费表'!B23/2,C20*(POWER((1+F22),'数据-取费表'!B23/2)-1)),0)</f>
        <v>7</v>
      </c>
      <c r="D25" s="282"/>
      <c r="E25" s="285"/>
      <c r="F25" s="283"/>
      <c r="G25" s="286" t="s">
        <v>110</v>
      </c>
    </row>
    <row r="26" spans="1:7" s="258" customFormat="1" ht="13">
      <c r="A26" s="951" t="s">
        <v>795</v>
      </c>
      <c r="B26" s="259" t="s">
        <v>1057</v>
      </c>
      <c r="C26" s="282">
        <f ca="1">ROUND(IF('数据-取费表'!B22&lt;=1,F21*F22*'数据-取费表'!B23/2,F21*(POWER((1+F22),'数据-取费表'!B23/2)-1)),4)</f>
        <v>2.9999999999999997E-4</v>
      </c>
      <c r="D26" s="282"/>
      <c r="E26" s="285"/>
      <c r="F26" s="283"/>
      <c r="G26" s="287"/>
    </row>
    <row r="27" spans="1:7" s="258" customFormat="1" ht="27">
      <c r="A27" s="948" t="s">
        <v>787</v>
      </c>
      <c r="B27" s="288" t="s">
        <v>112</v>
      </c>
      <c r="C27" s="289">
        <f>C28</f>
        <v>1061</v>
      </c>
      <c r="D27" s="279">
        <f>C29</f>
        <v>1.4E-3</v>
      </c>
      <c r="E27" s="280" t="s">
        <v>126</v>
      </c>
      <c r="F27" s="290">
        <f>'数据-取费表'!Q16</f>
        <v>0.3</v>
      </c>
      <c r="G27" s="291" t="s">
        <v>1066</v>
      </c>
    </row>
    <row r="28" spans="1:7" s="258" customFormat="1" ht="13.5" customHeight="1">
      <c r="A28" s="951" t="s">
        <v>794</v>
      </c>
      <c r="B28" s="292" t="s">
        <v>1059</v>
      </c>
      <c r="C28" s="293">
        <f>ROUND((C5+C19+C20)*F27*'数据-取费表'!B21/'数据-取费表'!B20,0)</f>
        <v>1061</v>
      </c>
      <c r="D28" s="279"/>
      <c r="E28" s="280"/>
      <c r="F28" s="290"/>
      <c r="G28" s="291"/>
    </row>
    <row r="29" spans="1:7" s="258" customFormat="1" ht="13.5" customHeight="1">
      <c r="A29" s="951" t="s">
        <v>792</v>
      </c>
      <c r="B29" s="292" t="s">
        <v>1060</v>
      </c>
      <c r="C29" s="282">
        <f>ROUND(C21*F27*'数据-取费表'!B21/'数据-取费表'!B20,4)</f>
        <v>1.4E-3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27302</v>
      </c>
      <c r="D31" s="274"/>
      <c r="E31" s="255"/>
      <c r="F31" s="294"/>
      <c r="G31" s="278" t="s">
        <v>1067</v>
      </c>
    </row>
    <row r="32" spans="1:7" s="252" customFormat="1" ht="16">
      <c r="A32" s="296" t="s">
        <v>114</v>
      </c>
      <c r="B32" s="297"/>
      <c r="C32" s="297"/>
      <c r="D32" s="297"/>
      <c r="E32" s="297"/>
      <c r="F32" s="297"/>
      <c r="G32" s="298"/>
    </row>
    <row r="33" spans="1:7" s="258" customFormat="1" ht="13.5" customHeight="1">
      <c r="A33" s="299" t="s">
        <v>782</v>
      </c>
      <c r="B33" s="254" t="s">
        <v>115</v>
      </c>
      <c r="C33" s="300">
        <f>SUM(C34:C38)</f>
        <v>11742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10722</v>
      </c>
      <c r="D34" s="261"/>
      <c r="E34" s="264"/>
      <c r="F34" s="301">
        <f>IF('数据-取费表'!B24=0,1,'数据-取费表'!N16)</f>
        <v>0.151</v>
      </c>
      <c r="G34" s="263" t="s">
        <v>116</v>
      </c>
    </row>
    <row r="35" spans="1:7" ht="13.5" customHeight="1">
      <c r="A35" s="951" t="s">
        <v>796</v>
      </c>
      <c r="B35" s="259" t="s">
        <v>60</v>
      </c>
      <c r="C35" s="264">
        <f>ROUND(C34*F35,0)</f>
        <v>536</v>
      </c>
      <c r="D35" s="264"/>
      <c r="E35" s="264"/>
      <c r="F35" s="303">
        <f>'数据-取费表'!B33</f>
        <v>0.05</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323</v>
      </c>
      <c r="D37" s="261">
        <f>'数据-汇总表'!E3</f>
        <v>106874.1</v>
      </c>
      <c r="E37" s="293">
        <f>'数据-取费表'!B35</f>
        <v>200</v>
      </c>
      <c r="F37" s="303"/>
      <c r="G37" s="305" t="s">
        <v>119</v>
      </c>
    </row>
    <row r="38" spans="1:7" ht="13.5" customHeight="1">
      <c r="A38" s="951" t="s">
        <v>799</v>
      </c>
      <c r="B38" s="259" t="s">
        <v>63</v>
      </c>
      <c r="C38" s="264">
        <f>ROUND(C34*F38,0)</f>
        <v>161</v>
      </c>
      <c r="D38" s="264"/>
      <c r="E38" s="264"/>
      <c r="F38" s="303">
        <f>'数据-取费表'!B36</f>
        <v>1.4999999999999999E-2</v>
      </c>
      <c r="G38" s="263" t="s">
        <v>117</v>
      </c>
    </row>
    <row r="39" spans="1:7" s="258" customFormat="1" ht="13.5" customHeight="1">
      <c r="A39" s="948" t="s">
        <v>783</v>
      </c>
      <c r="B39" s="254" t="s">
        <v>104</v>
      </c>
      <c r="C39" s="276">
        <f>ROUND(C33*F20,0)</f>
        <v>352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128</v>
      </c>
      <c r="D41" s="279">
        <f ca="1">C44</f>
        <v>2.9999999999999997E-4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124</v>
      </c>
      <c r="D42" s="282"/>
      <c r="E42" s="282"/>
      <c r="F42" s="283"/>
      <c r="G42" s="3312" t="s">
        <v>121</v>
      </c>
    </row>
    <row r="43" spans="1:7" ht="13.5" customHeight="1">
      <c r="A43" s="951" t="s">
        <v>792</v>
      </c>
      <c r="B43" s="259" t="s">
        <v>1061</v>
      </c>
      <c r="C43" s="282">
        <f ca="1">ROUND(IF('数据-取费表'!B22&lt;=1,C39*F22*'数据-取费表'!B21/2,C39*(POWER((1+F22),'数据-取费表'!B21/2)-1)),0)</f>
        <v>4</v>
      </c>
      <c r="D43" s="282"/>
      <c r="E43" s="282"/>
      <c r="F43" s="283"/>
      <c r="G43" s="3313"/>
    </row>
    <row r="44" spans="1:7" ht="13.5" customHeight="1">
      <c r="A44" s="951" t="s">
        <v>793</v>
      </c>
      <c r="B44" s="259" t="s">
        <v>1063</v>
      </c>
      <c r="C44" s="282">
        <f ca="1">ROUND(IF('数据-取费表'!B22&lt;=1,C40*F22*'数据-取费表'!B21/2,C40*(POWER((1+F22),'数据-取费表'!B21/2)-1)),4)</f>
        <v>2.9999999999999997E-4</v>
      </c>
      <c r="D44" s="282"/>
      <c r="E44" s="282"/>
      <c r="F44" s="283"/>
      <c r="G44" s="3314"/>
    </row>
    <row r="45" spans="1:7" s="258" customFormat="1" ht="13.5" customHeight="1">
      <c r="A45" s="948" t="s">
        <v>786</v>
      </c>
      <c r="B45" s="288" t="s">
        <v>112</v>
      </c>
      <c r="C45" s="289">
        <f>C46</f>
        <v>3628</v>
      </c>
      <c r="D45" s="279">
        <f>C47</f>
        <v>8.9999999999999993E-3</v>
      </c>
      <c r="E45" s="280" t="s">
        <v>129</v>
      </c>
      <c r="F45" s="290"/>
      <c r="G45" s="291" t="s">
        <v>1069</v>
      </c>
    </row>
    <row r="46" spans="1:7" s="258" customFormat="1" ht="13.5" customHeight="1">
      <c r="A46" s="951" t="s">
        <v>794</v>
      </c>
      <c r="B46" s="292" t="s">
        <v>1062</v>
      </c>
      <c r="C46" s="293">
        <f>ROUND((C33+C39)*F27,0)</f>
        <v>3628</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17468</v>
      </c>
      <c r="D49" s="276"/>
      <c r="E49" s="276"/>
      <c r="F49" s="308"/>
      <c r="G49" s="278" t="s">
        <v>1070</v>
      </c>
    </row>
    <row r="50" spans="1:7" s="302" customFormat="1" ht="26">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17468</v>
      </c>
      <c r="D51" s="276"/>
      <c r="E51" s="276"/>
      <c r="F51" s="308"/>
      <c r="G51" s="278" t="s">
        <v>64</v>
      </c>
    </row>
    <row r="52" spans="1:7" s="252" customFormat="1" ht="16.5" thickBot="1">
      <c r="A52" s="309" t="s">
        <v>65</v>
      </c>
      <c r="B52" s="310"/>
      <c r="C52" s="311">
        <f ca="1">C31+C51</f>
        <v>44770</v>
      </c>
      <c r="D52" s="310"/>
      <c r="E52" s="310"/>
      <c r="F52" s="310"/>
      <c r="G52" s="312"/>
    </row>
    <row r="55" spans="1:7" ht="15.5">
      <c r="B55" s="314" t="s">
        <v>66</v>
      </c>
      <c r="C55" s="315"/>
    </row>
    <row r="56" spans="1:7" ht="13">
      <c r="B56" s="317" t="s">
        <v>67</v>
      </c>
      <c r="C56" s="318">
        <f ca="1">ROUND(C51/C52,3)</f>
        <v>0.39</v>
      </c>
    </row>
    <row r="57" spans="1:7" ht="13">
      <c r="B57" s="317" t="s">
        <v>68</v>
      </c>
      <c r="C57" s="319">
        <f ca="1">1-C56</f>
        <v>0.61</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2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4"/>
  <cols>
    <col min="1" max="1" width="12.6328125" style="855" customWidth="1"/>
    <col min="2" max="5" width="10.26953125" style="813" customWidth="1"/>
    <col min="6" max="6" width="9" style="813"/>
    <col min="7" max="8" width="9" style="828"/>
    <col min="9" max="16384" width="9" style="813"/>
  </cols>
  <sheetData>
    <row r="1" spans="1:19">
      <c r="A1" s="3453" t="s">
        <v>156</v>
      </c>
      <c r="B1" s="3453"/>
      <c r="C1" s="3453"/>
      <c r="D1" s="3453"/>
      <c r="E1" s="3453"/>
      <c r="F1" s="345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454" t="s">
        <v>169</v>
      </c>
      <c r="B2" s="3454"/>
      <c r="C2" s="3454"/>
      <c r="D2" s="3454"/>
      <c r="E2" s="3454"/>
      <c r="F2" s="345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5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5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4"/>
  <cols>
    <col min="1" max="1" width="12.6328125" style="855" customWidth="1"/>
    <col min="2" max="2" width="10.26953125" style="813" customWidth="1"/>
  </cols>
  <sheetData>
    <row r="1" spans="1:6">
      <c r="A1" s="3453" t="s">
        <v>868</v>
      </c>
      <c r="B1" s="3453"/>
    </row>
    <row r="2" spans="1:6" ht="14.5" thickBot="1">
      <c r="A2" s="1057"/>
      <c r="B2" s="1057"/>
    </row>
    <row r="3" spans="1:6" ht="14.5" thickBot="1">
      <c r="A3" s="1057"/>
      <c r="B3" s="1057"/>
      <c r="C3" s="1061" t="s">
        <v>871</v>
      </c>
      <c r="D3" s="1061" t="s">
        <v>872</v>
      </c>
      <c r="E3" s="1061" t="s">
        <v>873</v>
      </c>
      <c r="F3" s="1061" t="s">
        <v>874</v>
      </c>
    </row>
    <row r="4" spans="1:6" ht="14.5" thickBot="1">
      <c r="A4" s="1059" t="s">
        <v>869</v>
      </c>
      <c r="B4" s="1060" t="s">
        <v>870</v>
      </c>
      <c r="C4" s="1061"/>
      <c r="D4" s="1061"/>
      <c r="E4" s="1061"/>
      <c r="F4" s="1061"/>
    </row>
    <row r="5" spans="1:6" ht="14.5" thickBot="1">
      <c r="A5" s="840" t="s">
        <v>875</v>
      </c>
      <c r="B5" s="841" t="s">
        <v>876</v>
      </c>
      <c r="C5" s="1062">
        <v>8.8999999999999996E-2</v>
      </c>
      <c r="D5" s="1062">
        <v>7.3999999999999996E-2</v>
      </c>
      <c r="E5" s="1062">
        <v>7.4999999999999997E-2</v>
      </c>
      <c r="F5" s="1063">
        <v>0.1</v>
      </c>
    </row>
    <row r="6" spans="1:6" ht="14.5" thickBot="1">
      <c r="A6" s="840" t="s">
        <v>212</v>
      </c>
      <c r="B6" s="834" t="s">
        <v>877</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878</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879</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880</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881</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882</v>
      </c>
      <c r="C72" s="1077"/>
      <c r="D72" s="1077"/>
      <c r="E72" s="1077"/>
      <c r="F72" s="1065">
        <v>0.05</v>
      </c>
    </row>
    <row r="73" spans="1:6" ht="26.5" thickBot="1">
      <c r="A73" s="840" t="s">
        <v>137</v>
      </c>
      <c r="B73" s="834" t="s">
        <v>883</v>
      </c>
      <c r="C73" s="1077"/>
      <c r="D73" s="1077"/>
      <c r="E73" s="1077"/>
      <c r="F73" s="1065">
        <v>0.05</v>
      </c>
    </row>
    <row r="74" spans="1:6" ht="26.5" thickBot="1">
      <c r="A74" s="840" t="s">
        <v>137</v>
      </c>
      <c r="B74" s="834" t="s">
        <v>884</v>
      </c>
      <c r="C74" s="1077"/>
      <c r="D74" s="1077"/>
      <c r="E74" s="1077"/>
      <c r="F74" s="1065">
        <v>0.05</v>
      </c>
    </row>
    <row r="75" spans="1:6" ht="26.5" thickBot="1">
      <c r="A75" s="850" t="s">
        <v>137</v>
      </c>
      <c r="B75" s="846" t="s">
        <v>885</v>
      </c>
      <c r="C75" s="1074"/>
      <c r="D75" s="1074"/>
      <c r="E75" s="1074"/>
      <c r="F75" s="1067">
        <v>0.05</v>
      </c>
    </row>
    <row r="76" spans="1:6" ht="14.5" thickBot="1">
      <c r="A76" s="840" t="s">
        <v>523</v>
      </c>
      <c r="B76" s="841" t="s">
        <v>886</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887</v>
      </c>
      <c r="C102" s="1077"/>
      <c r="D102" s="1077"/>
      <c r="E102" s="1077"/>
      <c r="F102" s="1065">
        <v>0.05</v>
      </c>
    </row>
    <row r="103" spans="1:6" ht="26.5" thickBot="1">
      <c r="A103" s="840" t="s">
        <v>523</v>
      </c>
      <c r="B103" s="834" t="s">
        <v>888</v>
      </c>
      <c r="C103" s="1077"/>
      <c r="D103" s="1077"/>
      <c r="E103" s="1077"/>
      <c r="F103" s="1065">
        <v>0.05</v>
      </c>
    </row>
    <row r="104" spans="1:6" ht="14.5" thickBot="1">
      <c r="A104" s="840" t="s">
        <v>523</v>
      </c>
      <c r="B104" s="834" t="s">
        <v>889</v>
      </c>
      <c r="C104" s="1077"/>
      <c r="D104" s="1077"/>
      <c r="E104" s="1077"/>
      <c r="F104" s="1065">
        <v>0.05</v>
      </c>
    </row>
    <row r="105" spans="1:6" ht="26.5" thickBot="1">
      <c r="A105" s="840" t="s">
        <v>523</v>
      </c>
      <c r="B105" s="834" t="s">
        <v>890</v>
      </c>
      <c r="C105" s="1077"/>
      <c r="D105" s="1077"/>
      <c r="E105" s="1077"/>
      <c r="F105" s="1065">
        <v>0.05</v>
      </c>
    </row>
    <row r="106" spans="1:6" ht="26.5" thickBot="1">
      <c r="A106" s="840" t="s">
        <v>523</v>
      </c>
      <c r="B106" s="834" t="s">
        <v>891</v>
      </c>
      <c r="C106" s="1077"/>
      <c r="D106" s="1077"/>
      <c r="E106" s="1077"/>
      <c r="F106" s="1065">
        <v>0.05</v>
      </c>
    </row>
    <row r="107" spans="1:6" ht="26.5" thickBot="1">
      <c r="A107" s="840" t="s">
        <v>523</v>
      </c>
      <c r="B107" s="834" t="s">
        <v>892</v>
      </c>
      <c r="C107" s="1077"/>
      <c r="D107" s="1077"/>
      <c r="E107" s="1077"/>
      <c r="F107" s="1065">
        <v>0.05</v>
      </c>
    </row>
    <row r="108" spans="1:6" ht="26.5" thickBot="1">
      <c r="A108" s="840" t="s">
        <v>523</v>
      </c>
      <c r="B108" s="834" t="s">
        <v>893</v>
      </c>
      <c r="C108" s="1077"/>
      <c r="D108" s="1077"/>
      <c r="E108" s="1077"/>
      <c r="F108" s="1065">
        <v>0.05</v>
      </c>
    </row>
    <row r="109" spans="1:6" ht="26.5" thickBot="1">
      <c r="A109" s="850" t="s">
        <v>523</v>
      </c>
      <c r="B109" s="846" t="s">
        <v>894</v>
      </c>
      <c r="C109" s="1074"/>
      <c r="D109" s="1074"/>
      <c r="E109" s="1074"/>
      <c r="F109" s="1067">
        <v>0.05</v>
      </c>
    </row>
    <row r="110" spans="1:6" ht="14.5" thickBot="1">
      <c r="A110" s="840" t="s">
        <v>56</v>
      </c>
      <c r="B110" s="841" t="s">
        <v>895</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896</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897</v>
      </c>
      <c r="C138" s="1064">
        <v>0.105</v>
      </c>
      <c r="D138" s="1064">
        <v>0.125</v>
      </c>
      <c r="E138" s="1064">
        <v>0.112</v>
      </c>
      <c r="F138" s="1076"/>
    </row>
    <row r="139" spans="1:6" ht="14.5" thickBot="1">
      <c r="A139" s="840" t="s">
        <v>56</v>
      </c>
      <c r="B139" s="834" t="s">
        <v>898</v>
      </c>
      <c r="C139" s="1064">
        <v>0.127</v>
      </c>
      <c r="D139" s="1064">
        <v>0.127</v>
      </c>
      <c r="E139" s="1064">
        <v>0.122</v>
      </c>
      <c r="F139" s="1065">
        <v>0.13</v>
      </c>
    </row>
    <row r="140" spans="1:6" ht="14.5" thickBot="1">
      <c r="A140" s="840" t="s">
        <v>56</v>
      </c>
      <c r="B140" s="834" t="s">
        <v>899</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900</v>
      </c>
      <c r="C144" s="1069">
        <v>0.126</v>
      </c>
      <c r="D144" s="1069">
        <v>0.126</v>
      </c>
      <c r="E144" s="1069">
        <v>0.121</v>
      </c>
      <c r="F144" s="1076"/>
    </row>
    <row r="145" spans="1:6" ht="14.5" thickBot="1">
      <c r="A145" s="850" t="s">
        <v>56</v>
      </c>
      <c r="B145" s="1070" t="s">
        <v>901</v>
      </c>
      <c r="C145" s="1078"/>
      <c r="D145" s="1078"/>
      <c r="E145" s="1078"/>
      <c r="F145" s="1071">
        <v>0.05</v>
      </c>
    </row>
    <row r="146" spans="1:6" ht="26.5" thickBot="1">
      <c r="A146" s="1072" t="s">
        <v>56</v>
      </c>
      <c r="B146" s="844" t="s">
        <v>902</v>
      </c>
      <c r="C146" s="1077"/>
      <c r="D146" s="1077"/>
      <c r="E146" s="1077"/>
      <c r="F146" s="1073">
        <v>0.05</v>
      </c>
    </row>
    <row r="147" spans="1:6" ht="26.5" thickBot="1">
      <c r="A147" s="840" t="s">
        <v>56</v>
      </c>
      <c r="B147" s="834" t="s">
        <v>903</v>
      </c>
      <c r="C147" s="1077"/>
      <c r="D147" s="1077"/>
      <c r="E147" s="1077"/>
      <c r="F147" s="1065">
        <v>0.05</v>
      </c>
    </row>
    <row r="148" spans="1:6" ht="26.5" thickBot="1">
      <c r="A148" s="840" t="s">
        <v>56</v>
      </c>
      <c r="B148" s="834" t="s">
        <v>904</v>
      </c>
      <c r="C148" s="1077"/>
      <c r="D148" s="1077"/>
      <c r="E148" s="1077"/>
      <c r="F148" s="1065">
        <v>0.05</v>
      </c>
    </row>
    <row r="149" spans="1:6" ht="26.5" thickBot="1">
      <c r="A149" s="840" t="s">
        <v>56</v>
      </c>
      <c r="B149" s="834" t="s">
        <v>905</v>
      </c>
      <c r="C149" s="1077"/>
      <c r="D149" s="1077"/>
      <c r="E149" s="1077"/>
      <c r="F149" s="1065">
        <v>0.05</v>
      </c>
    </row>
    <row r="150" spans="1:6" ht="26.5" thickBot="1">
      <c r="A150" s="840" t="s">
        <v>56</v>
      </c>
      <c r="B150" s="834" t="s">
        <v>906</v>
      </c>
      <c r="C150" s="1077"/>
      <c r="D150" s="1077"/>
      <c r="E150" s="1077"/>
      <c r="F150" s="1065">
        <v>0.05</v>
      </c>
    </row>
    <row r="151" spans="1:6" ht="26.5" thickBot="1">
      <c r="A151" s="840" t="s">
        <v>56</v>
      </c>
      <c r="B151" s="834" t="s">
        <v>907</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908</v>
      </c>
      <c r="C153" s="1077"/>
      <c r="D153" s="1077"/>
      <c r="E153" s="1077"/>
      <c r="F153" s="1065">
        <v>0.05</v>
      </c>
    </row>
    <row r="154" spans="1:6" ht="14.5" thickBot="1">
      <c r="A154" s="840" t="s">
        <v>56</v>
      </c>
      <c r="B154" s="834" t="s">
        <v>909</v>
      </c>
      <c r="C154" s="1077"/>
      <c r="D154" s="1077"/>
      <c r="E154" s="1077"/>
      <c r="F154" s="1065">
        <v>0.05</v>
      </c>
    </row>
    <row r="155" spans="1:6" ht="26.5" thickBot="1">
      <c r="A155" s="840" t="s">
        <v>56</v>
      </c>
      <c r="B155" s="834" t="s">
        <v>910</v>
      </c>
      <c r="C155" s="1077"/>
      <c r="D155" s="1077"/>
      <c r="E155" s="1077"/>
      <c r="F155" s="1065">
        <v>0.05</v>
      </c>
    </row>
    <row r="156" spans="1:6" ht="26.5" thickBot="1">
      <c r="A156" s="840" t="s">
        <v>56</v>
      </c>
      <c r="B156" s="834" t="s">
        <v>911</v>
      </c>
      <c r="C156" s="1077"/>
      <c r="D156" s="1077"/>
      <c r="E156" s="1077"/>
      <c r="F156" s="1065">
        <v>0.05</v>
      </c>
    </row>
    <row r="157" spans="1:6" ht="14.5" thickBot="1">
      <c r="A157" s="850" t="s">
        <v>56</v>
      </c>
      <c r="B157" s="846" t="s">
        <v>912</v>
      </c>
      <c r="C157" s="1074"/>
      <c r="D157" s="1074"/>
      <c r="E157" s="1074"/>
      <c r="F157" s="1067">
        <v>0.05</v>
      </c>
    </row>
    <row r="158" spans="1:6" ht="14.5" thickBot="1">
      <c r="A158" s="840" t="s">
        <v>526</v>
      </c>
      <c r="B158" s="841" t="s">
        <v>913</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914</v>
      </c>
      <c r="C171" s="1064">
        <v>0.127</v>
      </c>
      <c r="D171" s="1064">
        <v>0.126</v>
      </c>
      <c r="E171" s="1064">
        <v>0.126</v>
      </c>
      <c r="F171" s="1065">
        <v>0.11799999999999999</v>
      </c>
    </row>
    <row r="172" spans="1:6" ht="14.5" thickBot="1">
      <c r="A172" s="840" t="s">
        <v>526</v>
      </c>
      <c r="B172" s="834" t="s">
        <v>915</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916</v>
      </c>
      <c r="C174" s="1064">
        <v>0.13</v>
      </c>
      <c r="D174" s="1064">
        <v>0.13</v>
      </c>
      <c r="E174" s="1064">
        <v>0.13</v>
      </c>
      <c r="F174" s="1065">
        <v>0.13</v>
      </c>
    </row>
    <row r="175" spans="1:6" ht="14.5" thickBot="1">
      <c r="A175" s="840" t="s">
        <v>526</v>
      </c>
      <c r="B175" s="834" t="s">
        <v>917</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918</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919</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920</v>
      </c>
      <c r="C185" s="1064">
        <v>0.127</v>
      </c>
      <c r="D185" s="1064">
        <v>0.127</v>
      </c>
      <c r="E185" s="1064">
        <v>0.128</v>
      </c>
      <c r="F185" s="1065">
        <v>0.13</v>
      </c>
    </row>
    <row r="186" spans="1:6" ht="26.5" thickBot="1">
      <c r="A186" s="840" t="s">
        <v>526</v>
      </c>
      <c r="B186" s="834" t="s">
        <v>921</v>
      </c>
      <c r="C186" s="1077"/>
      <c r="D186" s="1077"/>
      <c r="E186" s="1077"/>
      <c r="F186" s="1065">
        <v>0.05</v>
      </c>
    </row>
    <row r="187" spans="1:6" ht="14.5" thickBot="1">
      <c r="A187" s="840" t="s">
        <v>526</v>
      </c>
      <c r="B187" s="834" t="s">
        <v>922</v>
      </c>
      <c r="C187" s="1077"/>
      <c r="D187" s="1077"/>
      <c r="E187" s="1077"/>
      <c r="F187" s="1065">
        <v>0.05</v>
      </c>
    </row>
    <row r="188" spans="1:6" ht="26.5" thickBot="1">
      <c r="A188" s="840" t="s">
        <v>526</v>
      </c>
      <c r="B188" s="834" t="s">
        <v>923</v>
      </c>
      <c r="C188" s="1077"/>
      <c r="D188" s="1077"/>
      <c r="E188" s="1077"/>
      <c r="F188" s="1065">
        <v>0.05</v>
      </c>
    </row>
    <row r="189" spans="1:6" ht="26.5" thickBot="1">
      <c r="A189" s="840" t="s">
        <v>526</v>
      </c>
      <c r="B189" s="834" t="s">
        <v>924</v>
      </c>
      <c r="C189" s="1077"/>
      <c r="D189" s="1077"/>
      <c r="E189" s="1077"/>
      <c r="F189" s="1065">
        <v>0.05</v>
      </c>
    </row>
    <row r="190" spans="1:6" ht="26.5" thickBot="1">
      <c r="A190" s="840" t="s">
        <v>526</v>
      </c>
      <c r="B190" s="834" t="s">
        <v>925</v>
      </c>
      <c r="C190" s="1077"/>
      <c r="D190" s="1077"/>
      <c r="E190" s="1077"/>
      <c r="F190" s="1065">
        <v>0.05</v>
      </c>
    </row>
    <row r="191" spans="1:6" ht="26.5" thickBot="1">
      <c r="A191" s="840" t="s">
        <v>526</v>
      </c>
      <c r="B191" s="834" t="s">
        <v>926</v>
      </c>
      <c r="C191" s="1077"/>
      <c r="D191" s="1077"/>
      <c r="E191" s="1077"/>
      <c r="F191" s="1065">
        <v>0.05</v>
      </c>
    </row>
    <row r="192" spans="1:6" ht="26.5" thickBot="1">
      <c r="A192" s="840" t="s">
        <v>526</v>
      </c>
      <c r="B192" s="834" t="s">
        <v>927</v>
      </c>
      <c r="C192" s="1077"/>
      <c r="D192" s="1077"/>
      <c r="E192" s="1077"/>
      <c r="F192" s="1065">
        <v>0.05</v>
      </c>
    </row>
    <row r="193" spans="1:6" ht="26.5" thickBot="1">
      <c r="A193" s="840" t="s">
        <v>526</v>
      </c>
      <c r="B193" s="834" t="s">
        <v>928</v>
      </c>
      <c r="C193" s="1077"/>
      <c r="D193" s="1077"/>
      <c r="E193" s="1077"/>
      <c r="F193" s="1065">
        <v>0.05</v>
      </c>
    </row>
    <row r="194" spans="1:6" ht="26.5" thickBot="1">
      <c r="A194" s="840" t="s">
        <v>526</v>
      </c>
      <c r="B194" s="834" t="s">
        <v>929</v>
      </c>
      <c r="C194" s="1077"/>
      <c r="D194" s="1077"/>
      <c r="E194" s="1077"/>
      <c r="F194" s="1065">
        <v>0.05</v>
      </c>
    </row>
    <row r="195" spans="1:6" ht="14.5" thickBot="1">
      <c r="A195" s="840" t="s">
        <v>526</v>
      </c>
      <c r="B195" s="834" t="s">
        <v>930</v>
      </c>
      <c r="C195" s="1077"/>
      <c r="D195" s="1077"/>
      <c r="E195" s="1077"/>
      <c r="F195" s="1065">
        <v>0.05</v>
      </c>
    </row>
    <row r="196" spans="1:6" ht="26.5" thickBot="1">
      <c r="A196" s="840" t="s">
        <v>526</v>
      </c>
      <c r="B196" s="834" t="s">
        <v>931</v>
      </c>
      <c r="C196" s="1077"/>
      <c r="D196" s="1077"/>
      <c r="E196" s="1077"/>
      <c r="F196" s="1065">
        <v>0.05</v>
      </c>
    </row>
    <row r="197" spans="1:6" ht="26.5" thickBot="1">
      <c r="A197" s="840" t="s">
        <v>526</v>
      </c>
      <c r="B197" s="834" t="s">
        <v>932</v>
      </c>
      <c r="C197" s="1077"/>
      <c r="D197" s="1077"/>
      <c r="E197" s="1077"/>
      <c r="F197" s="1065">
        <v>0.05</v>
      </c>
    </row>
    <row r="198" spans="1:6" ht="26.5" thickBot="1">
      <c r="A198" s="840" t="s">
        <v>526</v>
      </c>
      <c r="B198" s="834" t="s">
        <v>933</v>
      </c>
      <c r="C198" s="1077"/>
      <c r="D198" s="1077"/>
      <c r="E198" s="1077"/>
      <c r="F198" s="1065">
        <v>0.05</v>
      </c>
    </row>
    <row r="199" spans="1:6" ht="26.5" thickBot="1">
      <c r="A199" s="840" t="s">
        <v>526</v>
      </c>
      <c r="B199" s="834" t="s">
        <v>934</v>
      </c>
      <c r="C199" s="1077"/>
      <c r="D199" s="1077"/>
      <c r="E199" s="1077"/>
      <c r="F199" s="1065">
        <v>0.05</v>
      </c>
    </row>
    <row r="200" spans="1:6" ht="26.5" thickBot="1">
      <c r="A200" s="840" t="s">
        <v>526</v>
      </c>
      <c r="B200" s="834" t="s">
        <v>935</v>
      </c>
      <c r="C200" s="1077"/>
      <c r="D200" s="1077"/>
      <c r="E200" s="1077"/>
      <c r="F200" s="1065">
        <v>0.05</v>
      </c>
    </row>
    <row r="201" spans="1:6" ht="26.5" thickBot="1">
      <c r="A201" s="840" t="s">
        <v>526</v>
      </c>
      <c r="B201" s="834" t="s">
        <v>936</v>
      </c>
      <c r="C201" s="1077"/>
      <c r="D201" s="1077"/>
      <c r="E201" s="1077"/>
      <c r="F201" s="1065">
        <v>0.05</v>
      </c>
    </row>
    <row r="202" spans="1:6" ht="26.5" thickBot="1">
      <c r="A202" s="840" t="s">
        <v>526</v>
      </c>
      <c r="B202" s="834" t="s">
        <v>937</v>
      </c>
      <c r="C202" s="1077"/>
      <c r="D202" s="1077"/>
      <c r="E202" s="1077"/>
      <c r="F202" s="1065">
        <v>0.05</v>
      </c>
    </row>
    <row r="203" spans="1:6" ht="26.5" thickBot="1">
      <c r="A203" s="840" t="s">
        <v>526</v>
      </c>
      <c r="B203" s="834" t="s">
        <v>938</v>
      </c>
      <c r="C203" s="1077"/>
      <c r="D203" s="1077"/>
      <c r="E203" s="1077"/>
      <c r="F203" s="1065">
        <v>0.05</v>
      </c>
    </row>
    <row r="204" spans="1:6" ht="14.5" thickBot="1">
      <c r="A204" s="840" t="s">
        <v>526</v>
      </c>
      <c r="B204" s="834" t="s">
        <v>939</v>
      </c>
      <c r="C204" s="1077"/>
      <c r="D204" s="1077"/>
      <c r="E204" s="1077"/>
      <c r="F204" s="1065">
        <v>0.05</v>
      </c>
    </row>
    <row r="205" spans="1:6" ht="14.5" thickBot="1">
      <c r="A205" s="850" t="s">
        <v>526</v>
      </c>
      <c r="B205" s="846" t="s">
        <v>940</v>
      </c>
      <c r="C205" s="1074"/>
      <c r="D205" s="1074"/>
      <c r="E205" s="1074"/>
      <c r="F205" s="1067">
        <v>0.05</v>
      </c>
    </row>
    <row r="206" spans="1:6" ht="14.5" thickBot="1">
      <c r="A206" s="840" t="s">
        <v>528</v>
      </c>
      <c r="B206" s="841" t="s">
        <v>941</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942</v>
      </c>
      <c r="C210" s="1064">
        <v>0.15</v>
      </c>
      <c r="D210" s="1064">
        <v>0.15</v>
      </c>
      <c r="E210" s="1064">
        <v>0.15</v>
      </c>
      <c r="F210" s="1065">
        <v>0.13800000000000001</v>
      </c>
    </row>
    <row r="211" spans="1:6" ht="14.5" thickBot="1">
      <c r="A211" s="840" t="s">
        <v>528</v>
      </c>
      <c r="B211" s="834" t="s">
        <v>943</v>
      </c>
      <c r="C211" s="1064">
        <v>0.13700000000000001</v>
      </c>
      <c r="D211" s="1064">
        <v>0.13500000000000001</v>
      </c>
      <c r="E211" s="1064">
        <v>0.13600000000000001</v>
      </c>
      <c r="F211" s="1065">
        <v>0.1</v>
      </c>
    </row>
    <row r="212" spans="1:6" ht="14.5" thickBot="1">
      <c r="A212" s="840" t="s">
        <v>528</v>
      </c>
      <c r="B212" s="834" t="s">
        <v>944</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945</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946</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947</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948</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949</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950</v>
      </c>
      <c r="C231" s="1064">
        <v>0.128</v>
      </c>
      <c r="D231" s="1064">
        <v>0.125</v>
      </c>
      <c r="E231" s="1064">
        <v>0.13200000000000001</v>
      </c>
      <c r="F231" s="1076"/>
    </row>
    <row r="232" spans="1:6" ht="14.5" thickBot="1">
      <c r="A232" s="840" t="s">
        <v>528</v>
      </c>
      <c r="B232" s="834" t="s">
        <v>951</v>
      </c>
      <c r="C232" s="1064">
        <v>0.14499999999999999</v>
      </c>
      <c r="D232" s="1064">
        <v>0.14399999999999999</v>
      </c>
      <c r="E232" s="1064">
        <v>0.14599999999999999</v>
      </c>
      <c r="F232" s="1065">
        <v>0.13800000000000001</v>
      </c>
    </row>
    <row r="233" spans="1:6" ht="14.5" thickBot="1">
      <c r="A233" s="840" t="s">
        <v>528</v>
      </c>
      <c r="B233" s="834" t="s">
        <v>952</v>
      </c>
      <c r="C233" s="1064">
        <v>0.14499999999999999</v>
      </c>
      <c r="D233" s="1064">
        <v>0.14299999999999999</v>
      </c>
      <c r="E233" s="1064">
        <v>0.14199999999999999</v>
      </c>
      <c r="F233" s="1076"/>
    </row>
    <row r="234" spans="1:6" ht="14.5" thickBot="1">
      <c r="A234" s="840" t="s">
        <v>528</v>
      </c>
      <c r="B234" s="834" t="s">
        <v>953</v>
      </c>
      <c r="C234" s="1064">
        <v>0.14000000000000001</v>
      </c>
      <c r="D234" s="1064">
        <v>0.14000000000000001</v>
      </c>
      <c r="E234" s="1064">
        <v>0.14399999999999999</v>
      </c>
      <c r="F234" s="1076"/>
    </row>
    <row r="235" spans="1:6" ht="14.5" thickBot="1">
      <c r="A235" s="840" t="s">
        <v>528</v>
      </c>
      <c r="B235" s="834" t="s">
        <v>954</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955</v>
      </c>
      <c r="C237" s="1077"/>
      <c r="D237" s="1077"/>
      <c r="E237" s="1077"/>
      <c r="F237" s="1065">
        <v>0.05</v>
      </c>
    </row>
    <row r="238" spans="1:6" ht="26.5" thickBot="1">
      <c r="A238" s="840" t="s">
        <v>528</v>
      </c>
      <c r="B238" s="834" t="s">
        <v>956</v>
      </c>
      <c r="C238" s="1077"/>
      <c r="D238" s="1077"/>
      <c r="E238" s="1077"/>
      <c r="F238" s="1065">
        <v>0.05</v>
      </c>
    </row>
    <row r="239" spans="1:6" ht="26.5" thickBot="1">
      <c r="A239" s="840" t="s">
        <v>528</v>
      </c>
      <c r="B239" s="834" t="s">
        <v>957</v>
      </c>
      <c r="C239" s="1077"/>
      <c r="D239" s="1077"/>
      <c r="E239" s="1077"/>
      <c r="F239" s="1065">
        <v>0.05</v>
      </c>
    </row>
    <row r="240" spans="1:6" ht="26.5" thickBot="1">
      <c r="A240" s="840" t="s">
        <v>528</v>
      </c>
      <c r="B240" s="834" t="s">
        <v>958</v>
      </c>
      <c r="C240" s="1077"/>
      <c r="D240" s="1077"/>
      <c r="E240" s="1077"/>
      <c r="F240" s="1065">
        <v>0.05</v>
      </c>
    </row>
    <row r="241" spans="1:6" ht="26.5" thickBot="1">
      <c r="A241" s="840" t="s">
        <v>528</v>
      </c>
      <c r="B241" s="834" t="s">
        <v>959</v>
      </c>
      <c r="C241" s="1077"/>
      <c r="D241" s="1077"/>
      <c r="E241" s="1077"/>
      <c r="F241" s="1065">
        <v>0.05</v>
      </c>
    </row>
    <row r="242" spans="1:6" ht="26.5" thickBot="1">
      <c r="A242" s="840" t="s">
        <v>528</v>
      </c>
      <c r="B242" s="834" t="s">
        <v>960</v>
      </c>
      <c r="C242" s="1077"/>
      <c r="D242" s="1077"/>
      <c r="E242" s="1077"/>
      <c r="F242" s="1065">
        <v>0.05</v>
      </c>
    </row>
    <row r="243" spans="1:6" ht="26.5" thickBot="1">
      <c r="A243" s="840" t="s">
        <v>528</v>
      </c>
      <c r="B243" s="834" t="s">
        <v>961</v>
      </c>
      <c r="C243" s="1077"/>
      <c r="D243" s="1077"/>
      <c r="E243" s="1077"/>
      <c r="F243" s="1065">
        <v>0.05</v>
      </c>
    </row>
    <row r="244" spans="1:6" ht="26.5" thickBot="1">
      <c r="A244" s="850" t="s">
        <v>528</v>
      </c>
      <c r="B244" s="846" t="s">
        <v>962</v>
      </c>
      <c r="C244" s="1074"/>
      <c r="D244" s="1074"/>
      <c r="E244" s="1074"/>
      <c r="F244" s="1067">
        <v>0.05</v>
      </c>
    </row>
    <row r="245" spans="1:6" ht="14.5" thickBot="1">
      <c r="A245" s="840" t="s">
        <v>530</v>
      </c>
      <c r="B245" s="841" t="s">
        <v>963</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964</v>
      </c>
      <c r="C247" s="1064">
        <v>0.15</v>
      </c>
      <c r="D247" s="1064">
        <v>0.15</v>
      </c>
      <c r="E247" s="1064">
        <v>0.15</v>
      </c>
      <c r="F247" s="1065">
        <v>0.15</v>
      </c>
    </row>
    <row r="248" spans="1:6" ht="14.5" thickBot="1">
      <c r="A248" s="840" t="s">
        <v>530</v>
      </c>
      <c r="B248" s="834" t="s">
        <v>965</v>
      </c>
      <c r="C248" s="1064">
        <v>0.15</v>
      </c>
      <c r="D248" s="1064">
        <v>0.15</v>
      </c>
      <c r="E248" s="1064">
        <v>0.15</v>
      </c>
      <c r="F248" s="1065">
        <v>0.14000000000000001</v>
      </c>
    </row>
    <row r="249" spans="1:6" ht="14.5" thickBot="1">
      <c r="A249" s="840" t="s">
        <v>530</v>
      </c>
      <c r="B249" s="834" t="s">
        <v>966</v>
      </c>
      <c r="C249" s="1064">
        <v>0.15</v>
      </c>
      <c r="D249" s="1064">
        <v>0.14899999999999999</v>
      </c>
      <c r="E249" s="1064">
        <v>0.15</v>
      </c>
      <c r="F249" s="1065">
        <v>0.1</v>
      </c>
    </row>
    <row r="250" spans="1:6" ht="14.5" thickBot="1">
      <c r="A250" s="840" t="s">
        <v>530</v>
      </c>
      <c r="B250" s="834" t="s">
        <v>967</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968</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969</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970</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971</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972</v>
      </c>
      <c r="C273" s="1064">
        <v>0.14199999999999999</v>
      </c>
      <c r="D273" s="1064">
        <v>0.14299999999999999</v>
      </c>
      <c r="E273" s="1064">
        <v>0.15</v>
      </c>
      <c r="F273" s="1065">
        <v>0.1</v>
      </c>
    </row>
    <row r="274" spans="1:6" ht="14.5" thickBot="1">
      <c r="A274" s="840" t="s">
        <v>530</v>
      </c>
      <c r="B274" s="834" t="s">
        <v>973</v>
      </c>
      <c r="C274" s="1064">
        <v>0.14799999999999999</v>
      </c>
      <c r="D274" s="1064">
        <v>0.14799999999999999</v>
      </c>
      <c r="E274" s="1064">
        <v>0.15</v>
      </c>
      <c r="F274" s="1065">
        <v>6.7000000000000004E-2</v>
      </c>
    </row>
    <row r="275" spans="1:6" ht="14.5" thickBot="1">
      <c r="A275" s="840" t="s">
        <v>530</v>
      </c>
      <c r="B275" s="834" t="s">
        <v>974</v>
      </c>
      <c r="C275" s="1064">
        <v>0.15</v>
      </c>
      <c r="D275" s="1064">
        <v>0.15</v>
      </c>
      <c r="E275" s="1064">
        <v>0.15</v>
      </c>
      <c r="F275" s="1065">
        <v>0.15</v>
      </c>
    </row>
    <row r="276" spans="1:6" ht="14.5" thickBot="1">
      <c r="A276" s="840" t="s">
        <v>530</v>
      </c>
      <c r="B276" s="834" t="s">
        <v>975</v>
      </c>
      <c r="C276" s="1064">
        <v>0.14499999999999999</v>
      </c>
      <c r="D276" s="1064">
        <v>0.14299999999999999</v>
      </c>
      <c r="E276" s="1064">
        <v>0.15</v>
      </c>
      <c r="F276" s="1065">
        <v>5.8999999999999997E-2</v>
      </c>
    </row>
    <row r="277" spans="1:6" ht="14.5" thickBot="1">
      <c r="A277" s="840" t="s">
        <v>530</v>
      </c>
      <c r="B277" s="834" t="s">
        <v>976</v>
      </c>
      <c r="C277" s="1064">
        <v>0.15</v>
      </c>
      <c r="D277" s="1064">
        <v>0.15</v>
      </c>
      <c r="E277" s="1064">
        <v>0.15</v>
      </c>
      <c r="F277" s="1065">
        <v>0.121</v>
      </c>
    </row>
    <row r="278" spans="1:6" ht="14.5" thickBot="1">
      <c r="A278" s="840" t="s">
        <v>530</v>
      </c>
      <c r="B278" s="834" t="s">
        <v>977</v>
      </c>
      <c r="C278" s="1064">
        <v>0.15</v>
      </c>
      <c r="D278" s="1064">
        <v>0.15</v>
      </c>
      <c r="E278" s="1064">
        <v>0.15</v>
      </c>
      <c r="F278" s="1065">
        <v>0.13800000000000001</v>
      </c>
    </row>
    <row r="279" spans="1:6" ht="26.5" thickBot="1">
      <c r="A279" s="840" t="s">
        <v>530</v>
      </c>
      <c r="B279" s="834" t="s">
        <v>978</v>
      </c>
      <c r="C279" s="1077"/>
      <c r="D279" s="1077"/>
      <c r="E279" s="1077"/>
      <c r="F279" s="1065">
        <v>0.05</v>
      </c>
    </row>
    <row r="280" spans="1:6" ht="26.5" thickBot="1">
      <c r="A280" s="840" t="s">
        <v>530</v>
      </c>
      <c r="B280" s="834" t="s">
        <v>979</v>
      </c>
      <c r="C280" s="1077"/>
      <c r="D280" s="1077"/>
      <c r="E280" s="1077"/>
      <c r="F280" s="1065">
        <v>0.05</v>
      </c>
    </row>
    <row r="281" spans="1:6" ht="26.5" thickBot="1">
      <c r="A281" s="840" t="s">
        <v>530</v>
      </c>
      <c r="B281" s="834" t="s">
        <v>980</v>
      </c>
      <c r="C281" s="1077"/>
      <c r="D281" s="1077"/>
      <c r="E281" s="1077"/>
      <c r="F281" s="1065">
        <v>0.05</v>
      </c>
    </row>
    <row r="282" spans="1:6" ht="26.5" thickBot="1">
      <c r="A282" s="840" t="s">
        <v>530</v>
      </c>
      <c r="B282" s="834" t="s">
        <v>981</v>
      </c>
      <c r="C282" s="1077"/>
      <c r="D282" s="1077"/>
      <c r="E282" s="1077"/>
      <c r="F282" s="1065">
        <v>0.05</v>
      </c>
    </row>
    <row r="283" spans="1:6" ht="26.5" thickBot="1">
      <c r="A283" s="840" t="s">
        <v>530</v>
      </c>
      <c r="B283" s="834" t="s">
        <v>982</v>
      </c>
      <c r="C283" s="1077"/>
      <c r="D283" s="1077"/>
      <c r="E283" s="1077"/>
      <c r="F283" s="1065">
        <v>0.05</v>
      </c>
    </row>
    <row r="284" spans="1:6" ht="26.5" thickBot="1">
      <c r="A284" s="840" t="s">
        <v>530</v>
      </c>
      <c r="B284" s="834" t="s">
        <v>983</v>
      </c>
      <c r="C284" s="1077"/>
      <c r="D284" s="1077"/>
      <c r="E284" s="1077"/>
      <c r="F284" s="1065">
        <v>0.05</v>
      </c>
    </row>
    <row r="285" spans="1:6" ht="26.5" thickBot="1">
      <c r="A285" s="840" t="s">
        <v>530</v>
      </c>
      <c r="B285" s="834" t="s">
        <v>984</v>
      </c>
      <c r="C285" s="1077"/>
      <c r="D285" s="1077"/>
      <c r="E285" s="1077"/>
      <c r="F285" s="1065">
        <v>0.05</v>
      </c>
    </row>
    <row r="286" spans="1:6" ht="26.5" thickBot="1">
      <c r="A286" s="840" t="s">
        <v>530</v>
      </c>
      <c r="B286" s="834" t="s">
        <v>985</v>
      </c>
      <c r="C286" s="1077"/>
      <c r="D286" s="1077"/>
      <c r="E286" s="1077"/>
      <c r="F286" s="1065">
        <v>0.05</v>
      </c>
    </row>
    <row r="287" spans="1:6" ht="26.5" thickBot="1">
      <c r="A287" s="840" t="s">
        <v>530</v>
      </c>
      <c r="B287" s="834" t="s">
        <v>986</v>
      </c>
      <c r="C287" s="1077"/>
      <c r="D287" s="1077"/>
      <c r="E287" s="1077"/>
      <c r="F287" s="1065">
        <v>0.05</v>
      </c>
    </row>
    <row r="288" spans="1:6" ht="26.5" thickBot="1">
      <c r="A288" s="840" t="s">
        <v>530</v>
      </c>
      <c r="B288" s="834" t="s">
        <v>987</v>
      </c>
      <c r="C288" s="1077"/>
      <c r="D288" s="1077"/>
      <c r="E288" s="1077"/>
      <c r="F288" s="1065">
        <v>0.05</v>
      </c>
    </row>
    <row r="289" spans="1:6" ht="26.5" thickBot="1">
      <c r="A289" s="850" t="s">
        <v>530</v>
      </c>
      <c r="B289" s="846" t="s">
        <v>988</v>
      </c>
      <c r="C289" s="1074"/>
      <c r="D289" s="1074"/>
      <c r="E289" s="1074"/>
      <c r="F289" s="1067">
        <v>0.05</v>
      </c>
    </row>
    <row r="290" spans="1:6" ht="14.5" thickBot="1">
      <c r="A290" s="840" t="s">
        <v>534</v>
      </c>
      <c r="B290" s="841" t="s">
        <v>989</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990</v>
      </c>
      <c r="C292" s="1064">
        <v>0.15</v>
      </c>
      <c r="D292" s="1064">
        <v>0.15</v>
      </c>
      <c r="E292" s="1064">
        <v>0.15</v>
      </c>
      <c r="F292" s="1065">
        <v>0.14699999999999999</v>
      </c>
    </row>
    <row r="293" spans="1:6" ht="14.5" thickBot="1">
      <c r="A293" s="840" t="s">
        <v>534</v>
      </c>
      <c r="B293" s="834" t="s">
        <v>991</v>
      </c>
      <c r="C293" s="1077"/>
      <c r="D293" s="1077"/>
      <c r="E293" s="1077"/>
      <c r="F293" s="1065">
        <v>0.1</v>
      </c>
    </row>
    <row r="294" spans="1:6" ht="14.5" thickBot="1">
      <c r="A294" s="840" t="s">
        <v>534</v>
      </c>
      <c r="B294" s="834" t="s">
        <v>992</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993</v>
      </c>
      <c r="C296" s="1064">
        <v>0.15</v>
      </c>
      <c r="D296" s="1064">
        <v>0.15</v>
      </c>
      <c r="E296" s="1064">
        <v>0.15</v>
      </c>
      <c r="F296" s="1065">
        <v>0.15</v>
      </c>
    </row>
    <row r="297" spans="1:6" ht="14.5" thickBot="1">
      <c r="A297" s="840" t="s">
        <v>534</v>
      </c>
      <c r="B297" s="834" t="s">
        <v>994</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995</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996</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997</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998</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999</v>
      </c>
      <c r="C310" s="1064">
        <v>0.15</v>
      </c>
      <c r="D310" s="1064">
        <v>0.15</v>
      </c>
      <c r="E310" s="1064">
        <v>0.15</v>
      </c>
      <c r="F310" s="1065">
        <v>0.13700000000000001</v>
      </c>
    </row>
    <row r="311" spans="1:6" ht="14.5" thickBot="1">
      <c r="A311" s="840" t="s">
        <v>534</v>
      </c>
      <c r="B311" s="834" t="s">
        <v>1000</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1001</v>
      </c>
      <c r="C313" s="1064">
        <v>0.15</v>
      </c>
      <c r="D313" s="1064">
        <v>0.15</v>
      </c>
      <c r="E313" s="1064">
        <v>0.15</v>
      </c>
      <c r="F313" s="1065">
        <v>0.15</v>
      </c>
    </row>
    <row r="314" spans="1:6" ht="26.5" thickBot="1">
      <c r="A314" s="840" t="s">
        <v>534</v>
      </c>
      <c r="B314" s="834" t="s">
        <v>1002</v>
      </c>
      <c r="C314" s="1077"/>
      <c r="D314" s="1077"/>
      <c r="E314" s="1077"/>
      <c r="F314" s="1065">
        <v>0.05</v>
      </c>
    </row>
    <row r="315" spans="1:6" ht="26.5" thickBot="1">
      <c r="A315" s="840" t="s">
        <v>534</v>
      </c>
      <c r="B315" s="834" t="s">
        <v>1003</v>
      </c>
      <c r="C315" s="1077"/>
      <c r="D315" s="1077"/>
      <c r="E315" s="1077"/>
      <c r="F315" s="1065">
        <v>0.05</v>
      </c>
    </row>
    <row r="316" spans="1:6" ht="26.5" thickBot="1">
      <c r="A316" s="850" t="s">
        <v>534</v>
      </c>
      <c r="B316" s="846" t="s">
        <v>1004</v>
      </c>
      <c r="C316" s="1074"/>
      <c r="D316" s="1074"/>
      <c r="E316" s="1074"/>
      <c r="F316" s="1067">
        <v>0.05</v>
      </c>
    </row>
    <row r="317" spans="1:6" ht="14.5" thickBot="1">
      <c r="A317" s="840" t="s">
        <v>1005</v>
      </c>
      <c r="B317" s="841" t="s">
        <v>1006</v>
      </c>
      <c r="C317" s="1062">
        <v>0.15</v>
      </c>
      <c r="D317" s="1062">
        <v>0.15</v>
      </c>
      <c r="E317" s="1062">
        <v>0.15</v>
      </c>
      <c r="F317" s="1063">
        <v>0.15</v>
      </c>
    </row>
    <row r="318" spans="1:6" ht="14.5" thickBot="1">
      <c r="A318" s="840" t="s">
        <v>1005</v>
      </c>
      <c r="B318" s="834" t="s">
        <v>1007</v>
      </c>
      <c r="C318" s="1064">
        <v>0.107</v>
      </c>
      <c r="D318" s="1064">
        <v>0.11</v>
      </c>
      <c r="E318" s="1064">
        <v>0.112</v>
      </c>
      <c r="F318" s="1076"/>
    </row>
    <row r="319" spans="1:6" ht="14.5" thickBot="1">
      <c r="A319" s="840" t="s">
        <v>1005</v>
      </c>
      <c r="B319" s="834" t="s">
        <v>1008</v>
      </c>
      <c r="C319" s="1064">
        <v>0.15</v>
      </c>
      <c r="D319" s="1064">
        <v>0.15</v>
      </c>
      <c r="E319" s="1064">
        <v>0.15</v>
      </c>
      <c r="F319" s="1065">
        <v>0.15</v>
      </c>
    </row>
    <row r="320" spans="1:6" ht="14.5" thickBot="1">
      <c r="A320" s="840" t="s">
        <v>1005</v>
      </c>
      <c r="B320" s="834" t="s">
        <v>223</v>
      </c>
      <c r="C320" s="1064">
        <v>0.15</v>
      </c>
      <c r="D320" s="1064">
        <v>0.15</v>
      </c>
      <c r="E320" s="1064">
        <v>0.15</v>
      </c>
      <c r="F320" s="1076"/>
    </row>
    <row r="321" spans="1:6" ht="14.5" thickBot="1">
      <c r="A321" s="840" t="s">
        <v>1005</v>
      </c>
      <c r="B321" s="834" t="s">
        <v>1009</v>
      </c>
      <c r="C321" s="1064">
        <v>0.15</v>
      </c>
      <c r="D321" s="1064">
        <v>0.15</v>
      </c>
      <c r="E321" s="1064">
        <v>0.15</v>
      </c>
      <c r="F321" s="1076"/>
    </row>
    <row r="322" spans="1:6" ht="14.5" thickBot="1">
      <c r="A322" s="840" t="s">
        <v>1005</v>
      </c>
      <c r="B322" s="834" t="s">
        <v>1010</v>
      </c>
      <c r="C322" s="1064">
        <v>0.15</v>
      </c>
      <c r="D322" s="1064">
        <v>0.15</v>
      </c>
      <c r="E322" s="1064">
        <v>0.15</v>
      </c>
      <c r="F322" s="1065">
        <v>0.15</v>
      </c>
    </row>
    <row r="323" spans="1:6" ht="14.5" thickBot="1">
      <c r="A323" s="840" t="s">
        <v>1005</v>
      </c>
      <c r="B323" s="834" t="s">
        <v>1011</v>
      </c>
      <c r="C323" s="1064">
        <v>0.15</v>
      </c>
      <c r="D323" s="1064">
        <v>0.15</v>
      </c>
      <c r="E323" s="1064">
        <v>0.15</v>
      </c>
      <c r="F323" s="1076"/>
    </row>
    <row r="324" spans="1:6" ht="14.5" thickBot="1">
      <c r="A324" s="840" t="s">
        <v>1005</v>
      </c>
      <c r="B324" s="834" t="s">
        <v>1012</v>
      </c>
      <c r="C324" s="1064">
        <v>0.15</v>
      </c>
      <c r="D324" s="1064">
        <v>0.15</v>
      </c>
      <c r="E324" s="1064">
        <v>0.15</v>
      </c>
      <c r="F324" s="1076"/>
    </row>
    <row r="325" spans="1:6" ht="14.5" thickBot="1">
      <c r="A325" s="840" t="s">
        <v>1005</v>
      </c>
      <c r="B325" s="834" t="s">
        <v>1013</v>
      </c>
      <c r="C325" s="1064">
        <v>0.15</v>
      </c>
      <c r="D325" s="1064">
        <v>0.15</v>
      </c>
      <c r="E325" s="1064">
        <v>0.15</v>
      </c>
      <c r="F325" s="1065">
        <v>0.14699999999999999</v>
      </c>
    </row>
    <row r="326" spans="1:6" ht="14.5" thickBot="1">
      <c r="A326" s="840" t="s">
        <v>1005</v>
      </c>
      <c r="B326" s="834" t="s">
        <v>290</v>
      </c>
      <c r="C326" s="1064">
        <v>0.15</v>
      </c>
      <c r="D326" s="1064">
        <v>0.15</v>
      </c>
      <c r="E326" s="1064">
        <v>0.15</v>
      </c>
      <c r="F326" s="1076"/>
    </row>
    <row r="327" spans="1:6" ht="14.5" thickBot="1">
      <c r="A327" s="840" t="s">
        <v>1005</v>
      </c>
      <c r="B327" s="834" t="s">
        <v>1014</v>
      </c>
      <c r="C327" s="1064">
        <v>0.15</v>
      </c>
      <c r="D327" s="1064">
        <v>0.15</v>
      </c>
      <c r="E327" s="1064">
        <v>0.15</v>
      </c>
      <c r="F327" s="1065">
        <v>0.15</v>
      </c>
    </row>
    <row r="328" spans="1:6" ht="14.5" thickBot="1">
      <c r="A328" s="840" t="s">
        <v>1005</v>
      </c>
      <c r="B328" s="834" t="s">
        <v>310</v>
      </c>
      <c r="C328" s="1064">
        <v>0.15</v>
      </c>
      <c r="D328" s="1064">
        <v>0.15</v>
      </c>
      <c r="E328" s="1064">
        <v>0.15</v>
      </c>
      <c r="F328" s="1065">
        <v>0.14099999999999999</v>
      </c>
    </row>
    <row r="329" spans="1:6" ht="14.5" thickBot="1">
      <c r="A329" s="840" t="s">
        <v>1005</v>
      </c>
      <c r="B329" s="834" t="s">
        <v>320</v>
      </c>
      <c r="C329" s="1064">
        <v>0.15</v>
      </c>
      <c r="D329" s="1064">
        <v>0.15</v>
      </c>
      <c r="E329" s="1064">
        <v>0.15</v>
      </c>
      <c r="F329" s="1065">
        <v>0.15</v>
      </c>
    </row>
    <row r="330" spans="1:6" ht="14.5" thickBot="1">
      <c r="A330" s="840" t="s">
        <v>1005</v>
      </c>
      <c r="B330" s="834" t="s">
        <v>331</v>
      </c>
      <c r="C330" s="1064">
        <v>0.15</v>
      </c>
      <c r="D330" s="1064">
        <v>0.15</v>
      </c>
      <c r="E330" s="1064">
        <v>0.15</v>
      </c>
      <c r="F330" s="1076"/>
    </row>
    <row r="331" spans="1:6" ht="14.5" thickBot="1">
      <c r="A331" s="840" t="s">
        <v>1005</v>
      </c>
      <c r="B331" s="834" t="s">
        <v>1015</v>
      </c>
      <c r="C331" s="1064">
        <v>0.15</v>
      </c>
      <c r="D331" s="1064">
        <v>0.15</v>
      </c>
      <c r="E331" s="1064">
        <v>0.15</v>
      </c>
      <c r="F331" s="1065">
        <v>0.15</v>
      </c>
    </row>
    <row r="332" spans="1:6" ht="14.5" thickBot="1">
      <c r="A332" s="840" t="s">
        <v>1005</v>
      </c>
      <c r="B332" s="834" t="s">
        <v>352</v>
      </c>
      <c r="C332" s="1064">
        <v>0.15</v>
      </c>
      <c r="D332" s="1064">
        <v>0.15</v>
      </c>
      <c r="E332" s="1064">
        <v>0.15</v>
      </c>
      <c r="F332" s="1065">
        <v>0.15</v>
      </c>
    </row>
    <row r="333" spans="1:6" ht="14.5" thickBot="1">
      <c r="A333" s="840" t="s">
        <v>1005</v>
      </c>
      <c r="B333" s="834" t="s">
        <v>1016</v>
      </c>
      <c r="C333" s="1064">
        <v>0.15</v>
      </c>
      <c r="D333" s="1064">
        <v>0.15</v>
      </c>
      <c r="E333" s="1064">
        <v>0.15</v>
      </c>
      <c r="F333" s="1065">
        <v>0.14099999999999999</v>
      </c>
    </row>
    <row r="334" spans="1:6" ht="14.5" thickBot="1">
      <c r="A334" s="840" t="s">
        <v>1005</v>
      </c>
      <c r="B334" s="834" t="s">
        <v>372</v>
      </c>
      <c r="C334" s="1064">
        <v>0.15</v>
      </c>
      <c r="D334" s="1064">
        <v>0.15</v>
      </c>
      <c r="E334" s="1064">
        <v>0.15</v>
      </c>
      <c r="F334" s="1065">
        <v>0.15</v>
      </c>
    </row>
    <row r="335" spans="1:6" ht="14.5" thickBot="1">
      <c r="A335" s="840" t="s">
        <v>1005</v>
      </c>
      <c r="B335" s="834" t="s">
        <v>382</v>
      </c>
      <c r="C335" s="1064">
        <v>0.15</v>
      </c>
      <c r="D335" s="1064">
        <v>0.15</v>
      </c>
      <c r="E335" s="1064">
        <v>0.15</v>
      </c>
      <c r="F335" s="1076"/>
    </row>
    <row r="336" spans="1:6" ht="14.5" thickBot="1">
      <c r="A336" s="840" t="s">
        <v>1005</v>
      </c>
      <c r="B336" s="834" t="s">
        <v>1017</v>
      </c>
      <c r="C336" s="1064">
        <v>0.15</v>
      </c>
      <c r="D336" s="1064">
        <v>0.15</v>
      </c>
      <c r="E336" s="1064">
        <v>0.15</v>
      </c>
      <c r="F336" s="1065">
        <v>0.11799999999999999</v>
      </c>
    </row>
    <row r="337" spans="1:6" ht="14.5" thickBot="1">
      <c r="A337" s="850" t="s">
        <v>1005</v>
      </c>
      <c r="B337" s="846" t="s">
        <v>400</v>
      </c>
      <c r="C337" s="1074"/>
      <c r="D337" s="1074"/>
      <c r="E337" s="1074"/>
      <c r="F337" s="1067">
        <v>0.14299999999999999</v>
      </c>
    </row>
    <row r="338" spans="1:6" ht="14.5" thickBot="1">
      <c r="A338" s="840" t="s">
        <v>1018</v>
      </c>
      <c r="B338" s="841" t="s">
        <v>1019</v>
      </c>
      <c r="C338" s="1062">
        <v>0.15</v>
      </c>
      <c r="D338" s="1062">
        <v>0.15</v>
      </c>
      <c r="E338" s="1062">
        <v>0.15</v>
      </c>
      <c r="F338" s="1079"/>
    </row>
    <row r="339" spans="1:6" ht="14.5" thickBot="1">
      <c r="A339" s="840" t="s">
        <v>1018</v>
      </c>
      <c r="B339" s="834" t="s">
        <v>1020</v>
      </c>
      <c r="C339" s="1064">
        <v>0.15</v>
      </c>
      <c r="D339" s="1064">
        <v>0.15</v>
      </c>
      <c r="E339" s="1064">
        <v>0.15</v>
      </c>
      <c r="F339" s="1076"/>
    </row>
    <row r="340" spans="1:6" ht="14.5" thickBot="1">
      <c r="A340" s="840" t="s">
        <v>1018</v>
      </c>
      <c r="B340" s="834" t="s">
        <v>1021</v>
      </c>
      <c r="C340" s="1064">
        <v>0.15</v>
      </c>
      <c r="D340" s="1064">
        <v>0.15</v>
      </c>
      <c r="E340" s="1064">
        <v>0.15</v>
      </c>
      <c r="F340" s="1076"/>
    </row>
    <row r="341" spans="1:6" ht="14.5" thickBot="1">
      <c r="A341" s="840" t="s">
        <v>1018</v>
      </c>
      <c r="B341" s="834" t="s">
        <v>1022</v>
      </c>
      <c r="C341" s="1064">
        <v>0.15</v>
      </c>
      <c r="D341" s="1064">
        <v>0.15</v>
      </c>
      <c r="E341" s="1064">
        <v>0.15</v>
      </c>
      <c r="F341" s="1065">
        <v>0.15</v>
      </c>
    </row>
    <row r="342" spans="1:6" ht="14.5" thickBot="1">
      <c r="A342" s="840" t="s">
        <v>1018</v>
      </c>
      <c r="B342" s="834" t="s">
        <v>1023</v>
      </c>
      <c r="C342" s="1064">
        <v>0.15</v>
      </c>
      <c r="D342" s="1064">
        <v>0.15</v>
      </c>
      <c r="E342" s="1064">
        <v>0.15</v>
      </c>
      <c r="F342" s="1065">
        <v>0.15</v>
      </c>
    </row>
    <row r="343" spans="1:6" ht="14.5" thickBot="1">
      <c r="A343" s="840" t="s">
        <v>1018</v>
      </c>
      <c r="B343" s="834" t="s">
        <v>1024</v>
      </c>
      <c r="C343" s="1064">
        <v>0.15</v>
      </c>
      <c r="D343" s="1064">
        <v>0.15</v>
      </c>
      <c r="E343" s="1064">
        <v>0.15</v>
      </c>
      <c r="F343" s="1065">
        <v>0.15</v>
      </c>
    </row>
    <row r="344" spans="1:6" ht="14.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4"/>
  <cols>
    <col min="1" max="1" width="4.90625" style="1638" customWidth="1"/>
    <col min="2" max="2" width="13.2695312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26953125" style="1644" customWidth="1"/>
    <col min="9" max="9" width="9" style="1644"/>
    <col min="10" max="10" width="9.36328125" style="1644" bestFit="1" customWidth="1"/>
    <col min="11" max="11" width="4" style="1638" customWidth="1"/>
    <col min="12" max="12" width="5.08984375" style="1644" customWidth="1"/>
    <col min="13" max="13" width="13.7265625" style="1644" customWidth="1"/>
    <col min="14" max="256" width="9" style="1644"/>
    <col min="257" max="257" width="4.90625" style="1635" customWidth="1"/>
    <col min="258" max="258" width="13.2695312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7265625" style="1635" customWidth="1"/>
    <col min="270" max="512" width="9" style="1635"/>
    <col min="513" max="513" width="4.90625" style="1635" customWidth="1"/>
    <col min="514" max="514" width="13.2695312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7265625" style="1635" customWidth="1"/>
    <col min="526" max="768" width="9" style="1635"/>
    <col min="769" max="769" width="4.90625" style="1635" customWidth="1"/>
    <col min="770" max="770" width="13.2695312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7265625" style="1635" customWidth="1"/>
    <col min="782" max="1024" width="9" style="1635"/>
    <col min="1025" max="1025" width="4.90625" style="1635" customWidth="1"/>
    <col min="1026" max="1026" width="13.2695312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7265625" style="1635" customWidth="1"/>
    <col min="1038" max="1280" width="9" style="1635"/>
    <col min="1281" max="1281" width="4.90625" style="1635" customWidth="1"/>
    <col min="1282" max="1282" width="13.2695312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7265625" style="1635" customWidth="1"/>
    <col min="1294" max="1536" width="9" style="1635"/>
    <col min="1537" max="1537" width="4.90625" style="1635" customWidth="1"/>
    <col min="1538" max="1538" width="13.2695312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7265625" style="1635" customWidth="1"/>
    <col min="1550" max="1792" width="9" style="1635"/>
    <col min="1793" max="1793" width="4.90625" style="1635" customWidth="1"/>
    <col min="1794" max="1794" width="13.2695312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7265625" style="1635" customWidth="1"/>
    <col min="1806" max="2048" width="9" style="1635"/>
    <col min="2049" max="2049" width="4.90625" style="1635" customWidth="1"/>
    <col min="2050" max="2050" width="13.2695312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7265625" style="1635" customWidth="1"/>
    <col min="2062" max="2304" width="9" style="1635"/>
    <col min="2305" max="2305" width="4.90625" style="1635" customWidth="1"/>
    <col min="2306" max="2306" width="13.2695312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7265625" style="1635" customWidth="1"/>
    <col min="2318" max="2560" width="9" style="1635"/>
    <col min="2561" max="2561" width="4.90625" style="1635" customWidth="1"/>
    <col min="2562" max="2562" width="13.2695312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7265625" style="1635" customWidth="1"/>
    <col min="2574" max="2816" width="9" style="1635"/>
    <col min="2817" max="2817" width="4.90625" style="1635" customWidth="1"/>
    <col min="2818" max="2818" width="13.2695312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7265625" style="1635" customWidth="1"/>
    <col min="2830" max="3072" width="9" style="1635"/>
    <col min="3073" max="3073" width="4.90625" style="1635" customWidth="1"/>
    <col min="3074" max="3074" width="13.2695312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7265625" style="1635" customWidth="1"/>
    <col min="3086" max="3328" width="9" style="1635"/>
    <col min="3329" max="3329" width="4.90625" style="1635" customWidth="1"/>
    <col min="3330" max="3330" width="13.2695312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7265625" style="1635" customWidth="1"/>
    <col min="3342" max="3584" width="9" style="1635"/>
    <col min="3585" max="3585" width="4.90625" style="1635" customWidth="1"/>
    <col min="3586" max="3586" width="13.2695312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7265625" style="1635" customWidth="1"/>
    <col min="3598" max="3840" width="9" style="1635"/>
    <col min="3841" max="3841" width="4.90625" style="1635" customWidth="1"/>
    <col min="3842" max="3842" width="13.2695312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7265625" style="1635" customWidth="1"/>
    <col min="3854" max="4096" width="9" style="1635"/>
    <col min="4097" max="4097" width="4.90625" style="1635" customWidth="1"/>
    <col min="4098" max="4098" width="13.2695312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7265625" style="1635" customWidth="1"/>
    <col min="4110" max="4352" width="9" style="1635"/>
    <col min="4353" max="4353" width="4.90625" style="1635" customWidth="1"/>
    <col min="4354" max="4354" width="13.2695312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7265625" style="1635" customWidth="1"/>
    <col min="4366" max="4608" width="9" style="1635"/>
    <col min="4609" max="4609" width="4.90625" style="1635" customWidth="1"/>
    <col min="4610" max="4610" width="13.2695312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7265625" style="1635" customWidth="1"/>
    <col min="4622" max="4864" width="9" style="1635"/>
    <col min="4865" max="4865" width="4.90625" style="1635" customWidth="1"/>
    <col min="4866" max="4866" width="13.2695312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7265625" style="1635" customWidth="1"/>
    <col min="4878" max="5120" width="9" style="1635"/>
    <col min="5121" max="5121" width="4.90625" style="1635" customWidth="1"/>
    <col min="5122" max="5122" width="13.2695312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7265625" style="1635" customWidth="1"/>
    <col min="5134" max="5376" width="9" style="1635"/>
    <col min="5377" max="5377" width="4.90625" style="1635" customWidth="1"/>
    <col min="5378" max="5378" width="13.2695312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7265625" style="1635" customWidth="1"/>
    <col min="5390" max="5632" width="9" style="1635"/>
    <col min="5633" max="5633" width="4.90625" style="1635" customWidth="1"/>
    <col min="5634" max="5634" width="13.2695312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7265625" style="1635" customWidth="1"/>
    <col min="5646" max="5888" width="9" style="1635"/>
    <col min="5889" max="5889" width="4.90625" style="1635" customWidth="1"/>
    <col min="5890" max="5890" width="13.2695312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7265625" style="1635" customWidth="1"/>
    <col min="5902" max="6144" width="9" style="1635"/>
    <col min="6145" max="6145" width="4.90625" style="1635" customWidth="1"/>
    <col min="6146" max="6146" width="13.2695312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7265625" style="1635" customWidth="1"/>
    <col min="6158" max="6400" width="9" style="1635"/>
    <col min="6401" max="6401" width="4.90625" style="1635" customWidth="1"/>
    <col min="6402" max="6402" width="13.2695312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7265625" style="1635" customWidth="1"/>
    <col min="6414" max="6656" width="9" style="1635"/>
    <col min="6657" max="6657" width="4.90625" style="1635" customWidth="1"/>
    <col min="6658" max="6658" width="13.2695312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7265625" style="1635" customWidth="1"/>
    <col min="6670" max="6912" width="9" style="1635"/>
    <col min="6913" max="6913" width="4.90625" style="1635" customWidth="1"/>
    <col min="6914" max="6914" width="13.2695312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7265625" style="1635" customWidth="1"/>
    <col min="6926" max="7168" width="9" style="1635"/>
    <col min="7169" max="7169" width="4.90625" style="1635" customWidth="1"/>
    <col min="7170" max="7170" width="13.2695312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7265625" style="1635" customWidth="1"/>
    <col min="7182" max="7424" width="9" style="1635"/>
    <col min="7425" max="7425" width="4.90625" style="1635" customWidth="1"/>
    <col min="7426" max="7426" width="13.2695312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7265625" style="1635" customWidth="1"/>
    <col min="7438" max="7680" width="9" style="1635"/>
    <col min="7681" max="7681" width="4.90625" style="1635" customWidth="1"/>
    <col min="7682" max="7682" width="13.2695312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7265625" style="1635" customWidth="1"/>
    <col min="7694" max="7936" width="9" style="1635"/>
    <col min="7937" max="7937" width="4.90625" style="1635" customWidth="1"/>
    <col min="7938" max="7938" width="13.2695312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7265625" style="1635" customWidth="1"/>
    <col min="7950" max="8192" width="9" style="1635"/>
    <col min="8193" max="8193" width="4.90625" style="1635" customWidth="1"/>
    <col min="8194" max="8194" width="13.2695312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7265625" style="1635" customWidth="1"/>
    <col min="8206" max="8448" width="9" style="1635"/>
    <col min="8449" max="8449" width="4.90625" style="1635" customWidth="1"/>
    <col min="8450" max="8450" width="13.2695312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7265625" style="1635" customWidth="1"/>
    <col min="8462" max="8704" width="9" style="1635"/>
    <col min="8705" max="8705" width="4.90625" style="1635" customWidth="1"/>
    <col min="8706" max="8706" width="13.2695312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7265625" style="1635" customWidth="1"/>
    <col min="8718" max="8960" width="9" style="1635"/>
    <col min="8961" max="8961" width="4.90625" style="1635" customWidth="1"/>
    <col min="8962" max="8962" width="13.2695312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7265625" style="1635" customWidth="1"/>
    <col min="8974" max="9216" width="9" style="1635"/>
    <col min="9217" max="9217" width="4.90625" style="1635" customWidth="1"/>
    <col min="9218" max="9218" width="13.2695312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7265625" style="1635" customWidth="1"/>
    <col min="9230" max="9472" width="9" style="1635"/>
    <col min="9473" max="9473" width="4.90625" style="1635" customWidth="1"/>
    <col min="9474" max="9474" width="13.2695312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7265625" style="1635" customWidth="1"/>
    <col min="9486" max="9728" width="9" style="1635"/>
    <col min="9729" max="9729" width="4.90625" style="1635" customWidth="1"/>
    <col min="9730" max="9730" width="13.2695312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7265625" style="1635" customWidth="1"/>
    <col min="9742" max="9984" width="9" style="1635"/>
    <col min="9985" max="9985" width="4.90625" style="1635" customWidth="1"/>
    <col min="9986" max="9986" width="13.2695312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7265625" style="1635" customWidth="1"/>
    <col min="9998" max="10240" width="9" style="1635"/>
    <col min="10241" max="10241" width="4.90625" style="1635" customWidth="1"/>
    <col min="10242" max="10242" width="13.2695312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7265625" style="1635" customWidth="1"/>
    <col min="10254" max="10496" width="9" style="1635"/>
    <col min="10497" max="10497" width="4.90625" style="1635" customWidth="1"/>
    <col min="10498" max="10498" width="13.2695312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7265625" style="1635" customWidth="1"/>
    <col min="10510" max="10752" width="9" style="1635"/>
    <col min="10753" max="10753" width="4.90625" style="1635" customWidth="1"/>
    <col min="10754" max="10754" width="13.2695312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7265625" style="1635" customWidth="1"/>
    <col min="10766" max="11008" width="9" style="1635"/>
    <col min="11009" max="11009" width="4.90625" style="1635" customWidth="1"/>
    <col min="11010" max="11010" width="13.2695312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7265625" style="1635" customWidth="1"/>
    <col min="11022" max="11264" width="9" style="1635"/>
    <col min="11265" max="11265" width="4.90625" style="1635" customWidth="1"/>
    <col min="11266" max="11266" width="13.2695312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7265625" style="1635" customWidth="1"/>
    <col min="11278" max="11520" width="9" style="1635"/>
    <col min="11521" max="11521" width="4.90625" style="1635" customWidth="1"/>
    <col min="11522" max="11522" width="13.2695312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7265625" style="1635" customWidth="1"/>
    <col min="11534" max="11776" width="9" style="1635"/>
    <col min="11777" max="11777" width="4.90625" style="1635" customWidth="1"/>
    <col min="11778" max="11778" width="13.2695312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7265625" style="1635" customWidth="1"/>
    <col min="11790" max="12032" width="9" style="1635"/>
    <col min="12033" max="12033" width="4.90625" style="1635" customWidth="1"/>
    <col min="12034" max="12034" width="13.2695312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7265625" style="1635" customWidth="1"/>
    <col min="12046" max="12288" width="9" style="1635"/>
    <col min="12289" max="12289" width="4.90625" style="1635" customWidth="1"/>
    <col min="12290" max="12290" width="13.2695312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7265625" style="1635" customWidth="1"/>
    <col min="12302" max="12544" width="9" style="1635"/>
    <col min="12545" max="12545" width="4.90625" style="1635" customWidth="1"/>
    <col min="12546" max="12546" width="13.2695312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7265625" style="1635" customWidth="1"/>
    <col min="12558" max="12800" width="9" style="1635"/>
    <col min="12801" max="12801" width="4.90625" style="1635" customWidth="1"/>
    <col min="12802" max="12802" width="13.2695312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7265625" style="1635" customWidth="1"/>
    <col min="12814" max="13056" width="9" style="1635"/>
    <col min="13057" max="13057" width="4.90625" style="1635" customWidth="1"/>
    <col min="13058" max="13058" width="13.2695312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7265625" style="1635" customWidth="1"/>
    <col min="13070" max="13312" width="9" style="1635"/>
    <col min="13313" max="13313" width="4.90625" style="1635" customWidth="1"/>
    <col min="13314" max="13314" width="13.2695312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7265625" style="1635" customWidth="1"/>
    <col min="13326" max="13568" width="9" style="1635"/>
    <col min="13569" max="13569" width="4.90625" style="1635" customWidth="1"/>
    <col min="13570" max="13570" width="13.2695312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7265625" style="1635" customWidth="1"/>
    <col min="13582" max="13824" width="9" style="1635"/>
    <col min="13825" max="13825" width="4.90625" style="1635" customWidth="1"/>
    <col min="13826" max="13826" width="13.2695312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7265625" style="1635" customWidth="1"/>
    <col min="13838" max="14080" width="9" style="1635"/>
    <col min="14081" max="14081" width="4.90625" style="1635" customWidth="1"/>
    <col min="14082" max="14082" width="13.2695312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7265625" style="1635" customWidth="1"/>
    <col min="14094" max="14336" width="9" style="1635"/>
    <col min="14337" max="14337" width="4.90625" style="1635" customWidth="1"/>
    <col min="14338" max="14338" width="13.2695312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7265625" style="1635" customWidth="1"/>
    <col min="14350" max="14592" width="9" style="1635"/>
    <col min="14593" max="14593" width="4.90625" style="1635" customWidth="1"/>
    <col min="14594" max="14594" width="13.2695312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7265625" style="1635" customWidth="1"/>
    <col min="14606" max="14848" width="9" style="1635"/>
    <col min="14849" max="14849" width="4.90625" style="1635" customWidth="1"/>
    <col min="14850" max="14850" width="13.2695312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7265625" style="1635" customWidth="1"/>
    <col min="14862" max="15104" width="9" style="1635"/>
    <col min="15105" max="15105" width="4.90625" style="1635" customWidth="1"/>
    <col min="15106" max="15106" width="13.2695312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7265625" style="1635" customWidth="1"/>
    <col min="15118" max="15360" width="9" style="1635"/>
    <col min="15361" max="15361" width="4.90625" style="1635" customWidth="1"/>
    <col min="15362" max="15362" width="13.2695312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7265625" style="1635" customWidth="1"/>
    <col min="15374" max="15616" width="9" style="1635"/>
    <col min="15617" max="15617" width="4.90625" style="1635" customWidth="1"/>
    <col min="15618" max="15618" width="13.2695312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7265625" style="1635" customWidth="1"/>
    <col min="15630" max="15872" width="9" style="1635"/>
    <col min="15873" max="15873" width="4.90625" style="1635" customWidth="1"/>
    <col min="15874" max="15874" width="13.2695312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7265625" style="1635" customWidth="1"/>
    <col min="15886" max="16128" width="9" style="1635"/>
    <col min="16129" max="16129" width="4.90625" style="1635" customWidth="1"/>
    <col min="16130" max="16130" width="13.2695312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7265625" style="1635" customWidth="1"/>
    <col min="16142" max="16384" width="9" style="1635"/>
  </cols>
  <sheetData>
    <row r="1" spans="1:257" s="1699" customFormat="1" ht="14.5" thickBot="1">
      <c r="A1" s="1693"/>
      <c r="B1" s="1700" t="s">
        <v>1296</v>
      </c>
      <c r="C1" s="1694">
        <f>项目基本情况!D3</f>
        <v>43913</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3" customWidth="1"/>
    <col min="2" max="9" width="12.08984375" style="1943" customWidth="1"/>
    <col min="10" max="16384" width="9" style="1943"/>
  </cols>
  <sheetData>
    <row r="1" spans="1:9" ht="18.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1636</v>
      </c>
      <c r="B2" s="3089" t="s">
        <v>1637</v>
      </c>
      <c r="C2" s="3089" t="s">
        <v>1638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6">
      <c r="A3" s="3083"/>
      <c r="B3" s="3083"/>
      <c r="C3" s="3083"/>
      <c r="D3" s="1044" t="s">
        <v>1633</v>
      </c>
      <c r="E3" s="1044" t="s">
        <v>1639</v>
      </c>
      <c r="F3" s="1044" t="s">
        <v>1633</v>
      </c>
      <c r="G3" s="1044" t="s">
        <v>1634</v>
      </c>
      <c r="H3" s="1044" t="s">
        <v>1633</v>
      </c>
      <c r="I3" s="1044" t="s">
        <v>1634</v>
      </c>
    </row>
    <row r="4" spans="1:9" ht="46.5">
      <c r="A4" s="1971" t="str">
        <f>项目基本情况!S2</f>
        <v>海南省三亚市海棠湾镇海棠湾旅游区出让国有建设用地使用权及在建建筑物房地产</v>
      </c>
      <c r="B4" s="1044">
        <f>项目基本情况!C17</f>
        <v>106874.1</v>
      </c>
      <c r="C4" s="1044">
        <f>项目基本情况!C18</f>
        <v>88343.87</v>
      </c>
      <c r="D4" s="1044">
        <f ca="1">结果表!D118</f>
        <v>147681</v>
      </c>
      <c r="E4" s="1044">
        <f ca="1">结果表!E118</f>
        <v>18244</v>
      </c>
      <c r="F4" s="1044">
        <f ca="1">结果表!F118</f>
        <v>33969</v>
      </c>
      <c r="G4" s="1044">
        <f ca="1">结果表!G118</f>
        <v>4196</v>
      </c>
      <c r="H4" s="1044">
        <f ca="1">结果表!H118</f>
        <v>181650</v>
      </c>
      <c r="I4" s="1044">
        <f ca="1">结果表!I118</f>
        <v>22440</v>
      </c>
    </row>
    <row r="5" spans="1:9" ht="30" customHeight="1">
      <c r="A5" s="3083" t="s">
        <v>1635</v>
      </c>
      <c r="B5" s="3083"/>
      <c r="C5" s="3083"/>
      <c r="D5" s="3084" t="str">
        <f ca="1">结果表!D119</f>
        <v>壹拾肆亿柒仟陆佰捌拾壹万元整</v>
      </c>
      <c r="E5" s="3084"/>
      <c r="F5" s="3084" t="str">
        <f ca="1">结果表!F119</f>
        <v>叁亿叁仟玖佰陆拾玖万元整</v>
      </c>
      <c r="G5" s="3084"/>
      <c r="H5" s="3084" t="str">
        <f ca="1">结果表!H119</f>
        <v>壹拾捌亿壹仟陆佰伍拾万元整</v>
      </c>
      <c r="I5" s="3084"/>
    </row>
    <row r="6" spans="1:9" ht="15.5">
      <c r="A6" s="3082" t="str">
        <f>结果表!A120</f>
        <v>估价师知悉的法定优先受偿款</v>
      </c>
      <c r="B6" s="3082"/>
      <c r="C6" s="3082"/>
      <c r="D6" s="3082">
        <f>结果表!D120</f>
        <v>0</v>
      </c>
      <c r="E6" s="3082"/>
      <c r="F6" s="3082"/>
      <c r="G6" s="3082"/>
      <c r="H6" s="3082"/>
      <c r="I6" s="3082"/>
    </row>
    <row r="7" spans="1:9" ht="15.5">
      <c r="A7" s="3083" t="s">
        <v>1635</v>
      </c>
      <c r="B7" s="3083"/>
      <c r="C7" s="3083"/>
      <c r="D7" s="3085" t="str">
        <f>结果表!D121</f>
        <v>零元整</v>
      </c>
      <c r="E7" s="3086"/>
      <c r="F7" s="3086"/>
      <c r="G7" s="3086"/>
      <c r="H7" s="3086"/>
      <c r="I7" s="3087"/>
    </row>
    <row r="8" spans="1:9" ht="15.5">
      <c r="A8" s="3082" t="str">
        <f>结果表!A122</f>
        <v>房地产抵押价值</v>
      </c>
      <c r="B8" s="3082"/>
      <c r="C8" s="3082"/>
      <c r="D8" s="3082">
        <f ca="1">结果表!D122</f>
        <v>181650</v>
      </c>
      <c r="E8" s="3082"/>
      <c r="F8" s="3082"/>
      <c r="G8" s="3082"/>
      <c r="H8" s="3082"/>
      <c r="I8" s="3082"/>
    </row>
    <row r="9" spans="1:9" ht="15.5">
      <c r="A9" s="3083" t="s">
        <v>1635</v>
      </c>
      <c r="B9" s="3083"/>
      <c r="C9" s="3083"/>
      <c r="D9" s="3084" t="str">
        <f ca="1">结果表!D123</f>
        <v>壹拾捌亿壹仟陆佰伍拾万元整</v>
      </c>
      <c r="E9" s="3084"/>
      <c r="F9" s="3084"/>
      <c r="G9" s="3084"/>
      <c r="H9" s="3084"/>
      <c r="I9" s="3084"/>
    </row>
    <row r="10" spans="1:9" ht="15.5">
      <c r="A10" s="3082" t="str">
        <f>结果表!A124</f>
        <v/>
      </c>
      <c r="B10" s="3082"/>
      <c r="C10" s="3082"/>
      <c r="D10" s="3082" t="str">
        <f>结果表!D124</f>
        <v>——</v>
      </c>
      <c r="E10" s="3082"/>
      <c r="F10" s="3082"/>
      <c r="G10" s="3082"/>
      <c r="H10" s="3082"/>
      <c r="I10" s="3082"/>
    </row>
    <row r="11" spans="1:9" ht="15.5">
      <c r="A11" s="3083" t="s">
        <v>1635</v>
      </c>
      <c r="B11" s="3083"/>
      <c r="C11" s="3083"/>
      <c r="D11" s="3084" t="e">
        <f>结果表!D125</f>
        <v>#VALUE!</v>
      </c>
      <c r="E11" s="3084"/>
      <c r="F11" s="3084"/>
      <c r="G11" s="3084"/>
      <c r="H11" s="3084"/>
      <c r="I11" s="3084"/>
    </row>
    <row r="12" spans="1:9" ht="15.5">
      <c r="A12" s="3082" t="str">
        <f>结果表!A126</f>
        <v/>
      </c>
      <c r="B12" s="3082"/>
      <c r="C12" s="3082"/>
      <c r="D12" s="3082" t="str">
        <f>结果表!D126</f>
        <v>——</v>
      </c>
      <c r="E12" s="3082"/>
      <c r="F12" s="3082"/>
      <c r="G12" s="3082"/>
      <c r="H12" s="3082"/>
      <c r="I12" s="3082"/>
    </row>
    <row r="13" spans="1:9" ht="16" thickBot="1">
      <c r="A13" s="3079" t="s">
        <v>1635</v>
      </c>
      <c r="B13" s="3079"/>
      <c r="C13" s="3079"/>
      <c r="D13" s="3080" t="e">
        <f>结果表!D127</f>
        <v>#VALUE!</v>
      </c>
      <c r="E13" s="3080"/>
      <c r="F13" s="3080"/>
      <c r="G13" s="3080"/>
      <c r="H13" s="3080"/>
      <c r="I13" s="3080"/>
    </row>
    <row r="14" spans="1:9" ht="14.5" thickTop="1">
      <c r="A14" s="3081" t="s">
        <v>1640</v>
      </c>
      <c r="B14" s="3081"/>
      <c r="C14" s="3081"/>
      <c r="D14" s="3081"/>
      <c r="E14" s="3081"/>
      <c r="F14" s="3081"/>
      <c r="G14" s="3081"/>
      <c r="H14" s="3081"/>
      <c r="I14" s="3081"/>
    </row>
    <row r="16" spans="1:9" ht="1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4"/>
  <sheetData>
    <row r="1" spans="1:13" ht="27">
      <c r="A1" s="1781" t="s">
        <v>1368</v>
      </c>
      <c r="E1" s="1775" t="s">
        <v>1372</v>
      </c>
      <c r="F1" s="1776" t="s">
        <v>1376</v>
      </c>
    </row>
    <row r="2" spans="1:13" ht="20">
      <c r="A2" s="1782" t="s">
        <v>1369</v>
      </c>
    </row>
    <row r="3" spans="1:13" ht="16.5">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3" customWidth="1"/>
    <col min="2" max="3" width="22.36328125" style="1943" customWidth="1"/>
    <col min="4" max="4" width="23" style="1943" customWidth="1"/>
    <col min="5" max="16384" width="9" style="1943"/>
  </cols>
  <sheetData>
    <row r="1" spans="1:4" ht="18">
      <c r="A1" s="3096" t="s">
        <v>1657</v>
      </c>
      <c r="B1" s="3096"/>
      <c r="C1" s="3096"/>
      <c r="D1" s="3096"/>
    </row>
    <row r="2" spans="1:4" ht="18">
      <c r="A2" s="3097" t="s">
        <v>1641</v>
      </c>
      <c r="B2" s="3097"/>
      <c r="C2" s="3097"/>
      <c r="D2" s="3097"/>
    </row>
    <row r="3" spans="1:4" ht="17.5">
      <c r="A3" s="1975" t="s">
        <v>1642</v>
      </c>
      <c r="B3" s="1975" t="s">
        <v>1643</v>
      </c>
      <c r="C3" s="1975" t="s">
        <v>1644</v>
      </c>
      <c r="D3" s="1975" t="s">
        <v>1645</v>
      </c>
    </row>
    <row r="4" spans="1:4" ht="56.25" customHeight="1">
      <c r="A4" s="1976" t="str">
        <f>项目基本情况!B4</f>
        <v>吴薇</v>
      </c>
      <c r="B4" s="1977">
        <f ca="1">项目基本情况!C4</f>
        <v>0</v>
      </c>
      <c r="C4" s="1978"/>
      <c r="D4" s="1979" t="s">
        <v>1646</v>
      </c>
    </row>
    <row r="5" spans="1:4" ht="56.25" customHeight="1">
      <c r="A5" s="1976" t="str">
        <f>项目基本情况!D4</f>
        <v>崔锴</v>
      </c>
      <c r="B5" s="1977">
        <f ca="1">项目基本情况!E4</f>
        <v>1120100036</v>
      </c>
      <c r="C5" s="1980"/>
      <c r="D5" s="1979" t="s">
        <v>1646</v>
      </c>
    </row>
    <row r="6" spans="1:4" ht="18">
      <c r="A6" s="3097" t="s">
        <v>1647</v>
      </c>
      <c r="B6" s="3097"/>
      <c r="C6" s="3097"/>
      <c r="D6" s="3097"/>
    </row>
    <row r="7" spans="1:4" ht="1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
      <c r="A10" s="1982" t="s">
        <v>1649</v>
      </c>
      <c r="B10" s="728"/>
      <c r="C10" s="728"/>
      <c r="D10" s="728"/>
    </row>
    <row r="11" spans="1:4" ht="30" customHeight="1">
      <c r="A11" s="3098" t="s">
        <v>1650</v>
      </c>
      <c r="B11" s="3090"/>
      <c r="C11" s="3090"/>
      <c r="D11" s="3090"/>
    </row>
    <row r="12" spans="1:4" ht="15.5">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（1）根据估价对象《国有土地使用证》原件，截至价值时点，估价对象抵押权未见登记。</v>
      </c>
      <c r="B15" s="3090"/>
      <c r="C15" s="3090"/>
      <c r="D15" s="3090"/>
    </row>
    <row r="16" spans="1:4" ht="30" customHeight="1">
      <c r="A16" s="3092" t="s">
        <v>1651</v>
      </c>
      <c r="B16" s="3092"/>
      <c r="C16" s="3092"/>
      <c r="D16" s="3092"/>
    </row>
    <row r="17" spans="1:4" ht="144" customHeight="1">
      <c r="A17" s="3092" t="s">
        <v>1652</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1653</v>
      </c>
      <c r="B22" s="3094"/>
      <c r="C22" s="3094"/>
      <c r="D22" s="3094"/>
    </row>
    <row r="23" spans="1:4">
      <c r="A23" s="1983"/>
      <c r="B23" s="1955"/>
      <c r="C23" s="1955"/>
      <c r="D23" s="1955"/>
    </row>
    <row r="24" spans="1:4">
      <c r="A24" s="1983"/>
      <c r="B24" s="1955"/>
      <c r="C24" s="1955"/>
      <c r="D24" s="1955"/>
    </row>
    <row r="25" spans="1:4" ht="17.5">
      <c r="A25" s="1984" t="s">
        <v>1654</v>
      </c>
    </row>
    <row r="26" spans="1:4" ht="17.5">
      <c r="A26" s="1953"/>
    </row>
    <row r="27" spans="1:4" ht="17.5">
      <c r="A27" s="1953" t="s">
        <v>1655</v>
      </c>
    </row>
    <row r="30" spans="1:4" ht="17.5">
      <c r="D30" s="1984" t="s">
        <v>1656</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1" customWidth="1"/>
    <col min="3" max="10" width="12.453125" style="1941" customWidth="1"/>
    <col min="11" max="16384" width="9" style="1941"/>
  </cols>
  <sheetData>
    <row r="1" spans="1:10" ht="17.5">
      <c r="A1" s="1974" t="s">
        <v>867</v>
      </c>
      <c r="B1" s="1985"/>
      <c r="C1" s="1985"/>
      <c r="D1" s="1985"/>
      <c r="E1" s="1985"/>
      <c r="F1" s="1985"/>
      <c r="G1" s="1985"/>
      <c r="H1" s="1985"/>
      <c r="I1" s="1985"/>
      <c r="J1" s="1985"/>
    </row>
    <row r="2" spans="1:10" ht="1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1" customWidth="1"/>
    <col min="2" max="16384" width="14.453125" style="1973"/>
  </cols>
  <sheetData>
    <row r="1" spans="1:7" s="1988" customFormat="1" ht="1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
      <c r="A15" s="3104" t="s">
        <v>1664</v>
      </c>
      <c r="B15" s="3099" t="s">
        <v>136</v>
      </c>
      <c r="C15" s="3100"/>
    </row>
    <row r="16" spans="1:7" ht="14">
      <c r="A16" s="3105"/>
      <c r="B16" s="3099" t="s">
        <v>69</v>
      </c>
      <c r="C16" s="3100"/>
    </row>
    <row r="17" spans="1:3" ht="14">
      <c r="A17" s="3105"/>
      <c r="B17" s="3102" t="s">
        <v>1665</v>
      </c>
      <c r="C17" s="1998" t="s">
        <v>1664</v>
      </c>
    </row>
    <row r="18" spans="1:3" ht="14">
      <c r="A18" s="3105"/>
      <c r="B18" s="3102"/>
      <c r="C18" s="1998" t="s">
        <v>1666</v>
      </c>
    </row>
    <row r="19" spans="1:3" ht="14">
      <c r="A19" s="3105"/>
      <c r="B19" s="3102"/>
      <c r="C19" s="1998" t="s">
        <v>1667</v>
      </c>
    </row>
    <row r="20" spans="1:3" ht="14">
      <c r="A20" s="3106"/>
      <c r="B20" s="3101" t="s">
        <v>1668</v>
      </c>
      <c r="C20" s="3100"/>
    </row>
    <row r="21" spans="1:3" ht="14">
      <c r="A21" s="1999" t="s">
        <v>1669</v>
      </c>
      <c r="B21" s="2000"/>
      <c r="C21" s="2001"/>
    </row>
    <row r="22" spans="1:3" ht="14">
      <c r="A22" s="3103" t="s">
        <v>1670</v>
      </c>
      <c r="B22" s="3101" t="s">
        <v>1671</v>
      </c>
      <c r="C22" s="3100"/>
    </row>
    <row r="23" spans="1:3" ht="14">
      <c r="A23" s="3103"/>
      <c r="B23" s="3101" t="s">
        <v>1672</v>
      </c>
      <c r="C23" s="3100"/>
    </row>
    <row r="24" spans="1:3" ht="14">
      <c r="A24" s="3103"/>
      <c r="B24" s="3101" t="s">
        <v>1673</v>
      </c>
      <c r="C24" s="3100"/>
    </row>
    <row r="25" spans="1:3" ht="14">
      <c r="A25" s="3103"/>
      <c r="B25" s="3102" t="s">
        <v>1674</v>
      </c>
      <c r="C25" s="1998" t="s">
        <v>1675</v>
      </c>
    </row>
    <row r="26" spans="1:3" ht="14">
      <c r="A26" s="3103"/>
      <c r="B26" s="3102"/>
      <c r="C26" s="1998" t="s">
        <v>1676</v>
      </c>
    </row>
    <row r="27" spans="1:3" ht="14">
      <c r="A27" s="3103"/>
      <c r="B27" s="3102"/>
      <c r="C27" s="1998" t="s">
        <v>1677</v>
      </c>
    </row>
    <row r="28" spans="1:3" ht="14">
      <c r="A28" s="3103"/>
      <c r="B28" s="3102"/>
      <c r="C28" s="1998" t="s">
        <v>1678</v>
      </c>
    </row>
    <row r="29" spans="1:3" ht="14">
      <c r="A29" s="3103"/>
      <c r="B29" s="3102"/>
      <c r="C29" s="1998" t="s">
        <v>1679</v>
      </c>
    </row>
    <row r="30" spans="1:3" ht="14">
      <c r="A30" s="3103"/>
      <c r="B30" s="3102"/>
      <c r="C30" s="1998" t="s">
        <v>1680</v>
      </c>
    </row>
    <row r="31" spans="1:3" ht="14">
      <c r="A31" s="3103"/>
      <c r="B31" s="3102"/>
      <c r="C31" s="1998" t="s">
        <v>1681</v>
      </c>
    </row>
    <row r="32" spans="1:3" ht="14">
      <c r="A32" s="3103"/>
      <c r="B32" s="3102"/>
      <c r="C32" s="1998" t="s">
        <v>1682</v>
      </c>
    </row>
    <row r="33" spans="1:3" ht="14">
      <c r="A33" s="3103"/>
      <c r="B33" s="3102"/>
      <c r="C33" s="1998" t="s">
        <v>1683</v>
      </c>
    </row>
    <row r="34" spans="1:3">
      <c r="A34" s="2002" t="s">
        <v>76</v>
      </c>
    </row>
    <row r="37" spans="1:3">
      <c r="A37" s="2002" t="s">
        <v>1684</v>
      </c>
    </row>
    <row r="38" spans="1:3" ht="14">
      <c r="A38" s="2003" t="s">
        <v>77</v>
      </c>
    </row>
    <row r="39" spans="1:3" ht="14">
      <c r="A39" s="2003" t="s">
        <v>78</v>
      </c>
    </row>
    <row r="40" spans="1:3" ht="14">
      <c r="A40" s="2003" t="s">
        <v>79</v>
      </c>
    </row>
    <row r="41" spans="1:3" ht="14">
      <c r="A41" s="2004" t="s">
        <v>80</v>
      </c>
    </row>
    <row r="42" spans="1:3" ht="1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topLeftCell="A7" zoomScale="70" zoomScaleNormal="100" zoomScaleSheetLayoutView="70" workbookViewId="0">
      <selection activeCell="B19" sqref="B19"/>
    </sheetView>
  </sheetViews>
  <sheetFormatPr defaultColWidth="22.6328125" defaultRowHeight="24" customHeight="1"/>
  <cols>
    <col min="1" max="2" width="22.6328125" style="1015"/>
    <col min="3" max="3" width="32.26953125" style="1015" customWidth="1"/>
    <col min="4" max="5" width="22.6328125" style="1015"/>
    <col min="6" max="6" width="25.6328125" style="1015" customWidth="1"/>
    <col min="7" max="16384" width="22.6328125" style="1015"/>
  </cols>
  <sheetData>
    <row r="2" spans="1:6" ht="24" customHeight="1">
      <c r="A2" s="1017" t="s">
        <v>825</v>
      </c>
      <c r="B2" s="1018">
        <f ca="1">TODAY()</f>
        <v>43914</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t="str">
        <f ca="1">IF(C4&lt;B2,"已过期",1119970066)</f>
        <v>已过期</v>
      </c>
      <c r="C4" s="2342">
        <v>43849</v>
      </c>
      <c r="D4" s="2345" t="s">
        <v>832</v>
      </c>
      <c r="E4" s="1022">
        <f ca="1">IF(F4&lt;B2,"已过期",96010014)</f>
        <v>96010014</v>
      </c>
      <c r="F4" s="1030">
        <v>47118</v>
      </c>
    </row>
    <row r="5" spans="1:6" ht="24" customHeight="1">
      <c r="A5" s="1702" t="s">
        <v>833</v>
      </c>
      <c r="B5" s="1022" t="str">
        <f ca="1">IF(C5&lt;B2,"已过期",1119970074)</f>
        <v>已过期</v>
      </c>
      <c r="C5" s="2342">
        <v>43849</v>
      </c>
      <c r="D5" s="2345" t="s">
        <v>833</v>
      </c>
      <c r="E5" s="1022">
        <f ca="1">IF(F5&lt;B2,"已过期",2002110027)</f>
        <v>2002110027</v>
      </c>
      <c r="F5" s="1030">
        <v>46752</v>
      </c>
    </row>
    <row r="6" spans="1:6" ht="24" customHeight="1">
      <c r="A6" s="1702" t="s">
        <v>834</v>
      </c>
      <c r="B6" s="1022" t="str">
        <f ca="1">IF(C6&lt;B2,"已过期",1119970111)</f>
        <v>已过期</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t="str">
        <f ca="1">IF(C8&lt;B2,"已过期",1120000080)</f>
        <v>已过期</v>
      </c>
      <c r="C8" s="2342">
        <v>43849</v>
      </c>
      <c r="D8" s="2345" t="s">
        <v>836</v>
      </c>
      <c r="E8" s="1022">
        <f ca="1">IF(F8&lt;B2,"已过期",2000110082)</f>
        <v>2000110082</v>
      </c>
      <c r="F8" s="1030">
        <v>46387</v>
      </c>
    </row>
    <row r="9" spans="1:6" ht="24" customHeight="1">
      <c r="A9" s="1702" t="s">
        <v>837</v>
      </c>
      <c r="B9" s="1022" t="str">
        <f ca="1">IF(C9&lt;B2,"已过期",1419970001)</f>
        <v>已过期</v>
      </c>
      <c r="C9" s="2342">
        <v>43867</v>
      </c>
      <c r="D9" s="2345" t="s">
        <v>837</v>
      </c>
      <c r="E9" s="1022">
        <f ca="1">IF(F9&lt;B2,"已过期",2002110125)</f>
        <v>2002110125</v>
      </c>
      <c r="F9" s="1030">
        <v>47118</v>
      </c>
    </row>
    <row r="10" spans="1:6" ht="24" customHeight="1">
      <c r="A10" s="1702" t="s">
        <v>838</v>
      </c>
      <c r="B10" s="1022">
        <f ca="1">IF(C10&lt;B2,"已过期",1120060040)</f>
        <v>1120060040</v>
      </c>
      <c r="C10" s="2342">
        <v>44554</v>
      </c>
      <c r="D10" s="2345" t="s">
        <v>838</v>
      </c>
      <c r="E10" s="1022">
        <f ca="1">IF(F10&lt;B2,"已过期",2004110096)</f>
        <v>2004110096</v>
      </c>
      <c r="F10" s="1030">
        <v>47118</v>
      </c>
    </row>
    <row r="11" spans="1:6" ht="24" customHeight="1">
      <c r="A11" s="1702" t="s">
        <v>839</v>
      </c>
      <c r="B11" s="1022">
        <f ca="1">IF(C11&lt;B2,"已过期",1120100036)</f>
        <v>1120100036</v>
      </c>
      <c r="C11" s="2342">
        <v>44675</v>
      </c>
      <c r="D11" s="2345" t="s">
        <v>839</v>
      </c>
      <c r="E11" s="1022">
        <f ca="1">IF(F11&lt;B2,"已过期",2010110070)</f>
        <v>2010110070</v>
      </c>
      <c r="F11" s="1030">
        <v>47907</v>
      </c>
    </row>
    <row r="12" spans="1:6" ht="24" customHeight="1">
      <c r="A12" s="1702"/>
      <c r="B12" s="1022"/>
      <c r="C12" s="2922"/>
      <c r="D12" s="1702"/>
      <c r="E12" s="1022"/>
      <c r="F12" s="1030"/>
    </row>
    <row r="13" spans="1:6" ht="24" customHeight="1">
      <c r="A13" s="1702" t="s">
        <v>840</v>
      </c>
      <c r="B13" s="1022" t="str">
        <f ca="1">IF(C13&lt;B2,"已过期",1120070131)</f>
        <v>已过期</v>
      </c>
      <c r="C13" s="2342">
        <v>43814</v>
      </c>
      <c r="D13" s="2345" t="s">
        <v>840</v>
      </c>
      <c r="E13" s="1022">
        <f ca="1">IF(F13&lt;B2,"已过期",2014110011)</f>
        <v>2014110011</v>
      </c>
      <c r="F13" s="1030">
        <v>49302</v>
      </c>
    </row>
    <row r="14" spans="1:6" ht="24" customHeight="1">
      <c r="A14" s="1702" t="s">
        <v>3040</v>
      </c>
      <c r="B14" s="1022" t="str">
        <f ca="1">IF(C14&lt;B2,"已过期",1120040230)</f>
        <v>已过期</v>
      </c>
      <c r="C14" s="2342">
        <v>43835</v>
      </c>
      <c r="D14" s="2345" t="s">
        <v>3040</v>
      </c>
      <c r="E14" s="1022">
        <f ca="1">IF(F14&lt;B2,"已过期",98030020)</f>
        <v>98030020</v>
      </c>
      <c r="F14" s="1030">
        <v>47118</v>
      </c>
    </row>
    <row r="15" spans="1:6" ht="24" customHeight="1">
      <c r="A15" s="1703" t="s">
        <v>3041</v>
      </c>
      <c r="B15" s="1022" t="str">
        <f ca="1">IF(C15&lt;B2,"已过期",1120070085)</f>
        <v>已过期</v>
      </c>
      <c r="C15" s="2342">
        <v>43814</v>
      </c>
      <c r="D15" s="2346" t="s">
        <v>3041</v>
      </c>
      <c r="E15" s="1022">
        <f ca="1">IF(F15&lt;B2,"已过期",2004110128)</f>
        <v>2004110128</v>
      </c>
      <c r="F15" s="1023">
        <v>47118</v>
      </c>
    </row>
    <row r="16" spans="1:6" ht="24" customHeight="1">
      <c r="A16" s="1702" t="s">
        <v>3042</v>
      </c>
      <c r="B16" s="1022">
        <f ca="1">IF(C16&lt;B2,"已过期",1120140022)</f>
        <v>1120140022</v>
      </c>
      <c r="C16" s="2922">
        <v>44029</v>
      </c>
      <c r="D16" s="2345" t="s">
        <v>3042</v>
      </c>
      <c r="E16" s="1022">
        <f ca="1">IF(F16&lt;B2,"已过期",2008110059)</f>
        <v>2008110059</v>
      </c>
      <c r="F16" s="1030">
        <v>47177</v>
      </c>
    </row>
    <row r="17" spans="1:7" ht="24" customHeight="1">
      <c r="A17" s="1702"/>
      <c r="B17" s="1022"/>
      <c r="C17" s="2342"/>
      <c r="D17" s="2345" t="s">
        <v>3043</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2">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107" t="s">
        <v>843</v>
      </c>
      <c r="B25" s="3107"/>
      <c r="C25" s="3107"/>
      <c r="D25" s="3107"/>
      <c r="E25" s="3107"/>
      <c r="F25" s="3107"/>
      <c r="G25" s="3107"/>
    </row>
    <row r="26" spans="1:7" s="1025" customFormat="1" ht="24" customHeight="1">
      <c r="A26" s="3108" t="s">
        <v>844</v>
      </c>
      <c r="B26" s="3108"/>
      <c r="C26" s="3109"/>
      <c r="D26" s="3110" t="s">
        <v>845</v>
      </c>
      <c r="E26" s="3108"/>
      <c r="F26" s="3108"/>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3047</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19" priority="88">
      <formula>AND($C28-TODAY()&lt;30,TODAY()&lt;$C28)</formula>
    </cfRule>
  </conditionalFormatting>
  <conditionalFormatting sqref="C28 F4">
    <cfRule type="cellIs" dxfId="218" priority="90" stopIfTrue="1" operator="lessThan">
      <formula>$B$2</formula>
    </cfRule>
  </conditionalFormatting>
  <conditionalFormatting sqref="C5">
    <cfRule type="expression" dxfId="217" priority="85">
      <formula>AND($C5-TODAY()&lt;30,TODAY()&lt;$C5)</formula>
    </cfRule>
  </conditionalFormatting>
  <conditionalFormatting sqref="C5 F5">
    <cfRule type="cellIs" dxfId="216" priority="86" stopIfTrue="1" operator="lessThan">
      <formula>$B$2</formula>
    </cfRule>
  </conditionalFormatting>
  <conditionalFormatting sqref="F6 F8 F10">
    <cfRule type="cellIs" dxfId="215" priority="84" stopIfTrue="1" operator="lessThan">
      <formula>$B$2</formula>
    </cfRule>
  </conditionalFormatting>
  <conditionalFormatting sqref="C4:C11 C13 C23 C17:C21">
    <cfRule type="expression" dxfId="214" priority="82">
      <formula>AND($C4-TODAY()&lt;30,TODAY()&lt;$C4)</formula>
    </cfRule>
  </conditionalFormatting>
  <conditionalFormatting sqref="F7 F9 F11 C4:C11 C13 C23 C17:C21">
    <cfRule type="cellIs" dxfId="213" priority="83" stopIfTrue="1" operator="lessThan">
      <formula>$B$2</formula>
    </cfRule>
  </conditionalFormatting>
  <conditionalFormatting sqref="C18">
    <cfRule type="expression" dxfId="212" priority="72">
      <formula>AND($C18-TODAY()&lt;30,TODAY()&lt;$C18)</formula>
    </cfRule>
  </conditionalFormatting>
  <conditionalFormatting sqref="C18">
    <cfRule type="cellIs" dxfId="211" priority="73" stopIfTrue="1" operator="lessThan">
      <formula>$B$2</formula>
    </cfRule>
  </conditionalFormatting>
  <conditionalFormatting sqref="C20">
    <cfRule type="expression" dxfId="210" priority="70">
      <formula>AND($C20-TODAY()&lt;30,TODAY()&lt;$C20)</formula>
    </cfRule>
  </conditionalFormatting>
  <conditionalFormatting sqref="C20">
    <cfRule type="cellIs" dxfId="209" priority="71" stopIfTrue="1" operator="lessThan">
      <formula>$B$2</formula>
    </cfRule>
  </conditionalFormatting>
  <conditionalFormatting sqref="C17">
    <cfRule type="expression" dxfId="208" priority="64">
      <formula>AND($C17-TODAY()&lt;30,TODAY()&lt;$C17)</formula>
    </cfRule>
  </conditionalFormatting>
  <conditionalFormatting sqref="C17">
    <cfRule type="cellIs" dxfId="207" priority="65" stopIfTrue="1" operator="lessThan">
      <formula>$B$2</formula>
    </cfRule>
  </conditionalFormatting>
  <conditionalFormatting sqref="C19">
    <cfRule type="expression" dxfId="206" priority="62">
      <formula>AND($C19-TODAY()&lt;30,TODAY()&lt;$C19)</formula>
    </cfRule>
  </conditionalFormatting>
  <conditionalFormatting sqref="C19">
    <cfRule type="cellIs" dxfId="205" priority="63" stopIfTrue="1" operator="lessThan">
      <formula>$B$2</formula>
    </cfRule>
  </conditionalFormatting>
  <conditionalFormatting sqref="C21">
    <cfRule type="expression" dxfId="204" priority="60">
      <formula>AND($C21-TODAY()&lt;30,TODAY()&lt;$C21)</formula>
    </cfRule>
  </conditionalFormatting>
  <conditionalFormatting sqref="C21">
    <cfRule type="cellIs" dxfId="203" priority="61" stopIfTrue="1" operator="lessThan">
      <formula>$B$2</formula>
    </cfRule>
  </conditionalFormatting>
  <conditionalFormatting sqref="C23">
    <cfRule type="expression" dxfId="202" priority="58">
      <formula>AND($C23-TODAY()&lt;30,TODAY()&lt;$C23)</formula>
    </cfRule>
  </conditionalFormatting>
  <conditionalFormatting sqref="C23">
    <cfRule type="cellIs" dxfId="201" priority="59" stopIfTrue="1" operator="lessThan">
      <formula>$B$2</formula>
    </cfRule>
  </conditionalFormatting>
  <conditionalFormatting sqref="F18">
    <cfRule type="cellIs" dxfId="200" priority="55" stopIfTrue="1" operator="lessThan">
      <formula>$B$2</formula>
    </cfRule>
  </conditionalFormatting>
  <conditionalFormatting sqref="F22">
    <cfRule type="cellIs" dxfId="199" priority="54" stopIfTrue="1" operator="lessThan">
      <formula>$B$2</formula>
    </cfRule>
  </conditionalFormatting>
  <conditionalFormatting sqref="F21">
    <cfRule type="cellIs" dxfId="198" priority="53" stopIfTrue="1" operator="lessThan">
      <formula>$B$2</formula>
    </cfRule>
  </conditionalFormatting>
  <conditionalFormatting sqref="B4:B11 E4:E11 B17:B23 E18:E23 B13 E13">
    <cfRule type="cellIs" dxfId="197" priority="51" stopIfTrue="1" operator="equal">
      <formula>"已过期"</formula>
    </cfRule>
  </conditionalFormatting>
  <conditionalFormatting sqref="A24:F24">
    <cfRule type="cellIs" dxfId="196" priority="47" stopIfTrue="1" operator="equal">
      <formula>"已过期"</formula>
    </cfRule>
  </conditionalFormatting>
  <conditionalFormatting sqref="F28">
    <cfRule type="expression" dxfId="195" priority="45">
      <formula>AND($E28-TODAY()&lt;30,TODAY()&lt;$E28)</formula>
    </cfRule>
  </conditionalFormatting>
  <conditionalFormatting sqref="F28">
    <cfRule type="cellIs" dxfId="194" priority="46" stopIfTrue="1" operator="lessThan">
      <formula>$B$2</formula>
    </cfRule>
  </conditionalFormatting>
  <conditionalFormatting sqref="F29">
    <cfRule type="expression" dxfId="193" priority="41" stopIfTrue="1">
      <formula>AND($E29-TODAY()&lt;30,TODAY()&lt;$E29)</formula>
    </cfRule>
  </conditionalFormatting>
  <conditionalFormatting sqref="F29">
    <cfRule type="cellIs" dxfId="192" priority="42" stopIfTrue="1" operator="lessThan">
      <formula>$B$2</formula>
    </cfRule>
  </conditionalFormatting>
  <conditionalFormatting sqref="F13">
    <cfRule type="cellIs" dxfId="191" priority="34" stopIfTrue="1" operator="lessThan">
      <formula>$B$2</formula>
    </cfRule>
  </conditionalFormatting>
  <conditionalFormatting sqref="C12">
    <cfRule type="expression" dxfId="190" priority="32">
      <formula>AND($C12-TODAY()&lt;30,TODAY()&lt;$C12)</formula>
    </cfRule>
  </conditionalFormatting>
  <conditionalFormatting sqref="C12">
    <cfRule type="cellIs" dxfId="189" priority="33" stopIfTrue="1" operator="lessThan">
      <formula>$B$2</formula>
    </cfRule>
  </conditionalFormatting>
  <conditionalFormatting sqref="C12">
    <cfRule type="expression" dxfId="188" priority="30">
      <formula>AND($C12-TODAY()&lt;30,TODAY()&lt;$C12)</formula>
    </cfRule>
  </conditionalFormatting>
  <conditionalFormatting sqref="C12">
    <cfRule type="cellIs" dxfId="187" priority="31" stopIfTrue="1" operator="lessThan">
      <formula>$B$2</formula>
    </cfRule>
  </conditionalFormatting>
  <conditionalFormatting sqref="B12">
    <cfRule type="cellIs" dxfId="186" priority="29" stopIfTrue="1" operator="equal">
      <formula>"已过期"</formula>
    </cfRule>
  </conditionalFormatting>
  <conditionalFormatting sqref="E12">
    <cfRule type="cellIs" dxfId="185" priority="28" stopIfTrue="1" operator="equal">
      <formula>"已过期"</formula>
    </cfRule>
  </conditionalFormatting>
  <conditionalFormatting sqref="F12">
    <cfRule type="cellIs" dxfId="184" priority="27" stopIfTrue="1" operator="lessThan">
      <formula>$B$2</formula>
    </cfRule>
  </conditionalFormatting>
  <conditionalFormatting sqref="C22">
    <cfRule type="expression" dxfId="183" priority="25">
      <formula>AND($C22-TODAY()&lt;30,TODAY()&lt;$C22)</formula>
    </cfRule>
  </conditionalFormatting>
  <conditionalFormatting sqref="C22">
    <cfRule type="cellIs" dxfId="182" priority="26" stopIfTrue="1" operator="lessThan">
      <formula>$B$2</formula>
    </cfRule>
  </conditionalFormatting>
  <conditionalFormatting sqref="C22">
    <cfRule type="expression" dxfId="181" priority="23">
      <formula>AND($C22-TODAY()&lt;30,TODAY()&lt;$C22)</formula>
    </cfRule>
  </conditionalFormatting>
  <conditionalFormatting sqref="C22">
    <cfRule type="cellIs" dxfId="180" priority="24" stopIfTrue="1" operator="lessThan">
      <formula>$B$2</formula>
    </cfRule>
  </conditionalFormatting>
  <conditionalFormatting sqref="C16">
    <cfRule type="expression" dxfId="179" priority="21">
      <formula>AND($C16-TODAY()&lt;30,TODAY()&lt;$C16)</formula>
    </cfRule>
  </conditionalFormatting>
  <conditionalFormatting sqref="C16">
    <cfRule type="cellIs" dxfId="178" priority="22" stopIfTrue="1" operator="lessThan">
      <formula>$B$2</formula>
    </cfRule>
  </conditionalFormatting>
  <conditionalFormatting sqref="C16">
    <cfRule type="expression" dxfId="177" priority="19">
      <formula>AND($C16-TODAY()&lt;30,TODAY()&lt;$C16)</formula>
    </cfRule>
  </conditionalFormatting>
  <conditionalFormatting sqref="C16">
    <cfRule type="cellIs" dxfId="176" priority="20" stopIfTrue="1" operator="lessThan">
      <formula>$B$2</formula>
    </cfRule>
  </conditionalFormatting>
  <conditionalFormatting sqref="B16">
    <cfRule type="cellIs" dxfId="175" priority="18" stopIfTrue="1" operator="equal">
      <formula>"已过期"</formula>
    </cfRule>
  </conditionalFormatting>
  <conditionalFormatting sqref="C14:C15">
    <cfRule type="expression" dxfId="174" priority="16">
      <formula>AND($C14-TODAY()&lt;30,TODAY()&lt;$C14)</formula>
    </cfRule>
  </conditionalFormatting>
  <conditionalFormatting sqref="C14:C15">
    <cfRule type="cellIs" dxfId="173" priority="17" stopIfTrue="1" operator="lessThan">
      <formula>$B$2</formula>
    </cfRule>
  </conditionalFormatting>
  <conditionalFormatting sqref="C14">
    <cfRule type="expression" dxfId="172" priority="14">
      <formula>AND($C14-TODAY()&lt;30,TODAY()&lt;$C14)</formula>
    </cfRule>
  </conditionalFormatting>
  <conditionalFormatting sqref="C14">
    <cfRule type="cellIs" dxfId="171" priority="15" stopIfTrue="1" operator="lessThan">
      <formula>$B$2</formula>
    </cfRule>
  </conditionalFormatting>
  <conditionalFormatting sqref="C15">
    <cfRule type="expression" dxfId="170" priority="12">
      <formula>AND($C15-TODAY()&lt;30,TODAY()&lt;$C15)</formula>
    </cfRule>
  </conditionalFormatting>
  <conditionalFormatting sqref="C15">
    <cfRule type="cellIs" dxfId="169" priority="13" stopIfTrue="1" operator="lessThan">
      <formula>$B$2</formula>
    </cfRule>
  </conditionalFormatting>
  <conditionalFormatting sqref="B14">
    <cfRule type="cellIs" dxfId="168" priority="11" stopIfTrue="1" operator="equal">
      <formula>"已过期"</formula>
    </cfRule>
  </conditionalFormatting>
  <conditionalFormatting sqref="B15">
    <cfRule type="cellIs" dxfId="167" priority="10" stopIfTrue="1" operator="equal">
      <formula>"已过期"</formula>
    </cfRule>
  </conditionalFormatting>
  <conditionalFormatting sqref="A15">
    <cfRule type="cellIs" dxfId="166" priority="9" stopIfTrue="1" operator="equal">
      <formula>"已过期"</formula>
    </cfRule>
  </conditionalFormatting>
  <conditionalFormatting sqref="C15">
    <cfRule type="expression" dxfId="165" priority="8">
      <formula>AND($C15-TODAY()&lt;30,TODAY()&lt;$C15)</formula>
    </cfRule>
  </conditionalFormatting>
  <conditionalFormatting sqref="F16">
    <cfRule type="cellIs" dxfId="164" priority="7" stopIfTrue="1" operator="lessThan">
      <formula>$B$2</formula>
    </cfRule>
  </conditionalFormatting>
  <conditionalFormatting sqref="E16 E14">
    <cfRule type="cellIs" dxfId="163" priority="6" stopIfTrue="1" operator="equal">
      <formula>"已过期"</formula>
    </cfRule>
  </conditionalFormatting>
  <conditionalFormatting sqref="E15">
    <cfRule type="cellIs" dxfId="162" priority="5" stopIfTrue="1" operator="equal">
      <formula>"已过期"</formula>
    </cfRule>
  </conditionalFormatting>
  <conditionalFormatting sqref="D15">
    <cfRule type="cellIs" dxfId="161" priority="4" stopIfTrue="1" operator="equal">
      <formula>"已过期"</formula>
    </cfRule>
  </conditionalFormatting>
  <conditionalFormatting sqref="F17">
    <cfRule type="cellIs" dxfId="160" priority="3" stopIfTrue="1" operator="lessThan">
      <formula>$B$2</formula>
    </cfRule>
  </conditionalFormatting>
  <conditionalFormatting sqref="E17">
    <cfRule type="cellIs" dxfId="159" priority="2" stopIfTrue="1" operator="equal">
      <formula>"已过期"</formula>
    </cfRule>
  </conditionalFormatting>
  <conditionalFormatting sqref="F14">
    <cfRule type="cellIs" dxfId="158"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未售3.23</vt:lpstr>
      <vt:lpstr>三期未售</vt:lpstr>
      <vt:lpstr>面积表</vt:lpstr>
      <vt:lpstr>数据-汇总表</vt:lpstr>
      <vt:lpstr>数据-取费表</vt:lpstr>
      <vt:lpstr>估价对象房地状况</vt:lpstr>
      <vt:lpstr>系统读取表</vt:lpstr>
      <vt:lpstr>结果表</vt:lpstr>
      <vt:lpstr>成本法</vt:lpstr>
      <vt:lpstr>土地比较法-住宅、综合</vt:lpstr>
      <vt:lpstr>Sheet4</vt:lpstr>
      <vt:lpstr>Sheet1</vt:lpstr>
      <vt:lpstr>成本法 (元)</vt:lpstr>
      <vt:lpstr>假设开发法</vt:lpstr>
      <vt:lpstr>比较法-住宅</vt:lpstr>
      <vt:lpstr>收益法</vt:lpstr>
      <vt:lpstr>Sheet2</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2020-03-24T15:07:17Z</dcterms:modified>
</cp:coreProperties>
</file>