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海淀区首体南路9号4楼办公及车位\"/>
    </mc:Choice>
  </mc:AlternateContent>
  <xr:revisionPtr revIDLastSave="0" documentId="13_ncr:1_{3608FEA1-ED14-408E-B756-E1749EFE8588}" xr6:coauthVersionLast="47" xr6:coauthVersionMax="47" xr10:uidLastSave="{00000000-0000-0000-0000-000000000000}"/>
  <bookViews>
    <workbookView xWindow="0" yWindow="0" windowWidth="28800" windowHeight="15600" tabRatio="899" firstSheet="9"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成本法" sheetId="68" state="hidden" r:id="rId19"/>
    <sheet name="假设开发法" sheetId="12" state="hidden" r:id="rId20"/>
    <sheet name="收益法" sheetId="15" state="hidden" r:id="rId21"/>
    <sheet name="结果表-办公" sheetId="82" r:id="rId22"/>
    <sheet name="比较法-办公" sheetId="34" r:id="rId23"/>
    <sheet name="收益法-办公" sheetId="67" r:id="rId24"/>
    <sheet name="典型户型修正-办公" sheetId="31" r:id="rId25"/>
    <sheet name="办公案例" sheetId="84" r:id="rId26"/>
    <sheet name="结果表-车位" sheetId="9" r:id="rId27"/>
    <sheet name="比较法-车位" sheetId="35" r:id="rId28"/>
    <sheet name="收益法-车位" sheetId="81" r:id="rId29"/>
    <sheet name="典型户型修正-车位" sheetId="83" r:id="rId30"/>
    <sheet name="车位案例" sheetId="85" r:id="rId31"/>
    <sheet name="成本法 (元)" sheetId="69" r:id="rId32"/>
    <sheet name="基准地价修正" sheetId="43" r:id="rId33"/>
    <sheet name="收益法-酒店模型" sheetId="77" state="hidden" r:id="rId34"/>
    <sheet name="收益法（汇总）" sheetId="70" state="hidden" r:id="rId35"/>
    <sheet name="比较法-住宅" sheetId="21" state="hidden" r:id="rId36"/>
    <sheet name="比较法-商业" sheetId="33" state="hidden" r:id="rId37"/>
    <sheet name="比较法-工业" sheetId="37"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2" hidden="1">'比较法-办公'!$A$1:$L$50</definedName>
    <definedName name="_xlnm._FilterDatabase" localSheetId="38" hidden="1">'比较法-仓储'!$A$1:$L$37</definedName>
    <definedName name="_xlnm._FilterDatabase" localSheetId="27"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8">'比较法-仓储'!$A$1:$K$42,'比较法-仓储'!$A$45:$M$96</definedName>
    <definedName name="_xlnm.Print_Area" localSheetId="27">'比较法-车位'!$A$1:$K$44,'比较法-车位'!$A$47:$M$102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3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21">'结果表-办公'!$A$1:$I$127</definedName>
    <definedName name="_xlnm.Print_Area" localSheetId="26">'结果表-车位'!$A$1:$I$127</definedName>
    <definedName name="_xlnm.Print_Area" localSheetId="20">收益法!$A$1:$F$43,收益法!$H$3:$M$29,收益法!$A$46:$F$71,收益法!$I$46:$N$65</definedName>
    <definedName name="_xlnm.Print_Area" localSheetId="34">'收益法（汇总）'!$A$1:$F$13</definedName>
    <definedName name="_xlnm.Print_Area" localSheetId="23">'收益法-办公'!$A$1:$F$43,'收益法-办公'!$H$3:$M$29,'收益法-办公'!$A$45:$F$71,'收益法-办公'!$I$46:$N$65</definedName>
    <definedName name="_xlnm.Print_Area" localSheetId="28">'收益法-车位'!$A$1:$F$43,'收益法-车位'!$H$3:$M$29,'收益法-车位'!$A$45:$F$71,'收益法-车位'!$I$46:$N$65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9">'典型户型修正-车位'!$5:$5</definedName>
    <definedName name="一修多修正项2">'典型户型修正-办公'!$5:$5</definedName>
    <definedName name="一修多修正项3" localSheetId="29">'典型户型修正-车位'!$7:$7</definedName>
    <definedName name="一修多修正项3">'典型户型修正-办公'!$7:$7</definedName>
    <definedName name="一修多修正项4" localSheetId="29">'典型户型修正-车位'!$9:$9</definedName>
    <definedName name="一修多修正项4">'典型户型修正-办公'!$9:$9</definedName>
    <definedName name="一修多修正项5" localSheetId="29">'典型户型修正-车位'!$11:$11</definedName>
    <definedName name="一修多修正项5">'典型户型修正-办公'!$11:$11</definedName>
    <definedName name="一修多修正项6" localSheetId="29">'典型户型修正-车位'!$13:$13</definedName>
    <definedName name="一修多修正项6">'典型户型修正-办公'!$13:$13</definedName>
    <definedName name="一修多修正项7" localSheetId="29">'典型户型修正-车位'!$15:$15</definedName>
    <definedName name="一修多修正项7">'典型户型修正-办公'!$15:$15</definedName>
    <definedName name="一修多修正项8" localSheetId="29">'典型户型修正-车位'!$17:$17</definedName>
    <definedName name="一修多修正项8">'典型户型修正-办公'!$17:$17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3" i="35" l="1"/>
  <c r="D22" i="80"/>
  <c r="C31" i="35"/>
  <c r="I7" i="35"/>
  <c r="G7" i="35"/>
  <c r="E7" i="35"/>
  <c r="B19" i="74"/>
  <c r="B20" i="74"/>
  <c r="B21" i="74"/>
  <c r="B18" i="74"/>
  <c r="B15" i="74"/>
  <c r="B16" i="74"/>
  <c r="B17" i="74"/>
  <c r="B14" i="74"/>
  <c r="A19" i="74"/>
  <c r="A20" i="74"/>
  <c r="A21" i="74"/>
  <c r="A18" i="74"/>
  <c r="A15" i="74"/>
  <c r="A16" i="74"/>
  <c r="A17" i="74"/>
  <c r="A14" i="74"/>
  <c r="B25" i="83"/>
  <c r="B26" i="83"/>
  <c r="B27" i="83"/>
  <c r="B22" i="83" s="1"/>
  <c r="B24" i="83"/>
  <c r="R524" i="83"/>
  <c r="S524" i="83" s="1"/>
  <c r="O524" i="83"/>
  <c r="M524" i="83"/>
  <c r="K524" i="83"/>
  <c r="I524" i="83"/>
  <c r="G524" i="83"/>
  <c r="E524" i="83"/>
  <c r="C524" i="83"/>
  <c r="R523" i="83"/>
  <c r="S523" i="83" s="1"/>
  <c r="O523" i="83"/>
  <c r="M523" i="83"/>
  <c r="K523" i="83"/>
  <c r="I523" i="83"/>
  <c r="G523" i="83"/>
  <c r="E523" i="83"/>
  <c r="C523" i="83"/>
  <c r="R522" i="83"/>
  <c r="S522" i="83" s="1"/>
  <c r="O522" i="83"/>
  <c r="M522" i="83"/>
  <c r="K522" i="83"/>
  <c r="I522" i="83"/>
  <c r="G522" i="83"/>
  <c r="E522" i="83"/>
  <c r="C522" i="83"/>
  <c r="R521" i="83"/>
  <c r="S521" i="83" s="1"/>
  <c r="O521" i="83"/>
  <c r="M521" i="83"/>
  <c r="K521" i="83"/>
  <c r="I521" i="83"/>
  <c r="G521" i="83"/>
  <c r="E521" i="83"/>
  <c r="C521" i="83"/>
  <c r="R520" i="83"/>
  <c r="S520" i="83" s="1"/>
  <c r="O520" i="83"/>
  <c r="M520" i="83"/>
  <c r="K520" i="83"/>
  <c r="I520" i="83"/>
  <c r="G520" i="83"/>
  <c r="E520" i="83"/>
  <c r="C520" i="83"/>
  <c r="R519" i="83"/>
  <c r="S519" i="83" s="1"/>
  <c r="O519" i="83"/>
  <c r="M519" i="83"/>
  <c r="K519" i="83"/>
  <c r="I519" i="83"/>
  <c r="G519" i="83"/>
  <c r="E519" i="83"/>
  <c r="C519" i="83"/>
  <c r="R518" i="83"/>
  <c r="S518" i="83" s="1"/>
  <c r="O518" i="83"/>
  <c r="M518" i="83"/>
  <c r="K518" i="83"/>
  <c r="I518" i="83"/>
  <c r="G518" i="83"/>
  <c r="E518" i="83"/>
  <c r="C518" i="83"/>
  <c r="R517" i="83"/>
  <c r="S517" i="83" s="1"/>
  <c r="O517" i="83"/>
  <c r="M517" i="83"/>
  <c r="K517" i="83"/>
  <c r="I517" i="83"/>
  <c r="G517" i="83"/>
  <c r="E517" i="83"/>
  <c r="C517" i="83"/>
  <c r="R516" i="83"/>
  <c r="S516" i="83" s="1"/>
  <c r="O516" i="83"/>
  <c r="M516" i="83"/>
  <c r="K516" i="83"/>
  <c r="I516" i="83"/>
  <c r="G516" i="83"/>
  <c r="E516" i="83"/>
  <c r="C516" i="83"/>
  <c r="R515" i="83"/>
  <c r="S515" i="83" s="1"/>
  <c r="O515" i="83"/>
  <c r="M515" i="83"/>
  <c r="K515" i="83"/>
  <c r="I515" i="83"/>
  <c r="G515" i="83"/>
  <c r="E515" i="83"/>
  <c r="C515" i="83"/>
  <c r="R514" i="83"/>
  <c r="S514" i="83" s="1"/>
  <c r="O514" i="83"/>
  <c r="M514" i="83"/>
  <c r="K514" i="83"/>
  <c r="I514" i="83"/>
  <c r="G514" i="83"/>
  <c r="E514" i="83"/>
  <c r="C514" i="83"/>
  <c r="R513" i="83"/>
  <c r="S513" i="83" s="1"/>
  <c r="O513" i="83"/>
  <c r="M513" i="83"/>
  <c r="K513" i="83"/>
  <c r="I513" i="83"/>
  <c r="G513" i="83"/>
  <c r="E513" i="83"/>
  <c r="C513" i="83"/>
  <c r="R512" i="83"/>
  <c r="S512" i="83" s="1"/>
  <c r="O512" i="83"/>
  <c r="M512" i="83"/>
  <c r="K512" i="83"/>
  <c r="I512" i="83"/>
  <c r="G512" i="83"/>
  <c r="E512" i="83"/>
  <c r="C512" i="83"/>
  <c r="R511" i="83"/>
  <c r="S511" i="83" s="1"/>
  <c r="O511" i="83"/>
  <c r="M511" i="83"/>
  <c r="K511" i="83"/>
  <c r="I511" i="83"/>
  <c r="G511" i="83"/>
  <c r="E511" i="83"/>
  <c r="C511" i="83"/>
  <c r="R510" i="83"/>
  <c r="S510" i="83" s="1"/>
  <c r="O510" i="83"/>
  <c r="M510" i="83"/>
  <c r="K510" i="83"/>
  <c r="I510" i="83"/>
  <c r="G510" i="83"/>
  <c r="E510" i="83"/>
  <c r="C510" i="83"/>
  <c r="R509" i="83"/>
  <c r="S509" i="83" s="1"/>
  <c r="O509" i="83"/>
  <c r="M509" i="83"/>
  <c r="K509" i="83"/>
  <c r="I509" i="83"/>
  <c r="G509" i="83"/>
  <c r="E509" i="83"/>
  <c r="C509" i="83"/>
  <c r="R508" i="83"/>
  <c r="S508" i="83" s="1"/>
  <c r="O508" i="83"/>
  <c r="M508" i="83"/>
  <c r="K508" i="83"/>
  <c r="I508" i="83"/>
  <c r="G508" i="83"/>
  <c r="E508" i="83"/>
  <c r="C508" i="83"/>
  <c r="R507" i="83"/>
  <c r="S507" i="83" s="1"/>
  <c r="O507" i="83"/>
  <c r="M507" i="83"/>
  <c r="K507" i="83"/>
  <c r="I507" i="83"/>
  <c r="G507" i="83"/>
  <c r="E507" i="83"/>
  <c r="C507" i="83"/>
  <c r="R506" i="83"/>
  <c r="S506" i="83" s="1"/>
  <c r="O506" i="83"/>
  <c r="M506" i="83"/>
  <c r="K506" i="83"/>
  <c r="I506" i="83"/>
  <c r="G506" i="83"/>
  <c r="E506" i="83"/>
  <c r="C506" i="83"/>
  <c r="R505" i="83"/>
  <c r="S505" i="83" s="1"/>
  <c r="O505" i="83"/>
  <c r="M505" i="83"/>
  <c r="K505" i="83"/>
  <c r="I505" i="83"/>
  <c r="G505" i="83"/>
  <c r="E505" i="83"/>
  <c r="C505" i="83"/>
  <c r="R504" i="83"/>
  <c r="S504" i="83" s="1"/>
  <c r="O504" i="83"/>
  <c r="M504" i="83"/>
  <c r="K504" i="83"/>
  <c r="I504" i="83"/>
  <c r="G504" i="83"/>
  <c r="E504" i="83"/>
  <c r="C504" i="83"/>
  <c r="R503" i="83"/>
  <c r="S503" i="83" s="1"/>
  <c r="O503" i="83"/>
  <c r="M503" i="83"/>
  <c r="K503" i="83"/>
  <c r="I503" i="83"/>
  <c r="G503" i="83"/>
  <c r="E503" i="83"/>
  <c r="C503" i="83"/>
  <c r="R502" i="83"/>
  <c r="S502" i="83" s="1"/>
  <c r="O502" i="83"/>
  <c r="M502" i="83"/>
  <c r="K502" i="83"/>
  <c r="I502" i="83"/>
  <c r="G502" i="83"/>
  <c r="E502" i="83"/>
  <c r="C502" i="83"/>
  <c r="R501" i="83"/>
  <c r="S501" i="83" s="1"/>
  <c r="O501" i="83"/>
  <c r="M501" i="83"/>
  <c r="K501" i="83"/>
  <c r="I501" i="83"/>
  <c r="G501" i="83"/>
  <c r="E501" i="83"/>
  <c r="C501" i="83"/>
  <c r="S500" i="83"/>
  <c r="R500" i="83"/>
  <c r="O500" i="83"/>
  <c r="M500" i="83"/>
  <c r="K500" i="83"/>
  <c r="I500" i="83"/>
  <c r="G500" i="83"/>
  <c r="E500" i="83"/>
  <c r="C500" i="83"/>
  <c r="R499" i="83"/>
  <c r="S499" i="83" s="1"/>
  <c r="O499" i="83"/>
  <c r="M499" i="83"/>
  <c r="K499" i="83"/>
  <c r="I499" i="83"/>
  <c r="G499" i="83"/>
  <c r="E499" i="83"/>
  <c r="C499" i="83"/>
  <c r="R498" i="83"/>
  <c r="S498" i="83" s="1"/>
  <c r="O498" i="83"/>
  <c r="M498" i="83"/>
  <c r="K498" i="83"/>
  <c r="I498" i="83"/>
  <c r="G498" i="83"/>
  <c r="E498" i="83"/>
  <c r="C498" i="83"/>
  <c r="R497" i="83"/>
  <c r="S497" i="83" s="1"/>
  <c r="O497" i="83"/>
  <c r="M497" i="83"/>
  <c r="K497" i="83"/>
  <c r="I497" i="83"/>
  <c r="G497" i="83"/>
  <c r="E497" i="83"/>
  <c r="C497" i="83"/>
  <c r="R496" i="83"/>
  <c r="S496" i="83" s="1"/>
  <c r="O496" i="83"/>
  <c r="M496" i="83"/>
  <c r="K496" i="83"/>
  <c r="I496" i="83"/>
  <c r="G496" i="83"/>
  <c r="E496" i="83"/>
  <c r="C496" i="83"/>
  <c r="R495" i="83"/>
  <c r="S495" i="83" s="1"/>
  <c r="O495" i="83"/>
  <c r="M495" i="83"/>
  <c r="K495" i="83"/>
  <c r="I495" i="83"/>
  <c r="G495" i="83"/>
  <c r="E495" i="83"/>
  <c r="C495" i="83"/>
  <c r="R494" i="83"/>
  <c r="S494" i="83" s="1"/>
  <c r="O494" i="83"/>
  <c r="M494" i="83"/>
  <c r="K494" i="83"/>
  <c r="I494" i="83"/>
  <c r="G494" i="83"/>
  <c r="E494" i="83"/>
  <c r="C494" i="83"/>
  <c r="R493" i="83"/>
  <c r="S493" i="83" s="1"/>
  <c r="O493" i="83"/>
  <c r="M493" i="83"/>
  <c r="K493" i="83"/>
  <c r="I493" i="83"/>
  <c r="G493" i="83"/>
  <c r="E493" i="83"/>
  <c r="C493" i="83"/>
  <c r="R492" i="83"/>
  <c r="S492" i="83" s="1"/>
  <c r="O492" i="83"/>
  <c r="M492" i="83"/>
  <c r="K492" i="83"/>
  <c r="I492" i="83"/>
  <c r="G492" i="83"/>
  <c r="E492" i="83"/>
  <c r="C492" i="83"/>
  <c r="R491" i="83"/>
  <c r="S491" i="83" s="1"/>
  <c r="O491" i="83"/>
  <c r="M491" i="83"/>
  <c r="K491" i="83"/>
  <c r="I491" i="83"/>
  <c r="G491" i="83"/>
  <c r="E491" i="83"/>
  <c r="C491" i="83"/>
  <c r="R490" i="83"/>
  <c r="S490" i="83" s="1"/>
  <c r="O490" i="83"/>
  <c r="M490" i="83"/>
  <c r="K490" i="83"/>
  <c r="I490" i="83"/>
  <c r="G490" i="83"/>
  <c r="E490" i="83"/>
  <c r="C490" i="83"/>
  <c r="R489" i="83"/>
  <c r="S489" i="83" s="1"/>
  <c r="O489" i="83"/>
  <c r="M489" i="83"/>
  <c r="K489" i="83"/>
  <c r="I489" i="83"/>
  <c r="G489" i="83"/>
  <c r="E489" i="83"/>
  <c r="C489" i="83"/>
  <c r="R488" i="83"/>
  <c r="S488" i="83" s="1"/>
  <c r="O488" i="83"/>
  <c r="M488" i="83"/>
  <c r="K488" i="83"/>
  <c r="I488" i="83"/>
  <c r="G488" i="83"/>
  <c r="E488" i="83"/>
  <c r="C488" i="83"/>
  <c r="R487" i="83"/>
  <c r="S487" i="83" s="1"/>
  <c r="O487" i="83"/>
  <c r="M487" i="83"/>
  <c r="K487" i="83"/>
  <c r="I487" i="83"/>
  <c r="G487" i="83"/>
  <c r="E487" i="83"/>
  <c r="C487" i="83"/>
  <c r="R486" i="83"/>
  <c r="S486" i="83" s="1"/>
  <c r="O486" i="83"/>
  <c r="M486" i="83"/>
  <c r="K486" i="83"/>
  <c r="I486" i="83"/>
  <c r="G486" i="83"/>
  <c r="E486" i="83"/>
  <c r="C486" i="83"/>
  <c r="R485" i="83"/>
  <c r="S485" i="83" s="1"/>
  <c r="O485" i="83"/>
  <c r="M485" i="83"/>
  <c r="K485" i="83"/>
  <c r="I485" i="83"/>
  <c r="G485" i="83"/>
  <c r="E485" i="83"/>
  <c r="C485" i="83"/>
  <c r="S484" i="83"/>
  <c r="R484" i="83"/>
  <c r="O484" i="83"/>
  <c r="M484" i="83"/>
  <c r="K484" i="83"/>
  <c r="I484" i="83"/>
  <c r="G484" i="83"/>
  <c r="E484" i="83"/>
  <c r="C484" i="83"/>
  <c r="R483" i="83"/>
  <c r="S483" i="83" s="1"/>
  <c r="O483" i="83"/>
  <c r="M483" i="83"/>
  <c r="K483" i="83"/>
  <c r="I483" i="83"/>
  <c r="G483" i="83"/>
  <c r="E483" i="83"/>
  <c r="C483" i="83"/>
  <c r="R482" i="83"/>
  <c r="S482" i="83" s="1"/>
  <c r="O482" i="83"/>
  <c r="M482" i="83"/>
  <c r="K482" i="83"/>
  <c r="I482" i="83"/>
  <c r="G482" i="83"/>
  <c r="E482" i="83"/>
  <c r="C482" i="83"/>
  <c r="R481" i="83"/>
  <c r="S481" i="83" s="1"/>
  <c r="O481" i="83"/>
  <c r="M481" i="83"/>
  <c r="K481" i="83"/>
  <c r="I481" i="83"/>
  <c r="G481" i="83"/>
  <c r="E481" i="83"/>
  <c r="C481" i="83"/>
  <c r="R480" i="83"/>
  <c r="S480" i="83" s="1"/>
  <c r="O480" i="83"/>
  <c r="M480" i="83"/>
  <c r="K480" i="83"/>
  <c r="I480" i="83"/>
  <c r="G480" i="83"/>
  <c r="E480" i="83"/>
  <c r="C480" i="83"/>
  <c r="R479" i="83"/>
  <c r="S479" i="83" s="1"/>
  <c r="O479" i="83"/>
  <c r="M479" i="83"/>
  <c r="K479" i="83"/>
  <c r="I479" i="83"/>
  <c r="G479" i="83"/>
  <c r="E479" i="83"/>
  <c r="C479" i="83"/>
  <c r="R478" i="83"/>
  <c r="S478" i="83" s="1"/>
  <c r="O478" i="83"/>
  <c r="M478" i="83"/>
  <c r="K478" i="83"/>
  <c r="I478" i="83"/>
  <c r="G478" i="83"/>
  <c r="E478" i="83"/>
  <c r="C478" i="83"/>
  <c r="R477" i="83"/>
  <c r="S477" i="83" s="1"/>
  <c r="O477" i="83"/>
  <c r="M477" i="83"/>
  <c r="K477" i="83"/>
  <c r="I477" i="83"/>
  <c r="G477" i="83"/>
  <c r="E477" i="83"/>
  <c r="C477" i="83"/>
  <c r="R476" i="83"/>
  <c r="S476" i="83" s="1"/>
  <c r="O476" i="83"/>
  <c r="M476" i="83"/>
  <c r="K476" i="83"/>
  <c r="I476" i="83"/>
  <c r="G476" i="83"/>
  <c r="E476" i="83"/>
  <c r="C476" i="83"/>
  <c r="R475" i="83"/>
  <c r="S475" i="83" s="1"/>
  <c r="O475" i="83"/>
  <c r="M475" i="83"/>
  <c r="K475" i="83"/>
  <c r="I475" i="83"/>
  <c r="G475" i="83"/>
  <c r="E475" i="83"/>
  <c r="C475" i="83"/>
  <c r="R474" i="83"/>
  <c r="S474" i="83" s="1"/>
  <c r="O474" i="83"/>
  <c r="M474" i="83"/>
  <c r="K474" i="83"/>
  <c r="I474" i="83"/>
  <c r="G474" i="83"/>
  <c r="E474" i="83"/>
  <c r="C474" i="83"/>
  <c r="R473" i="83"/>
  <c r="S473" i="83" s="1"/>
  <c r="O473" i="83"/>
  <c r="M473" i="83"/>
  <c r="K473" i="83"/>
  <c r="I473" i="83"/>
  <c r="G473" i="83"/>
  <c r="E473" i="83"/>
  <c r="C473" i="83"/>
  <c r="R472" i="83"/>
  <c r="S472" i="83" s="1"/>
  <c r="O472" i="83"/>
  <c r="M472" i="83"/>
  <c r="K472" i="83"/>
  <c r="I472" i="83"/>
  <c r="G472" i="83"/>
  <c r="E472" i="83"/>
  <c r="C472" i="83"/>
  <c r="R471" i="83"/>
  <c r="S471" i="83" s="1"/>
  <c r="O471" i="83"/>
  <c r="M471" i="83"/>
  <c r="K471" i="83"/>
  <c r="I471" i="83"/>
  <c r="G471" i="83"/>
  <c r="E471" i="83"/>
  <c r="C471" i="83"/>
  <c r="S470" i="83"/>
  <c r="R470" i="83"/>
  <c r="O470" i="83"/>
  <c r="M470" i="83"/>
  <c r="K470" i="83"/>
  <c r="I470" i="83"/>
  <c r="G470" i="83"/>
  <c r="E470" i="83"/>
  <c r="C470" i="83"/>
  <c r="R469" i="83"/>
  <c r="S469" i="83" s="1"/>
  <c r="O469" i="83"/>
  <c r="M469" i="83"/>
  <c r="K469" i="83"/>
  <c r="I469" i="83"/>
  <c r="G469" i="83"/>
  <c r="E469" i="83"/>
  <c r="C469" i="83"/>
  <c r="R468" i="83"/>
  <c r="S468" i="83" s="1"/>
  <c r="O468" i="83"/>
  <c r="M468" i="83"/>
  <c r="K468" i="83"/>
  <c r="I468" i="83"/>
  <c r="G468" i="83"/>
  <c r="E468" i="83"/>
  <c r="C468" i="83"/>
  <c r="R467" i="83"/>
  <c r="S467" i="83" s="1"/>
  <c r="O467" i="83"/>
  <c r="M467" i="83"/>
  <c r="K467" i="83"/>
  <c r="I467" i="83"/>
  <c r="G467" i="83"/>
  <c r="E467" i="83"/>
  <c r="C467" i="83"/>
  <c r="R466" i="83"/>
  <c r="S466" i="83" s="1"/>
  <c r="O466" i="83"/>
  <c r="M466" i="83"/>
  <c r="K466" i="83"/>
  <c r="I466" i="83"/>
  <c r="G466" i="83"/>
  <c r="E466" i="83"/>
  <c r="C466" i="83"/>
  <c r="R465" i="83"/>
  <c r="S465" i="83" s="1"/>
  <c r="O465" i="83"/>
  <c r="M465" i="83"/>
  <c r="K465" i="83"/>
  <c r="I465" i="83"/>
  <c r="G465" i="83"/>
  <c r="E465" i="83"/>
  <c r="C465" i="83"/>
  <c r="R464" i="83"/>
  <c r="S464" i="83" s="1"/>
  <c r="O464" i="83"/>
  <c r="M464" i="83"/>
  <c r="K464" i="83"/>
  <c r="I464" i="83"/>
  <c r="G464" i="83"/>
  <c r="E464" i="83"/>
  <c r="C464" i="83"/>
  <c r="R463" i="83"/>
  <c r="S463" i="83" s="1"/>
  <c r="O463" i="83"/>
  <c r="M463" i="83"/>
  <c r="K463" i="83"/>
  <c r="I463" i="83"/>
  <c r="G463" i="83"/>
  <c r="E463" i="83"/>
  <c r="C463" i="83"/>
  <c r="R462" i="83"/>
  <c r="S462" i="83" s="1"/>
  <c r="O462" i="83"/>
  <c r="M462" i="83"/>
  <c r="K462" i="83"/>
  <c r="I462" i="83"/>
  <c r="G462" i="83"/>
  <c r="E462" i="83"/>
  <c r="C462" i="83"/>
  <c r="R461" i="83"/>
  <c r="S461" i="83" s="1"/>
  <c r="O461" i="83"/>
  <c r="M461" i="83"/>
  <c r="K461" i="83"/>
  <c r="I461" i="83"/>
  <c r="G461" i="83"/>
  <c r="E461" i="83"/>
  <c r="C461" i="83"/>
  <c r="R460" i="83"/>
  <c r="S460" i="83" s="1"/>
  <c r="O460" i="83"/>
  <c r="M460" i="83"/>
  <c r="K460" i="83"/>
  <c r="I460" i="83"/>
  <c r="G460" i="83"/>
  <c r="E460" i="83"/>
  <c r="C460" i="83"/>
  <c r="R459" i="83"/>
  <c r="S459" i="83" s="1"/>
  <c r="O459" i="83"/>
  <c r="M459" i="83"/>
  <c r="K459" i="83"/>
  <c r="I459" i="83"/>
  <c r="G459" i="83"/>
  <c r="E459" i="83"/>
  <c r="C459" i="83"/>
  <c r="R458" i="83"/>
  <c r="S458" i="83" s="1"/>
  <c r="O458" i="83"/>
  <c r="M458" i="83"/>
  <c r="K458" i="83"/>
  <c r="I458" i="83"/>
  <c r="G458" i="83"/>
  <c r="E458" i="83"/>
  <c r="C458" i="83"/>
  <c r="R457" i="83"/>
  <c r="S457" i="83" s="1"/>
  <c r="O457" i="83"/>
  <c r="M457" i="83"/>
  <c r="K457" i="83"/>
  <c r="I457" i="83"/>
  <c r="G457" i="83"/>
  <c r="E457" i="83"/>
  <c r="C457" i="83"/>
  <c r="R456" i="83"/>
  <c r="S456" i="83" s="1"/>
  <c r="O456" i="83"/>
  <c r="M456" i="83"/>
  <c r="K456" i="83"/>
  <c r="I456" i="83"/>
  <c r="G456" i="83"/>
  <c r="E456" i="83"/>
  <c r="C456" i="83"/>
  <c r="R455" i="83"/>
  <c r="S455" i="83" s="1"/>
  <c r="O455" i="83"/>
  <c r="M455" i="83"/>
  <c r="K455" i="83"/>
  <c r="I455" i="83"/>
  <c r="G455" i="83"/>
  <c r="E455" i="83"/>
  <c r="C455" i="83"/>
  <c r="R454" i="83"/>
  <c r="S454" i="83" s="1"/>
  <c r="O454" i="83"/>
  <c r="M454" i="83"/>
  <c r="K454" i="83"/>
  <c r="I454" i="83"/>
  <c r="G454" i="83"/>
  <c r="E454" i="83"/>
  <c r="C454" i="83"/>
  <c r="R453" i="83"/>
  <c r="S453" i="83" s="1"/>
  <c r="O453" i="83"/>
  <c r="M453" i="83"/>
  <c r="K453" i="83"/>
  <c r="I453" i="83"/>
  <c r="G453" i="83"/>
  <c r="E453" i="83"/>
  <c r="C453" i="83"/>
  <c r="R452" i="83"/>
  <c r="S452" i="83" s="1"/>
  <c r="O452" i="83"/>
  <c r="M452" i="83"/>
  <c r="K452" i="83"/>
  <c r="I452" i="83"/>
  <c r="G452" i="83"/>
  <c r="E452" i="83"/>
  <c r="C452" i="83"/>
  <c r="R451" i="83"/>
  <c r="S451" i="83" s="1"/>
  <c r="O451" i="83"/>
  <c r="M451" i="83"/>
  <c r="K451" i="83"/>
  <c r="I451" i="83"/>
  <c r="G451" i="83"/>
  <c r="E451" i="83"/>
  <c r="C451" i="83"/>
  <c r="R450" i="83"/>
  <c r="S450" i="83" s="1"/>
  <c r="O450" i="83"/>
  <c r="M450" i="83"/>
  <c r="K450" i="83"/>
  <c r="I450" i="83"/>
  <c r="G450" i="83"/>
  <c r="E450" i="83"/>
  <c r="C450" i="83"/>
  <c r="R449" i="83"/>
  <c r="S449" i="83" s="1"/>
  <c r="O449" i="83"/>
  <c r="M449" i="83"/>
  <c r="K449" i="83"/>
  <c r="I449" i="83"/>
  <c r="G449" i="83"/>
  <c r="E449" i="83"/>
  <c r="C449" i="83"/>
  <c r="R448" i="83"/>
  <c r="S448" i="83" s="1"/>
  <c r="O448" i="83"/>
  <c r="M448" i="83"/>
  <c r="K448" i="83"/>
  <c r="I448" i="83"/>
  <c r="G448" i="83"/>
  <c r="E448" i="83"/>
  <c r="C448" i="83"/>
  <c r="R447" i="83"/>
  <c r="S447" i="83" s="1"/>
  <c r="O447" i="83"/>
  <c r="M447" i="83"/>
  <c r="K447" i="83"/>
  <c r="I447" i="83"/>
  <c r="G447" i="83"/>
  <c r="E447" i="83"/>
  <c r="C447" i="83"/>
  <c r="R446" i="83"/>
  <c r="S446" i="83" s="1"/>
  <c r="O446" i="83"/>
  <c r="M446" i="83"/>
  <c r="K446" i="83"/>
  <c r="I446" i="83"/>
  <c r="G446" i="83"/>
  <c r="E446" i="83"/>
  <c r="C446" i="83"/>
  <c r="R445" i="83"/>
  <c r="S445" i="83" s="1"/>
  <c r="O445" i="83"/>
  <c r="M445" i="83"/>
  <c r="K445" i="83"/>
  <c r="I445" i="83"/>
  <c r="G445" i="83"/>
  <c r="E445" i="83"/>
  <c r="C445" i="83"/>
  <c r="R444" i="83"/>
  <c r="S444" i="83" s="1"/>
  <c r="O444" i="83"/>
  <c r="M444" i="83"/>
  <c r="K444" i="83"/>
  <c r="I444" i="83"/>
  <c r="G444" i="83"/>
  <c r="E444" i="83"/>
  <c r="C444" i="83"/>
  <c r="R443" i="83"/>
  <c r="S443" i="83" s="1"/>
  <c r="O443" i="83"/>
  <c r="M443" i="83"/>
  <c r="K443" i="83"/>
  <c r="I443" i="83"/>
  <c r="G443" i="83"/>
  <c r="E443" i="83"/>
  <c r="C443" i="83"/>
  <c r="R442" i="83"/>
  <c r="S442" i="83" s="1"/>
  <c r="O442" i="83"/>
  <c r="M442" i="83"/>
  <c r="K442" i="83"/>
  <c r="I442" i="83"/>
  <c r="G442" i="83"/>
  <c r="E442" i="83"/>
  <c r="C442" i="83"/>
  <c r="R441" i="83"/>
  <c r="S441" i="83" s="1"/>
  <c r="O441" i="83"/>
  <c r="M441" i="83"/>
  <c r="K441" i="83"/>
  <c r="I441" i="83"/>
  <c r="G441" i="83"/>
  <c r="E441" i="83"/>
  <c r="C441" i="83"/>
  <c r="R440" i="83"/>
  <c r="S440" i="83" s="1"/>
  <c r="O440" i="83"/>
  <c r="M440" i="83"/>
  <c r="K440" i="83"/>
  <c r="I440" i="83"/>
  <c r="G440" i="83"/>
  <c r="E440" i="83"/>
  <c r="C440" i="83"/>
  <c r="R439" i="83"/>
  <c r="S439" i="83" s="1"/>
  <c r="O439" i="83"/>
  <c r="M439" i="83"/>
  <c r="K439" i="83"/>
  <c r="I439" i="83"/>
  <c r="G439" i="83"/>
  <c r="E439" i="83"/>
  <c r="C439" i="83"/>
  <c r="S438" i="83"/>
  <c r="R438" i="83"/>
  <c r="O438" i="83"/>
  <c r="M438" i="83"/>
  <c r="K438" i="83"/>
  <c r="I438" i="83"/>
  <c r="G438" i="83"/>
  <c r="E438" i="83"/>
  <c r="C438" i="83"/>
  <c r="R437" i="83"/>
  <c r="S437" i="83" s="1"/>
  <c r="O437" i="83"/>
  <c r="M437" i="83"/>
  <c r="K437" i="83"/>
  <c r="I437" i="83"/>
  <c r="G437" i="83"/>
  <c r="E437" i="83"/>
  <c r="C437" i="83"/>
  <c r="S436" i="83"/>
  <c r="R436" i="83"/>
  <c r="O436" i="83"/>
  <c r="M436" i="83"/>
  <c r="K436" i="83"/>
  <c r="I436" i="83"/>
  <c r="G436" i="83"/>
  <c r="E436" i="83"/>
  <c r="C436" i="83"/>
  <c r="R435" i="83"/>
  <c r="S435" i="83" s="1"/>
  <c r="O435" i="83"/>
  <c r="M435" i="83"/>
  <c r="K435" i="83"/>
  <c r="I435" i="83"/>
  <c r="G435" i="83"/>
  <c r="E435" i="83"/>
  <c r="C435" i="83"/>
  <c r="R434" i="83"/>
  <c r="S434" i="83" s="1"/>
  <c r="O434" i="83"/>
  <c r="M434" i="83"/>
  <c r="K434" i="83"/>
  <c r="I434" i="83"/>
  <c r="G434" i="83"/>
  <c r="E434" i="83"/>
  <c r="C434" i="83"/>
  <c r="R433" i="83"/>
  <c r="S433" i="83" s="1"/>
  <c r="O433" i="83"/>
  <c r="M433" i="83"/>
  <c r="K433" i="83"/>
  <c r="I433" i="83"/>
  <c r="G433" i="83"/>
  <c r="E433" i="83"/>
  <c r="C433" i="83"/>
  <c r="R432" i="83"/>
  <c r="S432" i="83" s="1"/>
  <c r="O432" i="83"/>
  <c r="M432" i="83"/>
  <c r="K432" i="83"/>
  <c r="I432" i="83"/>
  <c r="G432" i="83"/>
  <c r="E432" i="83"/>
  <c r="C432" i="83"/>
  <c r="R431" i="83"/>
  <c r="S431" i="83" s="1"/>
  <c r="O431" i="83"/>
  <c r="M431" i="83"/>
  <c r="K431" i="83"/>
  <c r="I431" i="83"/>
  <c r="G431" i="83"/>
  <c r="E431" i="83"/>
  <c r="C431" i="83"/>
  <c r="R430" i="83"/>
  <c r="S430" i="83" s="1"/>
  <c r="O430" i="83"/>
  <c r="M430" i="83"/>
  <c r="K430" i="83"/>
  <c r="I430" i="83"/>
  <c r="G430" i="83"/>
  <c r="E430" i="83"/>
  <c r="C430" i="83"/>
  <c r="R429" i="83"/>
  <c r="S429" i="83" s="1"/>
  <c r="O429" i="83"/>
  <c r="M429" i="83"/>
  <c r="K429" i="83"/>
  <c r="I429" i="83"/>
  <c r="G429" i="83"/>
  <c r="E429" i="83"/>
  <c r="C429" i="83"/>
  <c r="R428" i="83"/>
  <c r="S428" i="83" s="1"/>
  <c r="O428" i="83"/>
  <c r="M428" i="83"/>
  <c r="K428" i="83"/>
  <c r="I428" i="83"/>
  <c r="G428" i="83"/>
  <c r="E428" i="83"/>
  <c r="C428" i="83"/>
  <c r="R427" i="83"/>
  <c r="S427" i="83" s="1"/>
  <c r="O427" i="83"/>
  <c r="M427" i="83"/>
  <c r="K427" i="83"/>
  <c r="I427" i="83"/>
  <c r="G427" i="83"/>
  <c r="E427" i="83"/>
  <c r="C427" i="83"/>
  <c r="R426" i="83"/>
  <c r="S426" i="83" s="1"/>
  <c r="O426" i="83"/>
  <c r="M426" i="83"/>
  <c r="K426" i="83"/>
  <c r="I426" i="83"/>
  <c r="G426" i="83"/>
  <c r="E426" i="83"/>
  <c r="C426" i="83"/>
  <c r="R425" i="83"/>
  <c r="S425" i="83" s="1"/>
  <c r="O425" i="83"/>
  <c r="M425" i="83"/>
  <c r="K425" i="83"/>
  <c r="I425" i="83"/>
  <c r="G425" i="83"/>
  <c r="E425" i="83"/>
  <c r="C425" i="83"/>
  <c r="R424" i="83"/>
  <c r="S424" i="83" s="1"/>
  <c r="O424" i="83"/>
  <c r="M424" i="83"/>
  <c r="K424" i="83"/>
  <c r="I424" i="83"/>
  <c r="G424" i="83"/>
  <c r="E424" i="83"/>
  <c r="C424" i="83"/>
  <c r="R423" i="83"/>
  <c r="S423" i="83" s="1"/>
  <c r="O423" i="83"/>
  <c r="M423" i="83"/>
  <c r="K423" i="83"/>
  <c r="I423" i="83"/>
  <c r="G423" i="83"/>
  <c r="E423" i="83"/>
  <c r="C423" i="83"/>
  <c r="R422" i="83"/>
  <c r="S422" i="83" s="1"/>
  <c r="O422" i="83"/>
  <c r="M422" i="83"/>
  <c r="K422" i="83"/>
  <c r="I422" i="83"/>
  <c r="G422" i="83"/>
  <c r="E422" i="83"/>
  <c r="C422" i="83"/>
  <c r="R421" i="83"/>
  <c r="S421" i="83" s="1"/>
  <c r="O421" i="83"/>
  <c r="M421" i="83"/>
  <c r="K421" i="83"/>
  <c r="I421" i="83"/>
  <c r="G421" i="83"/>
  <c r="E421" i="83"/>
  <c r="C421" i="83"/>
  <c r="R420" i="83"/>
  <c r="S420" i="83" s="1"/>
  <c r="O420" i="83"/>
  <c r="M420" i="83"/>
  <c r="K420" i="83"/>
  <c r="I420" i="83"/>
  <c r="G420" i="83"/>
  <c r="E420" i="83"/>
  <c r="C420" i="83"/>
  <c r="R419" i="83"/>
  <c r="S419" i="83" s="1"/>
  <c r="O419" i="83"/>
  <c r="M419" i="83"/>
  <c r="K419" i="83"/>
  <c r="I419" i="83"/>
  <c r="G419" i="83"/>
  <c r="E419" i="83"/>
  <c r="C419" i="83"/>
  <c r="S418" i="83"/>
  <c r="R418" i="83"/>
  <c r="O418" i="83"/>
  <c r="M418" i="83"/>
  <c r="K418" i="83"/>
  <c r="I418" i="83"/>
  <c r="G418" i="83"/>
  <c r="E418" i="83"/>
  <c r="C418" i="83"/>
  <c r="R417" i="83"/>
  <c r="S417" i="83" s="1"/>
  <c r="O417" i="83"/>
  <c r="M417" i="83"/>
  <c r="K417" i="83"/>
  <c r="I417" i="83"/>
  <c r="G417" i="83"/>
  <c r="E417" i="83"/>
  <c r="C417" i="83"/>
  <c r="R416" i="83"/>
  <c r="S416" i="83" s="1"/>
  <c r="O416" i="83"/>
  <c r="M416" i="83"/>
  <c r="K416" i="83"/>
  <c r="I416" i="83"/>
  <c r="G416" i="83"/>
  <c r="E416" i="83"/>
  <c r="C416" i="83"/>
  <c r="R415" i="83"/>
  <c r="S415" i="83" s="1"/>
  <c r="O415" i="83"/>
  <c r="M415" i="83"/>
  <c r="K415" i="83"/>
  <c r="I415" i="83"/>
  <c r="G415" i="83"/>
  <c r="E415" i="83"/>
  <c r="C415" i="83"/>
  <c r="R414" i="83"/>
  <c r="S414" i="83" s="1"/>
  <c r="O414" i="83"/>
  <c r="M414" i="83"/>
  <c r="K414" i="83"/>
  <c r="I414" i="83"/>
  <c r="G414" i="83"/>
  <c r="E414" i="83"/>
  <c r="C414" i="83"/>
  <c r="R413" i="83"/>
  <c r="S413" i="83" s="1"/>
  <c r="O413" i="83"/>
  <c r="M413" i="83"/>
  <c r="K413" i="83"/>
  <c r="I413" i="83"/>
  <c r="G413" i="83"/>
  <c r="E413" i="83"/>
  <c r="C413" i="83"/>
  <c r="R412" i="83"/>
  <c r="S412" i="83" s="1"/>
  <c r="O412" i="83"/>
  <c r="M412" i="83"/>
  <c r="K412" i="83"/>
  <c r="I412" i="83"/>
  <c r="G412" i="83"/>
  <c r="E412" i="83"/>
  <c r="C412" i="83"/>
  <c r="R411" i="83"/>
  <c r="S411" i="83" s="1"/>
  <c r="O411" i="83"/>
  <c r="M411" i="83"/>
  <c r="K411" i="83"/>
  <c r="I411" i="83"/>
  <c r="G411" i="83"/>
  <c r="E411" i="83"/>
  <c r="C411" i="83"/>
  <c r="R410" i="83"/>
  <c r="S410" i="83" s="1"/>
  <c r="O410" i="83"/>
  <c r="M410" i="83"/>
  <c r="K410" i="83"/>
  <c r="I410" i="83"/>
  <c r="G410" i="83"/>
  <c r="E410" i="83"/>
  <c r="C410" i="83"/>
  <c r="R409" i="83"/>
  <c r="S409" i="83" s="1"/>
  <c r="O409" i="83"/>
  <c r="M409" i="83"/>
  <c r="K409" i="83"/>
  <c r="I409" i="83"/>
  <c r="G409" i="83"/>
  <c r="E409" i="83"/>
  <c r="C409" i="83"/>
  <c r="S408" i="83"/>
  <c r="R408" i="83"/>
  <c r="O408" i="83"/>
  <c r="M408" i="83"/>
  <c r="K408" i="83"/>
  <c r="I408" i="83"/>
  <c r="G408" i="83"/>
  <c r="E408" i="83"/>
  <c r="C408" i="83"/>
  <c r="R407" i="83"/>
  <c r="S407" i="83" s="1"/>
  <c r="O407" i="83"/>
  <c r="M407" i="83"/>
  <c r="K407" i="83"/>
  <c r="I407" i="83"/>
  <c r="G407" i="83"/>
  <c r="E407" i="83"/>
  <c r="C407" i="83"/>
  <c r="R406" i="83"/>
  <c r="S406" i="83" s="1"/>
  <c r="O406" i="83"/>
  <c r="M406" i="83"/>
  <c r="K406" i="83"/>
  <c r="I406" i="83"/>
  <c r="G406" i="83"/>
  <c r="E406" i="83"/>
  <c r="C406" i="83"/>
  <c r="R405" i="83"/>
  <c r="S405" i="83" s="1"/>
  <c r="O405" i="83"/>
  <c r="M405" i="83"/>
  <c r="K405" i="83"/>
  <c r="I405" i="83"/>
  <c r="G405" i="83"/>
  <c r="E405" i="83"/>
  <c r="C405" i="83"/>
  <c r="R404" i="83"/>
  <c r="S404" i="83" s="1"/>
  <c r="O404" i="83"/>
  <c r="M404" i="83"/>
  <c r="K404" i="83"/>
  <c r="I404" i="83"/>
  <c r="G404" i="83"/>
  <c r="E404" i="83"/>
  <c r="C404" i="83"/>
  <c r="R403" i="83"/>
  <c r="S403" i="83" s="1"/>
  <c r="O403" i="83"/>
  <c r="M403" i="83"/>
  <c r="K403" i="83"/>
  <c r="I403" i="83"/>
  <c r="G403" i="83"/>
  <c r="E403" i="83"/>
  <c r="C403" i="83"/>
  <c r="R402" i="83"/>
  <c r="S402" i="83" s="1"/>
  <c r="O402" i="83"/>
  <c r="M402" i="83"/>
  <c r="K402" i="83"/>
  <c r="I402" i="83"/>
  <c r="G402" i="83"/>
  <c r="E402" i="83"/>
  <c r="C402" i="83"/>
  <c r="R401" i="83"/>
  <c r="S401" i="83" s="1"/>
  <c r="O401" i="83"/>
  <c r="M401" i="83"/>
  <c r="K401" i="83"/>
  <c r="I401" i="83"/>
  <c r="G401" i="83"/>
  <c r="E401" i="83"/>
  <c r="C401" i="83"/>
  <c r="R400" i="83"/>
  <c r="S400" i="83" s="1"/>
  <c r="O400" i="83"/>
  <c r="M400" i="83"/>
  <c r="K400" i="83"/>
  <c r="I400" i="83"/>
  <c r="G400" i="83"/>
  <c r="E400" i="83"/>
  <c r="C400" i="83"/>
  <c r="S399" i="83"/>
  <c r="R399" i="83"/>
  <c r="O399" i="83"/>
  <c r="M399" i="83"/>
  <c r="K399" i="83"/>
  <c r="I399" i="83"/>
  <c r="G399" i="83"/>
  <c r="E399" i="83"/>
  <c r="C399" i="83"/>
  <c r="R398" i="83"/>
  <c r="S398" i="83" s="1"/>
  <c r="O398" i="83"/>
  <c r="M398" i="83"/>
  <c r="K398" i="83"/>
  <c r="I398" i="83"/>
  <c r="G398" i="83"/>
  <c r="E398" i="83"/>
  <c r="C398" i="83"/>
  <c r="R397" i="83"/>
  <c r="S397" i="83" s="1"/>
  <c r="O397" i="83"/>
  <c r="M397" i="83"/>
  <c r="K397" i="83"/>
  <c r="I397" i="83"/>
  <c r="G397" i="83"/>
  <c r="E397" i="83"/>
  <c r="C397" i="83"/>
  <c r="R396" i="83"/>
  <c r="S396" i="83" s="1"/>
  <c r="O396" i="83"/>
  <c r="M396" i="83"/>
  <c r="K396" i="83"/>
  <c r="I396" i="83"/>
  <c r="G396" i="83"/>
  <c r="E396" i="83"/>
  <c r="C396" i="83"/>
  <c r="R395" i="83"/>
  <c r="S395" i="83" s="1"/>
  <c r="O395" i="83"/>
  <c r="M395" i="83"/>
  <c r="K395" i="83"/>
  <c r="I395" i="83"/>
  <c r="G395" i="83"/>
  <c r="E395" i="83"/>
  <c r="C395" i="83"/>
  <c r="R394" i="83"/>
  <c r="S394" i="83" s="1"/>
  <c r="O394" i="83"/>
  <c r="M394" i="83"/>
  <c r="K394" i="83"/>
  <c r="I394" i="83"/>
  <c r="G394" i="83"/>
  <c r="E394" i="83"/>
  <c r="C394" i="83"/>
  <c r="R393" i="83"/>
  <c r="S393" i="83" s="1"/>
  <c r="O393" i="83"/>
  <c r="M393" i="83"/>
  <c r="K393" i="83"/>
  <c r="I393" i="83"/>
  <c r="G393" i="83"/>
  <c r="E393" i="83"/>
  <c r="C393" i="83"/>
  <c r="R392" i="83"/>
  <c r="S392" i="83" s="1"/>
  <c r="O392" i="83"/>
  <c r="M392" i="83"/>
  <c r="K392" i="83"/>
  <c r="I392" i="83"/>
  <c r="G392" i="83"/>
  <c r="E392" i="83"/>
  <c r="C392" i="83"/>
  <c r="R391" i="83"/>
  <c r="S391" i="83" s="1"/>
  <c r="O391" i="83"/>
  <c r="M391" i="83"/>
  <c r="K391" i="83"/>
  <c r="I391" i="83"/>
  <c r="G391" i="83"/>
  <c r="E391" i="83"/>
  <c r="C391" i="83"/>
  <c r="R390" i="83"/>
  <c r="S390" i="83" s="1"/>
  <c r="O390" i="83"/>
  <c r="M390" i="83"/>
  <c r="K390" i="83"/>
  <c r="I390" i="83"/>
  <c r="G390" i="83"/>
  <c r="E390" i="83"/>
  <c r="C390" i="83"/>
  <c r="R389" i="83"/>
  <c r="S389" i="83" s="1"/>
  <c r="O389" i="83"/>
  <c r="M389" i="83"/>
  <c r="K389" i="83"/>
  <c r="I389" i="83"/>
  <c r="G389" i="83"/>
  <c r="E389" i="83"/>
  <c r="C389" i="83"/>
  <c r="R388" i="83"/>
  <c r="S388" i="83" s="1"/>
  <c r="O388" i="83"/>
  <c r="M388" i="83"/>
  <c r="K388" i="83"/>
  <c r="I388" i="83"/>
  <c r="G388" i="83"/>
  <c r="E388" i="83"/>
  <c r="C388" i="83"/>
  <c r="R387" i="83"/>
  <c r="S387" i="83" s="1"/>
  <c r="O387" i="83"/>
  <c r="M387" i="83"/>
  <c r="K387" i="83"/>
  <c r="I387" i="83"/>
  <c r="G387" i="83"/>
  <c r="E387" i="83"/>
  <c r="C387" i="83"/>
  <c r="R386" i="83"/>
  <c r="S386" i="83" s="1"/>
  <c r="O386" i="83"/>
  <c r="M386" i="83"/>
  <c r="K386" i="83"/>
  <c r="I386" i="83"/>
  <c r="G386" i="83"/>
  <c r="E386" i="83"/>
  <c r="C386" i="83"/>
  <c r="R385" i="83"/>
  <c r="S385" i="83" s="1"/>
  <c r="O385" i="83"/>
  <c r="M385" i="83"/>
  <c r="K385" i="83"/>
  <c r="I385" i="83"/>
  <c r="G385" i="83"/>
  <c r="E385" i="83"/>
  <c r="C385" i="83"/>
  <c r="R384" i="83"/>
  <c r="S384" i="83" s="1"/>
  <c r="O384" i="83"/>
  <c r="M384" i="83"/>
  <c r="K384" i="83"/>
  <c r="I384" i="83"/>
  <c r="G384" i="83"/>
  <c r="E384" i="83"/>
  <c r="C384" i="83"/>
  <c r="R383" i="83"/>
  <c r="S383" i="83" s="1"/>
  <c r="O383" i="83"/>
  <c r="M383" i="83"/>
  <c r="K383" i="83"/>
  <c r="I383" i="83"/>
  <c r="G383" i="83"/>
  <c r="E383" i="83"/>
  <c r="C383" i="83"/>
  <c r="R382" i="83"/>
  <c r="S382" i="83" s="1"/>
  <c r="O382" i="83"/>
  <c r="M382" i="83"/>
  <c r="K382" i="83"/>
  <c r="I382" i="83"/>
  <c r="G382" i="83"/>
  <c r="E382" i="83"/>
  <c r="C382" i="83"/>
  <c r="R381" i="83"/>
  <c r="S381" i="83" s="1"/>
  <c r="O381" i="83"/>
  <c r="M381" i="83"/>
  <c r="K381" i="83"/>
  <c r="I381" i="83"/>
  <c r="G381" i="83"/>
  <c r="E381" i="83"/>
  <c r="C381" i="83"/>
  <c r="R380" i="83"/>
  <c r="S380" i="83" s="1"/>
  <c r="O380" i="83"/>
  <c r="M380" i="83"/>
  <c r="K380" i="83"/>
  <c r="I380" i="83"/>
  <c r="G380" i="83"/>
  <c r="E380" i="83"/>
  <c r="C380" i="83"/>
  <c r="R379" i="83"/>
  <c r="S379" i="83" s="1"/>
  <c r="O379" i="83"/>
  <c r="M379" i="83"/>
  <c r="K379" i="83"/>
  <c r="I379" i="83"/>
  <c r="G379" i="83"/>
  <c r="E379" i="83"/>
  <c r="C379" i="83"/>
  <c r="R378" i="83"/>
  <c r="S378" i="83" s="1"/>
  <c r="O378" i="83"/>
  <c r="M378" i="83"/>
  <c r="K378" i="83"/>
  <c r="I378" i="83"/>
  <c r="G378" i="83"/>
  <c r="E378" i="83"/>
  <c r="C378" i="83"/>
  <c r="R377" i="83"/>
  <c r="S377" i="83" s="1"/>
  <c r="O377" i="83"/>
  <c r="M377" i="83"/>
  <c r="K377" i="83"/>
  <c r="I377" i="83"/>
  <c r="G377" i="83"/>
  <c r="E377" i="83"/>
  <c r="C377" i="83"/>
  <c r="R376" i="83"/>
  <c r="S376" i="83" s="1"/>
  <c r="O376" i="83"/>
  <c r="M376" i="83"/>
  <c r="K376" i="83"/>
  <c r="I376" i="83"/>
  <c r="G376" i="83"/>
  <c r="E376" i="83"/>
  <c r="C376" i="83"/>
  <c r="R375" i="83"/>
  <c r="S375" i="83" s="1"/>
  <c r="O375" i="83"/>
  <c r="M375" i="83"/>
  <c r="K375" i="83"/>
  <c r="I375" i="83"/>
  <c r="G375" i="83"/>
  <c r="E375" i="83"/>
  <c r="C375" i="83"/>
  <c r="R374" i="83"/>
  <c r="S374" i="83" s="1"/>
  <c r="O374" i="83"/>
  <c r="M374" i="83"/>
  <c r="K374" i="83"/>
  <c r="I374" i="83"/>
  <c r="G374" i="83"/>
  <c r="E374" i="83"/>
  <c r="C374" i="83"/>
  <c r="R373" i="83"/>
  <c r="S373" i="83" s="1"/>
  <c r="O373" i="83"/>
  <c r="M373" i="83"/>
  <c r="K373" i="83"/>
  <c r="I373" i="83"/>
  <c r="G373" i="83"/>
  <c r="E373" i="83"/>
  <c r="C373" i="83"/>
  <c r="R372" i="83"/>
  <c r="S372" i="83" s="1"/>
  <c r="O372" i="83"/>
  <c r="M372" i="83"/>
  <c r="K372" i="83"/>
  <c r="I372" i="83"/>
  <c r="G372" i="83"/>
  <c r="E372" i="83"/>
  <c r="C372" i="83"/>
  <c r="R371" i="83"/>
  <c r="S371" i="83" s="1"/>
  <c r="O371" i="83"/>
  <c r="M371" i="83"/>
  <c r="K371" i="83"/>
  <c r="I371" i="83"/>
  <c r="G371" i="83"/>
  <c r="E371" i="83"/>
  <c r="C371" i="83"/>
  <c r="S370" i="83"/>
  <c r="R370" i="83"/>
  <c r="O370" i="83"/>
  <c r="M370" i="83"/>
  <c r="K370" i="83"/>
  <c r="I370" i="83"/>
  <c r="G370" i="83"/>
  <c r="E370" i="83"/>
  <c r="C370" i="83"/>
  <c r="R369" i="83"/>
  <c r="S369" i="83" s="1"/>
  <c r="O369" i="83"/>
  <c r="M369" i="83"/>
  <c r="K369" i="83"/>
  <c r="I369" i="83"/>
  <c r="G369" i="83"/>
  <c r="E369" i="83"/>
  <c r="C369" i="83"/>
  <c r="R368" i="83"/>
  <c r="S368" i="83" s="1"/>
  <c r="O368" i="83"/>
  <c r="M368" i="83"/>
  <c r="K368" i="83"/>
  <c r="I368" i="83"/>
  <c r="G368" i="83"/>
  <c r="E368" i="83"/>
  <c r="C368" i="83"/>
  <c r="R367" i="83"/>
  <c r="S367" i="83" s="1"/>
  <c r="O367" i="83"/>
  <c r="M367" i="83"/>
  <c r="K367" i="83"/>
  <c r="I367" i="83"/>
  <c r="G367" i="83"/>
  <c r="E367" i="83"/>
  <c r="C367" i="83"/>
  <c r="R366" i="83"/>
  <c r="S366" i="83" s="1"/>
  <c r="O366" i="83"/>
  <c r="M366" i="83"/>
  <c r="K366" i="83"/>
  <c r="I366" i="83"/>
  <c r="G366" i="83"/>
  <c r="E366" i="83"/>
  <c r="C366" i="83"/>
  <c r="R365" i="83"/>
  <c r="S365" i="83" s="1"/>
  <c r="O365" i="83"/>
  <c r="M365" i="83"/>
  <c r="K365" i="83"/>
  <c r="I365" i="83"/>
  <c r="G365" i="83"/>
  <c r="E365" i="83"/>
  <c r="C365" i="83"/>
  <c r="R364" i="83"/>
  <c r="S364" i="83" s="1"/>
  <c r="O364" i="83"/>
  <c r="M364" i="83"/>
  <c r="K364" i="83"/>
  <c r="I364" i="83"/>
  <c r="G364" i="83"/>
  <c r="E364" i="83"/>
  <c r="C364" i="83"/>
  <c r="R363" i="83"/>
  <c r="S363" i="83" s="1"/>
  <c r="O363" i="83"/>
  <c r="M363" i="83"/>
  <c r="K363" i="83"/>
  <c r="I363" i="83"/>
  <c r="G363" i="83"/>
  <c r="E363" i="83"/>
  <c r="C363" i="83"/>
  <c r="R362" i="83"/>
  <c r="S362" i="83" s="1"/>
  <c r="O362" i="83"/>
  <c r="M362" i="83"/>
  <c r="K362" i="83"/>
  <c r="I362" i="83"/>
  <c r="G362" i="83"/>
  <c r="E362" i="83"/>
  <c r="C362" i="83"/>
  <c r="R361" i="83"/>
  <c r="S361" i="83" s="1"/>
  <c r="O361" i="83"/>
  <c r="M361" i="83"/>
  <c r="K361" i="83"/>
  <c r="I361" i="83"/>
  <c r="G361" i="83"/>
  <c r="E361" i="83"/>
  <c r="C361" i="83"/>
  <c r="R360" i="83"/>
  <c r="S360" i="83" s="1"/>
  <c r="O360" i="83"/>
  <c r="M360" i="83"/>
  <c r="K360" i="83"/>
  <c r="I360" i="83"/>
  <c r="G360" i="83"/>
  <c r="E360" i="83"/>
  <c r="C360" i="83"/>
  <c r="R359" i="83"/>
  <c r="S359" i="83" s="1"/>
  <c r="O359" i="83"/>
  <c r="M359" i="83"/>
  <c r="K359" i="83"/>
  <c r="I359" i="83"/>
  <c r="G359" i="83"/>
  <c r="E359" i="83"/>
  <c r="C359" i="83"/>
  <c r="R358" i="83"/>
  <c r="S358" i="83" s="1"/>
  <c r="O358" i="83"/>
  <c r="M358" i="83"/>
  <c r="K358" i="83"/>
  <c r="I358" i="83"/>
  <c r="G358" i="83"/>
  <c r="E358" i="83"/>
  <c r="C358" i="83"/>
  <c r="R357" i="83"/>
  <c r="S357" i="83" s="1"/>
  <c r="O357" i="83"/>
  <c r="M357" i="83"/>
  <c r="K357" i="83"/>
  <c r="I357" i="83"/>
  <c r="G357" i="83"/>
  <c r="E357" i="83"/>
  <c r="C357" i="83"/>
  <c r="R356" i="83"/>
  <c r="S356" i="83" s="1"/>
  <c r="O356" i="83"/>
  <c r="M356" i="83"/>
  <c r="K356" i="83"/>
  <c r="I356" i="83"/>
  <c r="G356" i="83"/>
  <c r="E356" i="83"/>
  <c r="C356" i="83"/>
  <c r="S355" i="83"/>
  <c r="R355" i="83"/>
  <c r="O355" i="83"/>
  <c r="M355" i="83"/>
  <c r="K355" i="83"/>
  <c r="I355" i="83"/>
  <c r="G355" i="83"/>
  <c r="E355" i="83"/>
  <c r="C355" i="83"/>
  <c r="R354" i="83"/>
  <c r="S354" i="83" s="1"/>
  <c r="O354" i="83"/>
  <c r="M354" i="83"/>
  <c r="K354" i="83"/>
  <c r="I354" i="83"/>
  <c r="G354" i="83"/>
  <c r="E354" i="83"/>
  <c r="C354" i="83"/>
  <c r="R353" i="83"/>
  <c r="S353" i="83" s="1"/>
  <c r="O353" i="83"/>
  <c r="M353" i="83"/>
  <c r="K353" i="83"/>
  <c r="I353" i="83"/>
  <c r="G353" i="83"/>
  <c r="E353" i="83"/>
  <c r="C353" i="83"/>
  <c r="R352" i="83"/>
  <c r="S352" i="83" s="1"/>
  <c r="O352" i="83"/>
  <c r="M352" i="83"/>
  <c r="K352" i="83"/>
  <c r="I352" i="83"/>
  <c r="G352" i="83"/>
  <c r="E352" i="83"/>
  <c r="C352" i="83"/>
  <c r="R351" i="83"/>
  <c r="S351" i="83" s="1"/>
  <c r="O351" i="83"/>
  <c r="M351" i="83"/>
  <c r="K351" i="83"/>
  <c r="I351" i="83"/>
  <c r="G351" i="83"/>
  <c r="E351" i="83"/>
  <c r="C351" i="83"/>
  <c r="R350" i="83"/>
  <c r="S350" i="83" s="1"/>
  <c r="O350" i="83"/>
  <c r="M350" i="83"/>
  <c r="K350" i="83"/>
  <c r="I350" i="83"/>
  <c r="G350" i="83"/>
  <c r="E350" i="83"/>
  <c r="C350" i="83"/>
  <c r="R349" i="83"/>
  <c r="S349" i="83" s="1"/>
  <c r="O349" i="83"/>
  <c r="M349" i="83"/>
  <c r="K349" i="83"/>
  <c r="I349" i="83"/>
  <c r="G349" i="83"/>
  <c r="E349" i="83"/>
  <c r="C349" i="83"/>
  <c r="R348" i="83"/>
  <c r="S348" i="83" s="1"/>
  <c r="O348" i="83"/>
  <c r="M348" i="83"/>
  <c r="K348" i="83"/>
  <c r="I348" i="83"/>
  <c r="G348" i="83"/>
  <c r="E348" i="83"/>
  <c r="C348" i="83"/>
  <c r="R347" i="83"/>
  <c r="S347" i="83" s="1"/>
  <c r="O347" i="83"/>
  <c r="M347" i="83"/>
  <c r="K347" i="83"/>
  <c r="I347" i="83"/>
  <c r="G347" i="83"/>
  <c r="E347" i="83"/>
  <c r="C347" i="83"/>
  <c r="R346" i="83"/>
  <c r="S346" i="83" s="1"/>
  <c r="O346" i="83"/>
  <c r="M346" i="83"/>
  <c r="K346" i="83"/>
  <c r="I346" i="83"/>
  <c r="G346" i="83"/>
  <c r="E346" i="83"/>
  <c r="C346" i="83"/>
  <c r="R345" i="83"/>
  <c r="S345" i="83" s="1"/>
  <c r="O345" i="83"/>
  <c r="M345" i="83"/>
  <c r="K345" i="83"/>
  <c r="I345" i="83"/>
  <c r="G345" i="83"/>
  <c r="E345" i="83"/>
  <c r="C345" i="83"/>
  <c r="R344" i="83"/>
  <c r="S344" i="83" s="1"/>
  <c r="O344" i="83"/>
  <c r="M344" i="83"/>
  <c r="K344" i="83"/>
  <c r="I344" i="83"/>
  <c r="G344" i="83"/>
  <c r="E344" i="83"/>
  <c r="C344" i="83"/>
  <c r="R343" i="83"/>
  <c r="S343" i="83" s="1"/>
  <c r="O343" i="83"/>
  <c r="M343" i="83"/>
  <c r="K343" i="83"/>
  <c r="I343" i="83"/>
  <c r="G343" i="83"/>
  <c r="E343" i="83"/>
  <c r="C343" i="83"/>
  <c r="R342" i="83"/>
  <c r="S342" i="83" s="1"/>
  <c r="O342" i="83"/>
  <c r="M342" i="83"/>
  <c r="K342" i="83"/>
  <c r="I342" i="83"/>
  <c r="G342" i="83"/>
  <c r="E342" i="83"/>
  <c r="C342" i="83"/>
  <c r="R341" i="83"/>
  <c r="S341" i="83" s="1"/>
  <c r="O341" i="83"/>
  <c r="M341" i="83"/>
  <c r="K341" i="83"/>
  <c r="I341" i="83"/>
  <c r="G341" i="83"/>
  <c r="E341" i="83"/>
  <c r="C341" i="83"/>
  <c r="R340" i="83"/>
  <c r="S340" i="83" s="1"/>
  <c r="O340" i="83"/>
  <c r="M340" i="83"/>
  <c r="K340" i="83"/>
  <c r="I340" i="83"/>
  <c r="G340" i="83"/>
  <c r="E340" i="83"/>
  <c r="C340" i="83"/>
  <c r="R339" i="83"/>
  <c r="S339" i="83" s="1"/>
  <c r="O339" i="83"/>
  <c r="M339" i="83"/>
  <c r="K339" i="83"/>
  <c r="I339" i="83"/>
  <c r="G339" i="83"/>
  <c r="E339" i="83"/>
  <c r="C339" i="83"/>
  <c r="R338" i="83"/>
  <c r="S338" i="83" s="1"/>
  <c r="O338" i="83"/>
  <c r="M338" i="83"/>
  <c r="K338" i="83"/>
  <c r="I338" i="83"/>
  <c r="G338" i="83"/>
  <c r="E338" i="83"/>
  <c r="C338" i="83"/>
  <c r="R337" i="83"/>
  <c r="S337" i="83" s="1"/>
  <c r="O337" i="83"/>
  <c r="M337" i="83"/>
  <c r="K337" i="83"/>
  <c r="I337" i="83"/>
  <c r="G337" i="83"/>
  <c r="E337" i="83"/>
  <c r="C337" i="83"/>
  <c r="R336" i="83"/>
  <c r="S336" i="83" s="1"/>
  <c r="O336" i="83"/>
  <c r="M336" i="83"/>
  <c r="K336" i="83"/>
  <c r="I336" i="83"/>
  <c r="G336" i="83"/>
  <c r="E336" i="83"/>
  <c r="C336" i="83"/>
  <c r="R335" i="83"/>
  <c r="S335" i="83" s="1"/>
  <c r="O335" i="83"/>
  <c r="M335" i="83"/>
  <c r="K335" i="83"/>
  <c r="I335" i="83"/>
  <c r="G335" i="83"/>
  <c r="E335" i="83"/>
  <c r="C335" i="83"/>
  <c r="R334" i="83"/>
  <c r="S334" i="83" s="1"/>
  <c r="O334" i="83"/>
  <c r="M334" i="83"/>
  <c r="K334" i="83"/>
  <c r="I334" i="83"/>
  <c r="G334" i="83"/>
  <c r="E334" i="83"/>
  <c r="C334" i="83"/>
  <c r="R333" i="83"/>
  <c r="S333" i="83" s="1"/>
  <c r="O333" i="83"/>
  <c r="M333" i="83"/>
  <c r="K333" i="83"/>
  <c r="I333" i="83"/>
  <c r="G333" i="83"/>
  <c r="E333" i="83"/>
  <c r="C333" i="83"/>
  <c r="R332" i="83"/>
  <c r="S332" i="83" s="1"/>
  <c r="O332" i="83"/>
  <c r="M332" i="83"/>
  <c r="K332" i="83"/>
  <c r="I332" i="83"/>
  <c r="G332" i="83"/>
  <c r="E332" i="83"/>
  <c r="C332" i="83"/>
  <c r="R331" i="83"/>
  <c r="S331" i="83" s="1"/>
  <c r="O331" i="83"/>
  <c r="M331" i="83"/>
  <c r="K331" i="83"/>
  <c r="I331" i="83"/>
  <c r="G331" i="83"/>
  <c r="E331" i="83"/>
  <c r="C331" i="83"/>
  <c r="R330" i="83"/>
  <c r="S330" i="83" s="1"/>
  <c r="O330" i="83"/>
  <c r="M330" i="83"/>
  <c r="K330" i="83"/>
  <c r="I330" i="83"/>
  <c r="G330" i="83"/>
  <c r="E330" i="83"/>
  <c r="C330" i="83"/>
  <c r="R329" i="83"/>
  <c r="S329" i="83" s="1"/>
  <c r="O329" i="83"/>
  <c r="M329" i="83"/>
  <c r="K329" i="83"/>
  <c r="I329" i="83"/>
  <c r="G329" i="83"/>
  <c r="E329" i="83"/>
  <c r="C329" i="83"/>
  <c r="R328" i="83"/>
  <c r="S328" i="83" s="1"/>
  <c r="O328" i="83"/>
  <c r="M328" i="83"/>
  <c r="K328" i="83"/>
  <c r="I328" i="83"/>
  <c r="G328" i="83"/>
  <c r="E328" i="83"/>
  <c r="C328" i="83"/>
  <c r="R327" i="83"/>
  <c r="S327" i="83" s="1"/>
  <c r="O327" i="83"/>
  <c r="M327" i="83"/>
  <c r="K327" i="83"/>
  <c r="I327" i="83"/>
  <c r="G327" i="83"/>
  <c r="E327" i="83"/>
  <c r="C327" i="83"/>
  <c r="R326" i="83"/>
  <c r="S326" i="83" s="1"/>
  <c r="O326" i="83"/>
  <c r="M326" i="83"/>
  <c r="K326" i="83"/>
  <c r="I326" i="83"/>
  <c r="G326" i="83"/>
  <c r="E326" i="83"/>
  <c r="C326" i="83"/>
  <c r="R325" i="83"/>
  <c r="S325" i="83" s="1"/>
  <c r="O325" i="83"/>
  <c r="M325" i="83"/>
  <c r="K325" i="83"/>
  <c r="I325" i="83"/>
  <c r="G325" i="83"/>
  <c r="E325" i="83"/>
  <c r="C325" i="83"/>
  <c r="R324" i="83"/>
  <c r="S324" i="83" s="1"/>
  <c r="O324" i="83"/>
  <c r="M324" i="83"/>
  <c r="K324" i="83"/>
  <c r="I324" i="83"/>
  <c r="G324" i="83"/>
  <c r="E324" i="83"/>
  <c r="C324" i="83"/>
  <c r="R323" i="83"/>
  <c r="S323" i="83" s="1"/>
  <c r="O323" i="83"/>
  <c r="M323" i="83"/>
  <c r="K323" i="83"/>
  <c r="I323" i="83"/>
  <c r="G323" i="83"/>
  <c r="E323" i="83"/>
  <c r="C323" i="83"/>
  <c r="R322" i="83"/>
  <c r="S322" i="83" s="1"/>
  <c r="O322" i="83"/>
  <c r="M322" i="83"/>
  <c r="K322" i="83"/>
  <c r="I322" i="83"/>
  <c r="G322" i="83"/>
  <c r="E322" i="83"/>
  <c r="C322" i="83"/>
  <c r="R321" i="83"/>
  <c r="S321" i="83" s="1"/>
  <c r="O321" i="83"/>
  <c r="M321" i="83"/>
  <c r="K321" i="83"/>
  <c r="I321" i="83"/>
  <c r="G321" i="83"/>
  <c r="E321" i="83"/>
  <c r="C321" i="83"/>
  <c r="S320" i="83"/>
  <c r="R320" i="83"/>
  <c r="O320" i="83"/>
  <c r="M320" i="83"/>
  <c r="K320" i="83"/>
  <c r="I320" i="83"/>
  <c r="G320" i="83"/>
  <c r="E320" i="83"/>
  <c r="C320" i="83"/>
  <c r="R319" i="83"/>
  <c r="S319" i="83" s="1"/>
  <c r="O319" i="83"/>
  <c r="M319" i="83"/>
  <c r="K319" i="83"/>
  <c r="I319" i="83"/>
  <c r="G319" i="83"/>
  <c r="E319" i="83"/>
  <c r="C319" i="83"/>
  <c r="R318" i="83"/>
  <c r="S318" i="83" s="1"/>
  <c r="O318" i="83"/>
  <c r="M318" i="83"/>
  <c r="K318" i="83"/>
  <c r="I318" i="83"/>
  <c r="G318" i="83"/>
  <c r="E318" i="83"/>
  <c r="C318" i="83"/>
  <c r="R317" i="83"/>
  <c r="S317" i="83" s="1"/>
  <c r="O317" i="83"/>
  <c r="M317" i="83"/>
  <c r="K317" i="83"/>
  <c r="I317" i="83"/>
  <c r="G317" i="83"/>
  <c r="E317" i="83"/>
  <c r="C317" i="83"/>
  <c r="S316" i="83"/>
  <c r="R316" i="83"/>
  <c r="O316" i="83"/>
  <c r="M316" i="83"/>
  <c r="K316" i="83"/>
  <c r="I316" i="83"/>
  <c r="G316" i="83"/>
  <c r="E316" i="83"/>
  <c r="C316" i="83"/>
  <c r="R315" i="83"/>
  <c r="S315" i="83" s="1"/>
  <c r="O315" i="83"/>
  <c r="M315" i="83"/>
  <c r="K315" i="83"/>
  <c r="I315" i="83"/>
  <c r="G315" i="83"/>
  <c r="E315" i="83"/>
  <c r="C315" i="83"/>
  <c r="R314" i="83"/>
  <c r="S314" i="83" s="1"/>
  <c r="O314" i="83"/>
  <c r="M314" i="83"/>
  <c r="K314" i="83"/>
  <c r="I314" i="83"/>
  <c r="G314" i="83"/>
  <c r="E314" i="83"/>
  <c r="C314" i="83"/>
  <c r="R313" i="83"/>
  <c r="S313" i="83" s="1"/>
  <c r="O313" i="83"/>
  <c r="M313" i="83"/>
  <c r="K313" i="83"/>
  <c r="I313" i="83"/>
  <c r="G313" i="83"/>
  <c r="E313" i="83"/>
  <c r="C313" i="83"/>
  <c r="R312" i="83"/>
  <c r="S312" i="83" s="1"/>
  <c r="O312" i="83"/>
  <c r="M312" i="83"/>
  <c r="K312" i="83"/>
  <c r="I312" i="83"/>
  <c r="G312" i="83"/>
  <c r="E312" i="83"/>
  <c r="C312" i="83"/>
  <c r="R311" i="83"/>
  <c r="S311" i="83" s="1"/>
  <c r="O311" i="83"/>
  <c r="M311" i="83"/>
  <c r="K311" i="83"/>
  <c r="I311" i="83"/>
  <c r="G311" i="83"/>
  <c r="E311" i="83"/>
  <c r="C311" i="83"/>
  <c r="R310" i="83"/>
  <c r="S310" i="83" s="1"/>
  <c r="O310" i="83"/>
  <c r="M310" i="83"/>
  <c r="K310" i="83"/>
  <c r="I310" i="83"/>
  <c r="G310" i="83"/>
  <c r="E310" i="83"/>
  <c r="C310" i="83"/>
  <c r="R309" i="83"/>
  <c r="S309" i="83" s="1"/>
  <c r="O309" i="83"/>
  <c r="M309" i="83"/>
  <c r="K309" i="83"/>
  <c r="I309" i="83"/>
  <c r="G309" i="83"/>
  <c r="E309" i="83"/>
  <c r="C309" i="83"/>
  <c r="R308" i="83"/>
  <c r="S308" i="83" s="1"/>
  <c r="O308" i="83"/>
  <c r="M308" i="83"/>
  <c r="K308" i="83"/>
  <c r="I308" i="83"/>
  <c r="G308" i="83"/>
  <c r="E308" i="83"/>
  <c r="C308" i="83"/>
  <c r="R307" i="83"/>
  <c r="S307" i="83" s="1"/>
  <c r="O307" i="83"/>
  <c r="M307" i="83"/>
  <c r="K307" i="83"/>
  <c r="I307" i="83"/>
  <c r="G307" i="83"/>
  <c r="E307" i="83"/>
  <c r="C307" i="83"/>
  <c r="R306" i="83"/>
  <c r="S306" i="83" s="1"/>
  <c r="O306" i="83"/>
  <c r="M306" i="83"/>
  <c r="K306" i="83"/>
  <c r="I306" i="83"/>
  <c r="G306" i="83"/>
  <c r="E306" i="83"/>
  <c r="C306" i="83"/>
  <c r="R305" i="83"/>
  <c r="S305" i="83" s="1"/>
  <c r="O305" i="83"/>
  <c r="M305" i="83"/>
  <c r="K305" i="83"/>
  <c r="I305" i="83"/>
  <c r="G305" i="83"/>
  <c r="E305" i="83"/>
  <c r="C305" i="83"/>
  <c r="R304" i="83"/>
  <c r="S304" i="83" s="1"/>
  <c r="O304" i="83"/>
  <c r="M304" i="83"/>
  <c r="K304" i="83"/>
  <c r="I304" i="83"/>
  <c r="G304" i="83"/>
  <c r="E304" i="83"/>
  <c r="C304" i="83"/>
  <c r="R303" i="83"/>
  <c r="S303" i="83" s="1"/>
  <c r="O303" i="83"/>
  <c r="M303" i="83"/>
  <c r="K303" i="83"/>
  <c r="I303" i="83"/>
  <c r="G303" i="83"/>
  <c r="E303" i="83"/>
  <c r="C303" i="83"/>
  <c r="R302" i="83"/>
  <c r="S302" i="83" s="1"/>
  <c r="O302" i="83"/>
  <c r="M302" i="83"/>
  <c r="K302" i="83"/>
  <c r="I302" i="83"/>
  <c r="G302" i="83"/>
  <c r="E302" i="83"/>
  <c r="C302" i="83"/>
  <c r="R301" i="83"/>
  <c r="S301" i="83" s="1"/>
  <c r="O301" i="83"/>
  <c r="M301" i="83"/>
  <c r="K301" i="83"/>
  <c r="I301" i="83"/>
  <c r="G301" i="83"/>
  <c r="E301" i="83"/>
  <c r="C301" i="83"/>
  <c r="R300" i="83"/>
  <c r="S300" i="83" s="1"/>
  <c r="O300" i="83"/>
  <c r="M300" i="83"/>
  <c r="K300" i="83"/>
  <c r="I300" i="83"/>
  <c r="G300" i="83"/>
  <c r="E300" i="83"/>
  <c r="C300" i="83"/>
  <c r="R299" i="83"/>
  <c r="S299" i="83" s="1"/>
  <c r="O299" i="83"/>
  <c r="M299" i="83"/>
  <c r="K299" i="83"/>
  <c r="I299" i="83"/>
  <c r="G299" i="83"/>
  <c r="E299" i="83"/>
  <c r="C299" i="83"/>
  <c r="R298" i="83"/>
  <c r="S298" i="83" s="1"/>
  <c r="O298" i="83"/>
  <c r="M298" i="83"/>
  <c r="K298" i="83"/>
  <c r="I298" i="83"/>
  <c r="G298" i="83"/>
  <c r="E298" i="83"/>
  <c r="C298" i="83"/>
  <c r="R297" i="83"/>
  <c r="S297" i="83" s="1"/>
  <c r="O297" i="83"/>
  <c r="M297" i="83"/>
  <c r="K297" i="83"/>
  <c r="I297" i="83"/>
  <c r="G297" i="83"/>
  <c r="E297" i="83"/>
  <c r="C297" i="83"/>
  <c r="R296" i="83"/>
  <c r="S296" i="83" s="1"/>
  <c r="O296" i="83"/>
  <c r="M296" i="83"/>
  <c r="K296" i="83"/>
  <c r="I296" i="83"/>
  <c r="G296" i="83"/>
  <c r="E296" i="83"/>
  <c r="C296" i="83"/>
  <c r="S295" i="83"/>
  <c r="R295" i="83"/>
  <c r="O295" i="83"/>
  <c r="M295" i="83"/>
  <c r="K295" i="83"/>
  <c r="I295" i="83"/>
  <c r="G295" i="83"/>
  <c r="E295" i="83"/>
  <c r="C295" i="83"/>
  <c r="R294" i="83"/>
  <c r="S294" i="83" s="1"/>
  <c r="O294" i="83"/>
  <c r="M294" i="83"/>
  <c r="K294" i="83"/>
  <c r="I294" i="83"/>
  <c r="G294" i="83"/>
  <c r="E294" i="83"/>
  <c r="C294" i="83"/>
  <c r="R293" i="83"/>
  <c r="S293" i="83" s="1"/>
  <c r="O293" i="83"/>
  <c r="M293" i="83"/>
  <c r="K293" i="83"/>
  <c r="I293" i="83"/>
  <c r="G293" i="83"/>
  <c r="E293" i="83"/>
  <c r="C293" i="83"/>
  <c r="R292" i="83"/>
  <c r="S292" i="83" s="1"/>
  <c r="O292" i="83"/>
  <c r="M292" i="83"/>
  <c r="K292" i="83"/>
  <c r="I292" i="83"/>
  <c r="G292" i="83"/>
  <c r="E292" i="83"/>
  <c r="C292" i="83"/>
  <c r="R291" i="83"/>
  <c r="S291" i="83" s="1"/>
  <c r="O291" i="83"/>
  <c r="M291" i="83"/>
  <c r="K291" i="83"/>
  <c r="I291" i="83"/>
  <c r="G291" i="83"/>
  <c r="E291" i="83"/>
  <c r="C291" i="83"/>
  <c r="R290" i="83"/>
  <c r="S290" i="83" s="1"/>
  <c r="O290" i="83"/>
  <c r="M290" i="83"/>
  <c r="K290" i="83"/>
  <c r="I290" i="83"/>
  <c r="G290" i="83"/>
  <c r="E290" i="83"/>
  <c r="C290" i="83"/>
  <c r="R289" i="83"/>
  <c r="S289" i="83" s="1"/>
  <c r="O289" i="83"/>
  <c r="M289" i="83"/>
  <c r="K289" i="83"/>
  <c r="I289" i="83"/>
  <c r="G289" i="83"/>
  <c r="E289" i="83"/>
  <c r="C289" i="83"/>
  <c r="R288" i="83"/>
  <c r="S288" i="83" s="1"/>
  <c r="O288" i="83"/>
  <c r="M288" i="83"/>
  <c r="K288" i="83"/>
  <c r="I288" i="83"/>
  <c r="G288" i="83"/>
  <c r="E288" i="83"/>
  <c r="C288" i="83"/>
  <c r="R287" i="83"/>
  <c r="S287" i="83" s="1"/>
  <c r="O287" i="83"/>
  <c r="M287" i="83"/>
  <c r="K287" i="83"/>
  <c r="I287" i="83"/>
  <c r="G287" i="83"/>
  <c r="E287" i="83"/>
  <c r="C287" i="83"/>
  <c r="R286" i="83"/>
  <c r="S286" i="83" s="1"/>
  <c r="O286" i="83"/>
  <c r="M286" i="83"/>
  <c r="K286" i="83"/>
  <c r="I286" i="83"/>
  <c r="G286" i="83"/>
  <c r="E286" i="83"/>
  <c r="C286" i="83"/>
  <c r="R285" i="83"/>
  <c r="S285" i="83" s="1"/>
  <c r="O285" i="83"/>
  <c r="M285" i="83"/>
  <c r="K285" i="83"/>
  <c r="I285" i="83"/>
  <c r="G285" i="83"/>
  <c r="E285" i="83"/>
  <c r="C285" i="83"/>
  <c r="R284" i="83"/>
  <c r="S284" i="83" s="1"/>
  <c r="O284" i="83"/>
  <c r="M284" i="83"/>
  <c r="K284" i="83"/>
  <c r="I284" i="83"/>
  <c r="G284" i="83"/>
  <c r="E284" i="83"/>
  <c r="C284" i="83"/>
  <c r="R283" i="83"/>
  <c r="S283" i="83" s="1"/>
  <c r="O283" i="83"/>
  <c r="M283" i="83"/>
  <c r="K283" i="83"/>
  <c r="I283" i="83"/>
  <c r="G283" i="83"/>
  <c r="E283" i="83"/>
  <c r="C283" i="83"/>
  <c r="R282" i="83"/>
  <c r="S282" i="83" s="1"/>
  <c r="O282" i="83"/>
  <c r="M282" i="83"/>
  <c r="K282" i="83"/>
  <c r="I282" i="83"/>
  <c r="G282" i="83"/>
  <c r="E282" i="83"/>
  <c r="C282" i="83"/>
  <c r="R281" i="83"/>
  <c r="S281" i="83" s="1"/>
  <c r="O281" i="83"/>
  <c r="M281" i="83"/>
  <c r="K281" i="83"/>
  <c r="I281" i="83"/>
  <c r="G281" i="83"/>
  <c r="E281" i="83"/>
  <c r="C281" i="83"/>
  <c r="R280" i="83"/>
  <c r="S280" i="83" s="1"/>
  <c r="O280" i="83"/>
  <c r="M280" i="83"/>
  <c r="K280" i="83"/>
  <c r="I280" i="83"/>
  <c r="G280" i="83"/>
  <c r="E280" i="83"/>
  <c r="C280" i="83"/>
  <c r="S279" i="83"/>
  <c r="R279" i="83"/>
  <c r="O279" i="83"/>
  <c r="M279" i="83"/>
  <c r="K279" i="83"/>
  <c r="I279" i="83"/>
  <c r="G279" i="83"/>
  <c r="E279" i="83"/>
  <c r="C279" i="83"/>
  <c r="R278" i="83"/>
  <c r="S278" i="83" s="1"/>
  <c r="O278" i="83"/>
  <c r="M278" i="83"/>
  <c r="K278" i="83"/>
  <c r="I278" i="83"/>
  <c r="G278" i="83"/>
  <c r="E278" i="83"/>
  <c r="C278" i="83"/>
  <c r="R277" i="83"/>
  <c r="S277" i="83" s="1"/>
  <c r="O277" i="83"/>
  <c r="M277" i="83"/>
  <c r="K277" i="83"/>
  <c r="I277" i="83"/>
  <c r="G277" i="83"/>
  <c r="E277" i="83"/>
  <c r="C277" i="83"/>
  <c r="R276" i="83"/>
  <c r="S276" i="83" s="1"/>
  <c r="O276" i="83"/>
  <c r="M276" i="83"/>
  <c r="K276" i="83"/>
  <c r="I276" i="83"/>
  <c r="G276" i="83"/>
  <c r="E276" i="83"/>
  <c r="C276" i="83"/>
  <c r="R275" i="83"/>
  <c r="S275" i="83" s="1"/>
  <c r="O275" i="83"/>
  <c r="M275" i="83"/>
  <c r="K275" i="83"/>
  <c r="I275" i="83"/>
  <c r="G275" i="83"/>
  <c r="E275" i="83"/>
  <c r="C275" i="83"/>
  <c r="R274" i="83"/>
  <c r="S274" i="83" s="1"/>
  <c r="O274" i="83"/>
  <c r="M274" i="83"/>
  <c r="K274" i="83"/>
  <c r="I274" i="83"/>
  <c r="G274" i="83"/>
  <c r="E274" i="83"/>
  <c r="C274" i="83"/>
  <c r="R273" i="83"/>
  <c r="S273" i="83" s="1"/>
  <c r="O273" i="83"/>
  <c r="M273" i="83"/>
  <c r="K273" i="83"/>
  <c r="I273" i="83"/>
  <c r="G273" i="83"/>
  <c r="E273" i="83"/>
  <c r="C273" i="83"/>
  <c r="R272" i="83"/>
  <c r="S272" i="83" s="1"/>
  <c r="O272" i="83"/>
  <c r="M272" i="83"/>
  <c r="K272" i="83"/>
  <c r="I272" i="83"/>
  <c r="G272" i="83"/>
  <c r="E272" i="83"/>
  <c r="C272" i="83"/>
  <c r="R271" i="83"/>
  <c r="S271" i="83" s="1"/>
  <c r="O271" i="83"/>
  <c r="M271" i="83"/>
  <c r="K271" i="83"/>
  <c r="I271" i="83"/>
  <c r="G271" i="83"/>
  <c r="E271" i="83"/>
  <c r="C271" i="83"/>
  <c r="R270" i="83"/>
  <c r="S270" i="83" s="1"/>
  <c r="O270" i="83"/>
  <c r="M270" i="83"/>
  <c r="K270" i="83"/>
  <c r="I270" i="83"/>
  <c r="G270" i="83"/>
  <c r="E270" i="83"/>
  <c r="C270" i="83"/>
  <c r="R269" i="83"/>
  <c r="S269" i="83" s="1"/>
  <c r="O269" i="83"/>
  <c r="M269" i="83"/>
  <c r="K269" i="83"/>
  <c r="I269" i="83"/>
  <c r="G269" i="83"/>
  <c r="E269" i="83"/>
  <c r="C269" i="83"/>
  <c r="R268" i="83"/>
  <c r="S268" i="83" s="1"/>
  <c r="O268" i="83"/>
  <c r="M268" i="83"/>
  <c r="K268" i="83"/>
  <c r="I268" i="83"/>
  <c r="G268" i="83"/>
  <c r="E268" i="83"/>
  <c r="C268" i="83"/>
  <c r="R267" i="83"/>
  <c r="S267" i="83" s="1"/>
  <c r="O267" i="83"/>
  <c r="M267" i="83"/>
  <c r="K267" i="83"/>
  <c r="I267" i="83"/>
  <c r="G267" i="83"/>
  <c r="E267" i="83"/>
  <c r="C267" i="83"/>
  <c r="R266" i="83"/>
  <c r="S266" i="83" s="1"/>
  <c r="O266" i="83"/>
  <c r="M266" i="83"/>
  <c r="K266" i="83"/>
  <c r="I266" i="83"/>
  <c r="G266" i="83"/>
  <c r="E266" i="83"/>
  <c r="C266" i="83"/>
  <c r="R265" i="83"/>
  <c r="S265" i="83" s="1"/>
  <c r="O265" i="83"/>
  <c r="M265" i="83"/>
  <c r="K265" i="83"/>
  <c r="I265" i="83"/>
  <c r="G265" i="83"/>
  <c r="E265" i="83"/>
  <c r="C265" i="83"/>
  <c r="R264" i="83"/>
  <c r="S264" i="83" s="1"/>
  <c r="O264" i="83"/>
  <c r="M264" i="83"/>
  <c r="K264" i="83"/>
  <c r="I264" i="83"/>
  <c r="G264" i="83"/>
  <c r="E264" i="83"/>
  <c r="C264" i="83"/>
  <c r="R263" i="83"/>
  <c r="S263" i="83" s="1"/>
  <c r="O263" i="83"/>
  <c r="M263" i="83"/>
  <c r="K263" i="83"/>
  <c r="I263" i="83"/>
  <c r="G263" i="83"/>
  <c r="E263" i="83"/>
  <c r="C263" i="83"/>
  <c r="R262" i="83"/>
  <c r="S262" i="83" s="1"/>
  <c r="O262" i="83"/>
  <c r="M262" i="83"/>
  <c r="K262" i="83"/>
  <c r="I262" i="83"/>
  <c r="G262" i="83"/>
  <c r="E262" i="83"/>
  <c r="C262" i="83"/>
  <c r="R261" i="83"/>
  <c r="S261" i="83" s="1"/>
  <c r="O261" i="83"/>
  <c r="M261" i="83"/>
  <c r="K261" i="83"/>
  <c r="I261" i="83"/>
  <c r="G261" i="83"/>
  <c r="E261" i="83"/>
  <c r="C261" i="83"/>
  <c r="R260" i="83"/>
  <c r="S260" i="83" s="1"/>
  <c r="O260" i="83"/>
  <c r="M260" i="83"/>
  <c r="K260" i="83"/>
  <c r="I260" i="83"/>
  <c r="G260" i="83"/>
  <c r="E260" i="83"/>
  <c r="C260" i="83"/>
  <c r="R259" i="83"/>
  <c r="S259" i="83" s="1"/>
  <c r="O259" i="83"/>
  <c r="M259" i="83"/>
  <c r="K259" i="83"/>
  <c r="I259" i="83"/>
  <c r="G259" i="83"/>
  <c r="E259" i="83"/>
  <c r="C259" i="83"/>
  <c r="R258" i="83"/>
  <c r="S258" i="83" s="1"/>
  <c r="O258" i="83"/>
  <c r="M258" i="83"/>
  <c r="K258" i="83"/>
  <c r="I258" i="83"/>
  <c r="G258" i="83"/>
  <c r="E258" i="83"/>
  <c r="C258" i="83"/>
  <c r="R257" i="83"/>
  <c r="S257" i="83" s="1"/>
  <c r="O257" i="83"/>
  <c r="M257" i="83"/>
  <c r="K257" i="83"/>
  <c r="I257" i="83"/>
  <c r="G257" i="83"/>
  <c r="E257" i="83"/>
  <c r="C257" i="83"/>
  <c r="S256" i="83"/>
  <c r="R256" i="83"/>
  <c r="O256" i="83"/>
  <c r="M256" i="83"/>
  <c r="K256" i="83"/>
  <c r="I256" i="83"/>
  <c r="G256" i="83"/>
  <c r="E256" i="83"/>
  <c r="C256" i="83"/>
  <c r="R255" i="83"/>
  <c r="S255" i="83" s="1"/>
  <c r="O255" i="83"/>
  <c r="M255" i="83"/>
  <c r="K255" i="83"/>
  <c r="I255" i="83"/>
  <c r="G255" i="83"/>
  <c r="E255" i="83"/>
  <c r="C255" i="83"/>
  <c r="R254" i="83"/>
  <c r="S254" i="83" s="1"/>
  <c r="O254" i="83"/>
  <c r="M254" i="83"/>
  <c r="K254" i="83"/>
  <c r="I254" i="83"/>
  <c r="G254" i="83"/>
  <c r="E254" i="83"/>
  <c r="C254" i="83"/>
  <c r="R253" i="83"/>
  <c r="S253" i="83" s="1"/>
  <c r="O253" i="83"/>
  <c r="M253" i="83"/>
  <c r="K253" i="83"/>
  <c r="I253" i="83"/>
  <c r="G253" i="83"/>
  <c r="E253" i="83"/>
  <c r="C253" i="83"/>
  <c r="R252" i="83"/>
  <c r="S252" i="83" s="1"/>
  <c r="O252" i="83"/>
  <c r="M252" i="83"/>
  <c r="K252" i="83"/>
  <c r="I252" i="83"/>
  <c r="G252" i="83"/>
  <c r="E252" i="83"/>
  <c r="C252" i="83"/>
  <c r="R251" i="83"/>
  <c r="S251" i="83" s="1"/>
  <c r="O251" i="83"/>
  <c r="M251" i="83"/>
  <c r="K251" i="83"/>
  <c r="I251" i="83"/>
  <c r="G251" i="83"/>
  <c r="E251" i="83"/>
  <c r="C251" i="83"/>
  <c r="R250" i="83"/>
  <c r="S250" i="83" s="1"/>
  <c r="O250" i="83"/>
  <c r="M250" i="83"/>
  <c r="K250" i="83"/>
  <c r="I250" i="83"/>
  <c r="G250" i="83"/>
  <c r="E250" i="83"/>
  <c r="C250" i="83"/>
  <c r="R249" i="83"/>
  <c r="S249" i="83" s="1"/>
  <c r="O249" i="83"/>
  <c r="M249" i="83"/>
  <c r="K249" i="83"/>
  <c r="I249" i="83"/>
  <c r="G249" i="83"/>
  <c r="E249" i="83"/>
  <c r="C249" i="83"/>
  <c r="R248" i="83"/>
  <c r="S248" i="83" s="1"/>
  <c r="O248" i="83"/>
  <c r="M248" i="83"/>
  <c r="K248" i="83"/>
  <c r="I248" i="83"/>
  <c r="G248" i="83"/>
  <c r="E248" i="83"/>
  <c r="C248" i="83"/>
  <c r="R247" i="83"/>
  <c r="S247" i="83" s="1"/>
  <c r="O247" i="83"/>
  <c r="M247" i="83"/>
  <c r="K247" i="83"/>
  <c r="I247" i="83"/>
  <c r="G247" i="83"/>
  <c r="E247" i="83"/>
  <c r="C247" i="83"/>
  <c r="R246" i="83"/>
  <c r="S246" i="83" s="1"/>
  <c r="O246" i="83"/>
  <c r="M246" i="83"/>
  <c r="K246" i="83"/>
  <c r="I246" i="83"/>
  <c r="G246" i="83"/>
  <c r="E246" i="83"/>
  <c r="C246" i="83"/>
  <c r="R245" i="83"/>
  <c r="S245" i="83" s="1"/>
  <c r="O245" i="83"/>
  <c r="M245" i="83"/>
  <c r="K245" i="83"/>
  <c r="I245" i="83"/>
  <c r="G245" i="83"/>
  <c r="E245" i="83"/>
  <c r="C245" i="83"/>
  <c r="S244" i="83"/>
  <c r="R244" i="83"/>
  <c r="O244" i="83"/>
  <c r="M244" i="83"/>
  <c r="K244" i="83"/>
  <c r="I244" i="83"/>
  <c r="G244" i="83"/>
  <c r="E244" i="83"/>
  <c r="C244" i="83"/>
  <c r="R243" i="83"/>
  <c r="S243" i="83" s="1"/>
  <c r="O243" i="83"/>
  <c r="M243" i="83"/>
  <c r="K243" i="83"/>
  <c r="I243" i="83"/>
  <c r="G243" i="83"/>
  <c r="E243" i="83"/>
  <c r="C243" i="83"/>
  <c r="R242" i="83"/>
  <c r="S242" i="83" s="1"/>
  <c r="O242" i="83"/>
  <c r="M242" i="83"/>
  <c r="K242" i="83"/>
  <c r="I242" i="83"/>
  <c r="G242" i="83"/>
  <c r="E242" i="83"/>
  <c r="C242" i="83"/>
  <c r="R241" i="83"/>
  <c r="S241" i="83" s="1"/>
  <c r="O241" i="83"/>
  <c r="M241" i="83"/>
  <c r="K241" i="83"/>
  <c r="I241" i="83"/>
  <c r="G241" i="83"/>
  <c r="E241" i="83"/>
  <c r="C241" i="83"/>
  <c r="R240" i="83"/>
  <c r="S240" i="83" s="1"/>
  <c r="O240" i="83"/>
  <c r="M240" i="83"/>
  <c r="K240" i="83"/>
  <c r="I240" i="83"/>
  <c r="G240" i="83"/>
  <c r="E240" i="83"/>
  <c r="C240" i="83"/>
  <c r="R239" i="83"/>
  <c r="S239" i="83" s="1"/>
  <c r="O239" i="83"/>
  <c r="M239" i="83"/>
  <c r="K239" i="83"/>
  <c r="I239" i="83"/>
  <c r="G239" i="83"/>
  <c r="E239" i="83"/>
  <c r="C239" i="83"/>
  <c r="R238" i="83"/>
  <c r="S238" i="83" s="1"/>
  <c r="O238" i="83"/>
  <c r="M238" i="83"/>
  <c r="K238" i="83"/>
  <c r="I238" i="83"/>
  <c r="G238" i="83"/>
  <c r="E238" i="83"/>
  <c r="C238" i="83"/>
  <c r="R237" i="83"/>
  <c r="S237" i="83" s="1"/>
  <c r="O237" i="83"/>
  <c r="M237" i="83"/>
  <c r="K237" i="83"/>
  <c r="I237" i="83"/>
  <c r="G237" i="83"/>
  <c r="E237" i="83"/>
  <c r="C237" i="83"/>
  <c r="R236" i="83"/>
  <c r="S236" i="83" s="1"/>
  <c r="O236" i="83"/>
  <c r="M236" i="83"/>
  <c r="K236" i="83"/>
  <c r="I236" i="83"/>
  <c r="G236" i="83"/>
  <c r="E236" i="83"/>
  <c r="C236" i="83"/>
  <c r="R235" i="83"/>
  <c r="S235" i="83" s="1"/>
  <c r="O235" i="83"/>
  <c r="M235" i="83"/>
  <c r="K235" i="83"/>
  <c r="I235" i="83"/>
  <c r="G235" i="83"/>
  <c r="E235" i="83"/>
  <c r="C235" i="83"/>
  <c r="R234" i="83"/>
  <c r="S234" i="83" s="1"/>
  <c r="O234" i="83"/>
  <c r="M234" i="83"/>
  <c r="K234" i="83"/>
  <c r="I234" i="83"/>
  <c r="G234" i="83"/>
  <c r="E234" i="83"/>
  <c r="C234" i="83"/>
  <c r="R233" i="83"/>
  <c r="S233" i="83" s="1"/>
  <c r="O233" i="83"/>
  <c r="M233" i="83"/>
  <c r="K233" i="83"/>
  <c r="I233" i="83"/>
  <c r="G233" i="83"/>
  <c r="E233" i="83"/>
  <c r="C233" i="83"/>
  <c r="R232" i="83"/>
  <c r="S232" i="83" s="1"/>
  <c r="O232" i="83"/>
  <c r="M232" i="83"/>
  <c r="K232" i="83"/>
  <c r="I232" i="83"/>
  <c r="G232" i="83"/>
  <c r="E232" i="83"/>
  <c r="C232" i="83"/>
  <c r="R231" i="83"/>
  <c r="S231" i="83" s="1"/>
  <c r="O231" i="83"/>
  <c r="M231" i="83"/>
  <c r="K231" i="83"/>
  <c r="I231" i="83"/>
  <c r="G231" i="83"/>
  <c r="E231" i="83"/>
  <c r="C231" i="83"/>
  <c r="R230" i="83"/>
  <c r="S230" i="83" s="1"/>
  <c r="O230" i="83"/>
  <c r="M230" i="83"/>
  <c r="K230" i="83"/>
  <c r="I230" i="83"/>
  <c r="G230" i="83"/>
  <c r="E230" i="83"/>
  <c r="C230" i="83"/>
  <c r="R229" i="83"/>
  <c r="S229" i="83" s="1"/>
  <c r="O229" i="83"/>
  <c r="M229" i="83"/>
  <c r="K229" i="83"/>
  <c r="I229" i="83"/>
  <c r="G229" i="83"/>
  <c r="E229" i="83"/>
  <c r="C229" i="83"/>
  <c r="R228" i="83"/>
  <c r="S228" i="83" s="1"/>
  <c r="O228" i="83"/>
  <c r="M228" i="83"/>
  <c r="K228" i="83"/>
  <c r="I228" i="83"/>
  <c r="G228" i="83"/>
  <c r="E228" i="83"/>
  <c r="C228" i="83"/>
  <c r="R227" i="83"/>
  <c r="S227" i="83" s="1"/>
  <c r="O227" i="83"/>
  <c r="M227" i="83"/>
  <c r="K227" i="83"/>
  <c r="I227" i="83"/>
  <c r="G227" i="83"/>
  <c r="E227" i="83"/>
  <c r="C227" i="83"/>
  <c r="R226" i="83"/>
  <c r="S226" i="83" s="1"/>
  <c r="O226" i="83"/>
  <c r="M226" i="83"/>
  <c r="K226" i="83"/>
  <c r="I226" i="83"/>
  <c r="G226" i="83"/>
  <c r="E226" i="83"/>
  <c r="C226" i="83"/>
  <c r="R225" i="83"/>
  <c r="S225" i="83" s="1"/>
  <c r="O225" i="83"/>
  <c r="M225" i="83"/>
  <c r="K225" i="83"/>
  <c r="I225" i="83"/>
  <c r="G225" i="83"/>
  <c r="E225" i="83"/>
  <c r="C225" i="83"/>
  <c r="R224" i="83"/>
  <c r="S224" i="83" s="1"/>
  <c r="O224" i="83"/>
  <c r="M224" i="83"/>
  <c r="K224" i="83"/>
  <c r="I224" i="83"/>
  <c r="G224" i="83"/>
  <c r="E224" i="83"/>
  <c r="C224" i="83"/>
  <c r="R223" i="83"/>
  <c r="S223" i="83" s="1"/>
  <c r="O223" i="83"/>
  <c r="M223" i="83"/>
  <c r="K223" i="83"/>
  <c r="I223" i="83"/>
  <c r="G223" i="83"/>
  <c r="E223" i="83"/>
  <c r="C223" i="83"/>
  <c r="R222" i="83"/>
  <c r="S222" i="83" s="1"/>
  <c r="O222" i="83"/>
  <c r="M222" i="83"/>
  <c r="K222" i="83"/>
  <c r="I222" i="83"/>
  <c r="G222" i="83"/>
  <c r="E222" i="83"/>
  <c r="C222" i="83"/>
  <c r="R221" i="83"/>
  <c r="S221" i="83" s="1"/>
  <c r="O221" i="83"/>
  <c r="M221" i="83"/>
  <c r="K221" i="83"/>
  <c r="I221" i="83"/>
  <c r="G221" i="83"/>
  <c r="E221" i="83"/>
  <c r="C221" i="83"/>
  <c r="R220" i="83"/>
  <c r="S220" i="83" s="1"/>
  <c r="O220" i="83"/>
  <c r="M220" i="83"/>
  <c r="K220" i="83"/>
  <c r="I220" i="83"/>
  <c r="G220" i="83"/>
  <c r="E220" i="83"/>
  <c r="C220" i="83"/>
  <c r="R219" i="83"/>
  <c r="S219" i="83" s="1"/>
  <c r="O219" i="83"/>
  <c r="M219" i="83"/>
  <c r="K219" i="83"/>
  <c r="I219" i="83"/>
  <c r="G219" i="83"/>
  <c r="E219" i="83"/>
  <c r="C219" i="83"/>
  <c r="R218" i="83"/>
  <c r="S218" i="83" s="1"/>
  <c r="O218" i="83"/>
  <c r="M218" i="83"/>
  <c r="K218" i="83"/>
  <c r="I218" i="83"/>
  <c r="G218" i="83"/>
  <c r="E218" i="83"/>
  <c r="C218" i="83"/>
  <c r="R217" i="83"/>
  <c r="S217" i="83" s="1"/>
  <c r="O217" i="83"/>
  <c r="M217" i="83"/>
  <c r="K217" i="83"/>
  <c r="I217" i="83"/>
  <c r="G217" i="83"/>
  <c r="E217" i="83"/>
  <c r="C217" i="83"/>
  <c r="R216" i="83"/>
  <c r="S216" i="83" s="1"/>
  <c r="O216" i="83"/>
  <c r="M216" i="83"/>
  <c r="K216" i="83"/>
  <c r="I216" i="83"/>
  <c r="G216" i="83"/>
  <c r="E216" i="83"/>
  <c r="C216" i="83"/>
  <c r="R215" i="83"/>
  <c r="S215" i="83" s="1"/>
  <c r="O215" i="83"/>
  <c r="M215" i="83"/>
  <c r="K215" i="83"/>
  <c r="I215" i="83"/>
  <c r="G215" i="83"/>
  <c r="E215" i="83"/>
  <c r="C215" i="83"/>
  <c r="R214" i="83"/>
  <c r="S214" i="83" s="1"/>
  <c r="O214" i="83"/>
  <c r="M214" i="83"/>
  <c r="K214" i="83"/>
  <c r="I214" i="83"/>
  <c r="G214" i="83"/>
  <c r="E214" i="83"/>
  <c r="C214" i="83"/>
  <c r="R213" i="83"/>
  <c r="S213" i="83" s="1"/>
  <c r="O213" i="83"/>
  <c r="M213" i="83"/>
  <c r="K213" i="83"/>
  <c r="I213" i="83"/>
  <c r="G213" i="83"/>
  <c r="E213" i="83"/>
  <c r="C213" i="83"/>
  <c r="R212" i="83"/>
  <c r="S212" i="83" s="1"/>
  <c r="O212" i="83"/>
  <c r="M212" i="83"/>
  <c r="K212" i="83"/>
  <c r="I212" i="83"/>
  <c r="G212" i="83"/>
  <c r="E212" i="83"/>
  <c r="C212" i="83"/>
  <c r="R211" i="83"/>
  <c r="S211" i="83" s="1"/>
  <c r="O211" i="83"/>
  <c r="M211" i="83"/>
  <c r="K211" i="83"/>
  <c r="I211" i="83"/>
  <c r="G211" i="83"/>
  <c r="E211" i="83"/>
  <c r="C211" i="83"/>
  <c r="R210" i="83"/>
  <c r="S210" i="83" s="1"/>
  <c r="O210" i="83"/>
  <c r="M210" i="83"/>
  <c r="K210" i="83"/>
  <c r="I210" i="83"/>
  <c r="G210" i="83"/>
  <c r="E210" i="83"/>
  <c r="C210" i="83"/>
  <c r="R209" i="83"/>
  <c r="S209" i="83" s="1"/>
  <c r="O209" i="83"/>
  <c r="M209" i="83"/>
  <c r="K209" i="83"/>
  <c r="I209" i="83"/>
  <c r="G209" i="83"/>
  <c r="E209" i="83"/>
  <c r="C209" i="83"/>
  <c r="R208" i="83"/>
  <c r="S208" i="83" s="1"/>
  <c r="O208" i="83"/>
  <c r="M208" i="83"/>
  <c r="K208" i="83"/>
  <c r="I208" i="83"/>
  <c r="G208" i="83"/>
  <c r="E208" i="83"/>
  <c r="C208" i="83"/>
  <c r="R207" i="83"/>
  <c r="S207" i="83" s="1"/>
  <c r="O207" i="83"/>
  <c r="M207" i="83"/>
  <c r="K207" i="83"/>
  <c r="I207" i="83"/>
  <c r="G207" i="83"/>
  <c r="E207" i="83"/>
  <c r="C207" i="83"/>
  <c r="R206" i="83"/>
  <c r="S206" i="83" s="1"/>
  <c r="O206" i="83"/>
  <c r="M206" i="83"/>
  <c r="K206" i="83"/>
  <c r="I206" i="83"/>
  <c r="G206" i="83"/>
  <c r="E206" i="83"/>
  <c r="C206" i="83"/>
  <c r="R205" i="83"/>
  <c r="S205" i="83" s="1"/>
  <c r="O205" i="83"/>
  <c r="M205" i="83"/>
  <c r="K205" i="83"/>
  <c r="I205" i="83"/>
  <c r="G205" i="83"/>
  <c r="E205" i="83"/>
  <c r="C205" i="83"/>
  <c r="S204" i="83"/>
  <c r="R204" i="83"/>
  <c r="O204" i="83"/>
  <c r="M204" i="83"/>
  <c r="K204" i="83"/>
  <c r="I204" i="83"/>
  <c r="G204" i="83"/>
  <c r="E204" i="83"/>
  <c r="C204" i="83"/>
  <c r="R203" i="83"/>
  <c r="S203" i="83" s="1"/>
  <c r="O203" i="83"/>
  <c r="M203" i="83"/>
  <c r="K203" i="83"/>
  <c r="I203" i="83"/>
  <c r="G203" i="83"/>
  <c r="E203" i="83"/>
  <c r="C203" i="83"/>
  <c r="R202" i="83"/>
  <c r="S202" i="83" s="1"/>
  <c r="O202" i="83"/>
  <c r="M202" i="83"/>
  <c r="K202" i="83"/>
  <c r="I202" i="83"/>
  <c r="G202" i="83"/>
  <c r="E202" i="83"/>
  <c r="C202" i="83"/>
  <c r="R201" i="83"/>
  <c r="S201" i="83" s="1"/>
  <c r="O201" i="83"/>
  <c r="M201" i="83"/>
  <c r="K201" i="83"/>
  <c r="I201" i="83"/>
  <c r="G201" i="83"/>
  <c r="E201" i="83"/>
  <c r="C201" i="83"/>
  <c r="R200" i="83"/>
  <c r="S200" i="83" s="1"/>
  <c r="O200" i="83"/>
  <c r="M200" i="83"/>
  <c r="K200" i="83"/>
  <c r="I200" i="83"/>
  <c r="G200" i="83"/>
  <c r="E200" i="83"/>
  <c r="C200" i="83"/>
  <c r="R199" i="83"/>
  <c r="S199" i="83" s="1"/>
  <c r="O199" i="83"/>
  <c r="M199" i="83"/>
  <c r="K199" i="83"/>
  <c r="I199" i="83"/>
  <c r="G199" i="83"/>
  <c r="E199" i="83"/>
  <c r="C199" i="83"/>
  <c r="R198" i="83"/>
  <c r="S198" i="83" s="1"/>
  <c r="O198" i="83"/>
  <c r="M198" i="83"/>
  <c r="K198" i="83"/>
  <c r="I198" i="83"/>
  <c r="G198" i="83"/>
  <c r="E198" i="83"/>
  <c r="C198" i="83"/>
  <c r="R197" i="83"/>
  <c r="S197" i="83" s="1"/>
  <c r="O197" i="83"/>
  <c r="M197" i="83"/>
  <c r="K197" i="83"/>
  <c r="I197" i="83"/>
  <c r="G197" i="83"/>
  <c r="E197" i="83"/>
  <c r="C197" i="83"/>
  <c r="R196" i="83"/>
  <c r="S196" i="83" s="1"/>
  <c r="O196" i="83"/>
  <c r="M196" i="83"/>
  <c r="K196" i="83"/>
  <c r="I196" i="83"/>
  <c r="G196" i="83"/>
  <c r="E196" i="83"/>
  <c r="C196" i="83"/>
  <c r="R195" i="83"/>
  <c r="S195" i="83" s="1"/>
  <c r="O195" i="83"/>
  <c r="M195" i="83"/>
  <c r="K195" i="83"/>
  <c r="I195" i="83"/>
  <c r="G195" i="83"/>
  <c r="E195" i="83"/>
  <c r="C195" i="83"/>
  <c r="R194" i="83"/>
  <c r="S194" i="83" s="1"/>
  <c r="O194" i="83"/>
  <c r="M194" i="83"/>
  <c r="K194" i="83"/>
  <c r="I194" i="83"/>
  <c r="G194" i="83"/>
  <c r="E194" i="83"/>
  <c r="C194" i="83"/>
  <c r="R193" i="83"/>
  <c r="S193" i="83" s="1"/>
  <c r="O193" i="83"/>
  <c r="M193" i="83"/>
  <c r="K193" i="83"/>
  <c r="I193" i="83"/>
  <c r="G193" i="83"/>
  <c r="E193" i="83"/>
  <c r="C193" i="83"/>
  <c r="R192" i="83"/>
  <c r="S192" i="83" s="1"/>
  <c r="O192" i="83"/>
  <c r="M192" i="83"/>
  <c r="K192" i="83"/>
  <c r="I192" i="83"/>
  <c r="G192" i="83"/>
  <c r="E192" i="83"/>
  <c r="C192" i="83"/>
  <c r="R191" i="83"/>
  <c r="S191" i="83" s="1"/>
  <c r="O191" i="83"/>
  <c r="M191" i="83"/>
  <c r="K191" i="83"/>
  <c r="I191" i="83"/>
  <c r="G191" i="83"/>
  <c r="E191" i="83"/>
  <c r="C191" i="83"/>
  <c r="R190" i="83"/>
  <c r="S190" i="83" s="1"/>
  <c r="O190" i="83"/>
  <c r="M190" i="83"/>
  <c r="K190" i="83"/>
  <c r="I190" i="83"/>
  <c r="G190" i="83"/>
  <c r="E190" i="83"/>
  <c r="C190" i="83"/>
  <c r="R189" i="83"/>
  <c r="S189" i="83" s="1"/>
  <c r="O189" i="83"/>
  <c r="M189" i="83"/>
  <c r="K189" i="83"/>
  <c r="I189" i="83"/>
  <c r="G189" i="83"/>
  <c r="E189" i="83"/>
  <c r="C189" i="83"/>
  <c r="R188" i="83"/>
  <c r="S188" i="83" s="1"/>
  <c r="O188" i="83"/>
  <c r="M188" i="83"/>
  <c r="K188" i="83"/>
  <c r="I188" i="83"/>
  <c r="G188" i="83"/>
  <c r="E188" i="83"/>
  <c r="C188" i="83"/>
  <c r="R187" i="83"/>
  <c r="S187" i="83" s="1"/>
  <c r="O187" i="83"/>
  <c r="M187" i="83"/>
  <c r="K187" i="83"/>
  <c r="I187" i="83"/>
  <c r="G187" i="83"/>
  <c r="E187" i="83"/>
  <c r="C187" i="83"/>
  <c r="R186" i="83"/>
  <c r="S186" i="83" s="1"/>
  <c r="O186" i="83"/>
  <c r="M186" i="83"/>
  <c r="K186" i="83"/>
  <c r="I186" i="83"/>
  <c r="G186" i="83"/>
  <c r="E186" i="83"/>
  <c r="C186" i="83"/>
  <c r="R185" i="83"/>
  <c r="S185" i="83" s="1"/>
  <c r="O185" i="83"/>
  <c r="M185" i="83"/>
  <c r="K185" i="83"/>
  <c r="I185" i="83"/>
  <c r="G185" i="83"/>
  <c r="E185" i="83"/>
  <c r="C185" i="83"/>
  <c r="R184" i="83"/>
  <c r="S184" i="83" s="1"/>
  <c r="O184" i="83"/>
  <c r="M184" i="83"/>
  <c r="K184" i="83"/>
  <c r="I184" i="83"/>
  <c r="G184" i="83"/>
  <c r="E184" i="83"/>
  <c r="C184" i="83"/>
  <c r="R183" i="83"/>
  <c r="S183" i="83" s="1"/>
  <c r="O183" i="83"/>
  <c r="M183" i="83"/>
  <c r="K183" i="83"/>
  <c r="I183" i="83"/>
  <c r="G183" i="83"/>
  <c r="E183" i="83"/>
  <c r="C183" i="83"/>
  <c r="R182" i="83"/>
  <c r="S182" i="83" s="1"/>
  <c r="O182" i="83"/>
  <c r="M182" i="83"/>
  <c r="K182" i="83"/>
  <c r="I182" i="83"/>
  <c r="G182" i="83"/>
  <c r="E182" i="83"/>
  <c r="C182" i="83"/>
  <c r="R181" i="83"/>
  <c r="S181" i="83" s="1"/>
  <c r="O181" i="83"/>
  <c r="M181" i="83"/>
  <c r="K181" i="83"/>
  <c r="I181" i="83"/>
  <c r="G181" i="83"/>
  <c r="E181" i="83"/>
  <c r="C181" i="83"/>
  <c r="S180" i="83"/>
  <c r="R180" i="83"/>
  <c r="O180" i="83"/>
  <c r="M180" i="83"/>
  <c r="K180" i="83"/>
  <c r="I180" i="83"/>
  <c r="G180" i="83"/>
  <c r="E180" i="83"/>
  <c r="C180" i="83"/>
  <c r="R179" i="83"/>
  <c r="S179" i="83" s="1"/>
  <c r="O179" i="83"/>
  <c r="M179" i="83"/>
  <c r="K179" i="83"/>
  <c r="I179" i="83"/>
  <c r="G179" i="83"/>
  <c r="E179" i="83"/>
  <c r="C179" i="83"/>
  <c r="R178" i="83"/>
  <c r="S178" i="83" s="1"/>
  <c r="O178" i="83"/>
  <c r="M178" i="83"/>
  <c r="K178" i="83"/>
  <c r="I178" i="83"/>
  <c r="G178" i="83"/>
  <c r="E178" i="83"/>
  <c r="C178" i="83"/>
  <c r="R177" i="83"/>
  <c r="S177" i="83" s="1"/>
  <c r="O177" i="83"/>
  <c r="M177" i="83"/>
  <c r="K177" i="83"/>
  <c r="I177" i="83"/>
  <c r="G177" i="83"/>
  <c r="E177" i="83"/>
  <c r="C177" i="83"/>
  <c r="R176" i="83"/>
  <c r="S176" i="83" s="1"/>
  <c r="O176" i="83"/>
  <c r="M176" i="83"/>
  <c r="K176" i="83"/>
  <c r="I176" i="83"/>
  <c r="G176" i="83"/>
  <c r="E176" i="83"/>
  <c r="C176" i="83"/>
  <c r="R175" i="83"/>
  <c r="S175" i="83" s="1"/>
  <c r="O175" i="83"/>
  <c r="M175" i="83"/>
  <c r="K175" i="83"/>
  <c r="I175" i="83"/>
  <c r="G175" i="83"/>
  <c r="E175" i="83"/>
  <c r="C175" i="83"/>
  <c r="R174" i="83"/>
  <c r="S174" i="83" s="1"/>
  <c r="O174" i="83"/>
  <c r="M174" i="83"/>
  <c r="K174" i="83"/>
  <c r="I174" i="83"/>
  <c r="G174" i="83"/>
  <c r="E174" i="83"/>
  <c r="C174" i="83"/>
  <c r="R173" i="83"/>
  <c r="S173" i="83" s="1"/>
  <c r="O173" i="83"/>
  <c r="M173" i="83"/>
  <c r="K173" i="83"/>
  <c r="I173" i="83"/>
  <c r="G173" i="83"/>
  <c r="E173" i="83"/>
  <c r="C173" i="83"/>
  <c r="R172" i="83"/>
  <c r="S172" i="83" s="1"/>
  <c r="O172" i="83"/>
  <c r="M172" i="83"/>
  <c r="K172" i="83"/>
  <c r="I172" i="83"/>
  <c r="G172" i="83"/>
  <c r="E172" i="83"/>
  <c r="C172" i="83"/>
  <c r="R171" i="83"/>
  <c r="S171" i="83" s="1"/>
  <c r="O171" i="83"/>
  <c r="M171" i="83"/>
  <c r="K171" i="83"/>
  <c r="I171" i="83"/>
  <c r="G171" i="83"/>
  <c r="E171" i="83"/>
  <c r="C171" i="83"/>
  <c r="R170" i="83"/>
  <c r="S170" i="83" s="1"/>
  <c r="O170" i="83"/>
  <c r="M170" i="83"/>
  <c r="K170" i="83"/>
  <c r="I170" i="83"/>
  <c r="G170" i="83"/>
  <c r="E170" i="83"/>
  <c r="C170" i="83"/>
  <c r="R169" i="83"/>
  <c r="S169" i="83" s="1"/>
  <c r="O169" i="83"/>
  <c r="M169" i="83"/>
  <c r="K169" i="83"/>
  <c r="I169" i="83"/>
  <c r="G169" i="83"/>
  <c r="E169" i="83"/>
  <c r="C169" i="83"/>
  <c r="R168" i="83"/>
  <c r="S168" i="83" s="1"/>
  <c r="O168" i="83"/>
  <c r="M168" i="83"/>
  <c r="K168" i="83"/>
  <c r="I168" i="83"/>
  <c r="G168" i="83"/>
  <c r="E168" i="83"/>
  <c r="C168" i="83"/>
  <c r="R167" i="83"/>
  <c r="S167" i="83" s="1"/>
  <c r="O167" i="83"/>
  <c r="M167" i="83"/>
  <c r="K167" i="83"/>
  <c r="I167" i="83"/>
  <c r="G167" i="83"/>
  <c r="E167" i="83"/>
  <c r="C167" i="83"/>
  <c r="R166" i="83"/>
  <c r="S166" i="83" s="1"/>
  <c r="O166" i="83"/>
  <c r="M166" i="83"/>
  <c r="K166" i="83"/>
  <c r="I166" i="83"/>
  <c r="G166" i="83"/>
  <c r="E166" i="83"/>
  <c r="C166" i="83"/>
  <c r="R165" i="83"/>
  <c r="S165" i="83" s="1"/>
  <c r="O165" i="83"/>
  <c r="M165" i="83"/>
  <c r="K165" i="83"/>
  <c r="I165" i="83"/>
  <c r="G165" i="83"/>
  <c r="E165" i="83"/>
  <c r="C165" i="83"/>
  <c r="S164" i="83"/>
  <c r="R164" i="83"/>
  <c r="O164" i="83"/>
  <c r="M164" i="83"/>
  <c r="K164" i="83"/>
  <c r="I164" i="83"/>
  <c r="G164" i="83"/>
  <c r="E164" i="83"/>
  <c r="C164" i="83"/>
  <c r="R163" i="83"/>
  <c r="S163" i="83" s="1"/>
  <c r="O163" i="83"/>
  <c r="M163" i="83"/>
  <c r="K163" i="83"/>
  <c r="I163" i="83"/>
  <c r="G163" i="83"/>
  <c r="E163" i="83"/>
  <c r="C163" i="83"/>
  <c r="R162" i="83"/>
  <c r="S162" i="83" s="1"/>
  <c r="O162" i="83"/>
  <c r="M162" i="83"/>
  <c r="K162" i="83"/>
  <c r="I162" i="83"/>
  <c r="G162" i="83"/>
  <c r="E162" i="83"/>
  <c r="C162" i="83"/>
  <c r="R161" i="83"/>
  <c r="S161" i="83" s="1"/>
  <c r="O161" i="83"/>
  <c r="M161" i="83"/>
  <c r="K161" i="83"/>
  <c r="I161" i="83"/>
  <c r="G161" i="83"/>
  <c r="E161" i="83"/>
  <c r="C161" i="83"/>
  <c r="R160" i="83"/>
  <c r="S160" i="83" s="1"/>
  <c r="O160" i="83"/>
  <c r="M160" i="83"/>
  <c r="K160" i="83"/>
  <c r="I160" i="83"/>
  <c r="G160" i="83"/>
  <c r="E160" i="83"/>
  <c r="C160" i="83"/>
  <c r="R159" i="83"/>
  <c r="S159" i="83" s="1"/>
  <c r="O159" i="83"/>
  <c r="M159" i="83"/>
  <c r="K159" i="83"/>
  <c r="I159" i="83"/>
  <c r="G159" i="83"/>
  <c r="E159" i="83"/>
  <c r="C159" i="83"/>
  <c r="R158" i="83"/>
  <c r="S158" i="83" s="1"/>
  <c r="O158" i="83"/>
  <c r="M158" i="83"/>
  <c r="K158" i="83"/>
  <c r="I158" i="83"/>
  <c r="G158" i="83"/>
  <c r="E158" i="83"/>
  <c r="C158" i="83"/>
  <c r="R157" i="83"/>
  <c r="S157" i="83" s="1"/>
  <c r="O157" i="83"/>
  <c r="M157" i="83"/>
  <c r="K157" i="83"/>
  <c r="I157" i="83"/>
  <c r="G157" i="83"/>
  <c r="E157" i="83"/>
  <c r="C157" i="83"/>
  <c r="R156" i="83"/>
  <c r="S156" i="83" s="1"/>
  <c r="O156" i="83"/>
  <c r="M156" i="83"/>
  <c r="K156" i="83"/>
  <c r="I156" i="83"/>
  <c r="G156" i="83"/>
  <c r="E156" i="83"/>
  <c r="C156" i="83"/>
  <c r="R155" i="83"/>
  <c r="S155" i="83" s="1"/>
  <c r="O155" i="83"/>
  <c r="M155" i="83"/>
  <c r="K155" i="83"/>
  <c r="I155" i="83"/>
  <c r="G155" i="83"/>
  <c r="E155" i="83"/>
  <c r="C155" i="83"/>
  <c r="R154" i="83"/>
  <c r="S154" i="83" s="1"/>
  <c r="O154" i="83"/>
  <c r="M154" i="83"/>
  <c r="K154" i="83"/>
  <c r="I154" i="83"/>
  <c r="G154" i="83"/>
  <c r="E154" i="83"/>
  <c r="C154" i="83"/>
  <c r="R153" i="83"/>
  <c r="S153" i="83" s="1"/>
  <c r="O153" i="83"/>
  <c r="M153" i="83"/>
  <c r="K153" i="83"/>
  <c r="I153" i="83"/>
  <c r="G153" i="83"/>
  <c r="E153" i="83"/>
  <c r="C153" i="83"/>
  <c r="R152" i="83"/>
  <c r="S152" i="83" s="1"/>
  <c r="O152" i="83"/>
  <c r="M152" i="83"/>
  <c r="K152" i="83"/>
  <c r="I152" i="83"/>
  <c r="G152" i="83"/>
  <c r="E152" i="83"/>
  <c r="C152" i="83"/>
  <c r="R151" i="83"/>
  <c r="S151" i="83" s="1"/>
  <c r="O151" i="83"/>
  <c r="M151" i="83"/>
  <c r="K151" i="83"/>
  <c r="I151" i="83"/>
  <c r="G151" i="83"/>
  <c r="E151" i="83"/>
  <c r="C151" i="83"/>
  <c r="R150" i="83"/>
  <c r="S150" i="83" s="1"/>
  <c r="O150" i="83"/>
  <c r="M150" i="83"/>
  <c r="K150" i="83"/>
  <c r="I150" i="83"/>
  <c r="G150" i="83"/>
  <c r="E150" i="83"/>
  <c r="C150" i="83"/>
  <c r="R149" i="83"/>
  <c r="S149" i="83" s="1"/>
  <c r="O149" i="83"/>
  <c r="M149" i="83"/>
  <c r="K149" i="83"/>
  <c r="I149" i="83"/>
  <c r="G149" i="83"/>
  <c r="E149" i="83"/>
  <c r="C149" i="83"/>
  <c r="R148" i="83"/>
  <c r="S148" i="83" s="1"/>
  <c r="O148" i="83"/>
  <c r="M148" i="83"/>
  <c r="K148" i="83"/>
  <c r="I148" i="83"/>
  <c r="G148" i="83"/>
  <c r="E148" i="83"/>
  <c r="C148" i="83"/>
  <c r="R147" i="83"/>
  <c r="S147" i="83" s="1"/>
  <c r="O147" i="83"/>
  <c r="M147" i="83"/>
  <c r="K147" i="83"/>
  <c r="I147" i="83"/>
  <c r="G147" i="83"/>
  <c r="E147" i="83"/>
  <c r="C147" i="83"/>
  <c r="R146" i="83"/>
  <c r="S146" i="83" s="1"/>
  <c r="O146" i="83"/>
  <c r="M146" i="83"/>
  <c r="K146" i="83"/>
  <c r="I146" i="83"/>
  <c r="G146" i="83"/>
  <c r="E146" i="83"/>
  <c r="C146" i="83"/>
  <c r="R145" i="83"/>
  <c r="S145" i="83" s="1"/>
  <c r="O145" i="83"/>
  <c r="M145" i="83"/>
  <c r="K145" i="83"/>
  <c r="I145" i="83"/>
  <c r="G145" i="83"/>
  <c r="E145" i="83"/>
  <c r="C145" i="83"/>
  <c r="R144" i="83"/>
  <c r="S144" i="83" s="1"/>
  <c r="O144" i="83"/>
  <c r="M144" i="83"/>
  <c r="K144" i="83"/>
  <c r="I144" i="83"/>
  <c r="G144" i="83"/>
  <c r="E144" i="83"/>
  <c r="C144" i="83"/>
  <c r="R143" i="83"/>
  <c r="S143" i="83" s="1"/>
  <c r="O143" i="83"/>
  <c r="M143" i="83"/>
  <c r="K143" i="83"/>
  <c r="I143" i="83"/>
  <c r="G143" i="83"/>
  <c r="E143" i="83"/>
  <c r="C143" i="83"/>
  <c r="R142" i="83"/>
  <c r="S142" i="83" s="1"/>
  <c r="O142" i="83"/>
  <c r="M142" i="83"/>
  <c r="K142" i="83"/>
  <c r="I142" i="83"/>
  <c r="G142" i="83"/>
  <c r="E142" i="83"/>
  <c r="C142" i="83"/>
  <c r="R141" i="83"/>
  <c r="S141" i="83" s="1"/>
  <c r="O141" i="83"/>
  <c r="M141" i="83"/>
  <c r="K141" i="83"/>
  <c r="I141" i="83"/>
  <c r="G141" i="83"/>
  <c r="E141" i="83"/>
  <c r="C141" i="83"/>
  <c r="R140" i="83"/>
  <c r="S140" i="83" s="1"/>
  <c r="O140" i="83"/>
  <c r="M140" i="83"/>
  <c r="K140" i="83"/>
  <c r="I140" i="83"/>
  <c r="G140" i="83"/>
  <c r="E140" i="83"/>
  <c r="C140" i="83"/>
  <c r="R139" i="83"/>
  <c r="S139" i="83" s="1"/>
  <c r="O139" i="83"/>
  <c r="M139" i="83"/>
  <c r="K139" i="83"/>
  <c r="I139" i="83"/>
  <c r="G139" i="83"/>
  <c r="E139" i="83"/>
  <c r="C139" i="83"/>
  <c r="R138" i="83"/>
  <c r="S138" i="83" s="1"/>
  <c r="O138" i="83"/>
  <c r="M138" i="83"/>
  <c r="K138" i="83"/>
  <c r="I138" i="83"/>
  <c r="G138" i="83"/>
  <c r="E138" i="83"/>
  <c r="C138" i="83"/>
  <c r="R137" i="83"/>
  <c r="S137" i="83" s="1"/>
  <c r="O137" i="83"/>
  <c r="M137" i="83"/>
  <c r="K137" i="83"/>
  <c r="I137" i="83"/>
  <c r="G137" i="83"/>
  <c r="E137" i="83"/>
  <c r="C137" i="83"/>
  <c r="R136" i="83"/>
  <c r="S136" i="83" s="1"/>
  <c r="O136" i="83"/>
  <c r="M136" i="83"/>
  <c r="K136" i="83"/>
  <c r="I136" i="83"/>
  <c r="G136" i="83"/>
  <c r="E136" i="83"/>
  <c r="C136" i="83"/>
  <c r="R135" i="83"/>
  <c r="S135" i="83" s="1"/>
  <c r="O135" i="83"/>
  <c r="M135" i="83"/>
  <c r="K135" i="83"/>
  <c r="I135" i="83"/>
  <c r="G135" i="83"/>
  <c r="E135" i="83"/>
  <c r="C135" i="83"/>
  <c r="R134" i="83"/>
  <c r="S134" i="83" s="1"/>
  <c r="O134" i="83"/>
  <c r="M134" i="83"/>
  <c r="K134" i="83"/>
  <c r="I134" i="83"/>
  <c r="G134" i="83"/>
  <c r="E134" i="83"/>
  <c r="C134" i="83"/>
  <c r="R133" i="83"/>
  <c r="S133" i="83" s="1"/>
  <c r="O133" i="83"/>
  <c r="M133" i="83"/>
  <c r="K133" i="83"/>
  <c r="I133" i="83"/>
  <c r="G133" i="83"/>
  <c r="E133" i="83"/>
  <c r="C133" i="83"/>
  <c r="R132" i="83"/>
  <c r="S132" i="83" s="1"/>
  <c r="O132" i="83"/>
  <c r="M132" i="83"/>
  <c r="K132" i="83"/>
  <c r="I132" i="83"/>
  <c r="G132" i="83"/>
  <c r="E132" i="83"/>
  <c r="C132" i="83"/>
  <c r="R131" i="83"/>
  <c r="S131" i="83" s="1"/>
  <c r="O131" i="83"/>
  <c r="M131" i="83"/>
  <c r="K131" i="83"/>
  <c r="I131" i="83"/>
  <c r="G131" i="83"/>
  <c r="E131" i="83"/>
  <c r="C131" i="83"/>
  <c r="R130" i="83"/>
  <c r="S130" i="83" s="1"/>
  <c r="O130" i="83"/>
  <c r="M130" i="83"/>
  <c r="K130" i="83"/>
  <c r="I130" i="83"/>
  <c r="G130" i="83"/>
  <c r="E130" i="83"/>
  <c r="C130" i="83"/>
  <c r="S129" i="83"/>
  <c r="R129" i="83"/>
  <c r="O129" i="83"/>
  <c r="M129" i="83"/>
  <c r="K129" i="83"/>
  <c r="I129" i="83"/>
  <c r="G129" i="83"/>
  <c r="E129" i="83"/>
  <c r="C129" i="83"/>
  <c r="R128" i="83"/>
  <c r="S128" i="83" s="1"/>
  <c r="O128" i="83"/>
  <c r="M128" i="83"/>
  <c r="K128" i="83"/>
  <c r="I128" i="83"/>
  <c r="G128" i="83"/>
  <c r="E128" i="83"/>
  <c r="C128" i="83"/>
  <c r="R127" i="83"/>
  <c r="S127" i="83" s="1"/>
  <c r="O127" i="83"/>
  <c r="M127" i="83"/>
  <c r="K127" i="83"/>
  <c r="I127" i="83"/>
  <c r="G127" i="83"/>
  <c r="E127" i="83"/>
  <c r="C127" i="83"/>
  <c r="R126" i="83"/>
  <c r="S126" i="83" s="1"/>
  <c r="O126" i="83"/>
  <c r="M126" i="83"/>
  <c r="K126" i="83"/>
  <c r="I126" i="83"/>
  <c r="G126" i="83"/>
  <c r="E126" i="83"/>
  <c r="C126" i="83"/>
  <c r="R125" i="83"/>
  <c r="S125" i="83" s="1"/>
  <c r="O125" i="83"/>
  <c r="M125" i="83"/>
  <c r="K125" i="83"/>
  <c r="I125" i="83"/>
  <c r="G125" i="83"/>
  <c r="E125" i="83"/>
  <c r="C125" i="83"/>
  <c r="R124" i="83"/>
  <c r="S124" i="83" s="1"/>
  <c r="O124" i="83"/>
  <c r="M124" i="83"/>
  <c r="K124" i="83"/>
  <c r="I124" i="83"/>
  <c r="G124" i="83"/>
  <c r="E124" i="83"/>
  <c r="C124" i="83"/>
  <c r="R123" i="83"/>
  <c r="S123" i="83" s="1"/>
  <c r="O123" i="83"/>
  <c r="M123" i="83"/>
  <c r="K123" i="83"/>
  <c r="I123" i="83"/>
  <c r="G123" i="83"/>
  <c r="E123" i="83"/>
  <c r="C123" i="83"/>
  <c r="R122" i="83"/>
  <c r="S122" i="83" s="1"/>
  <c r="O122" i="83"/>
  <c r="M122" i="83"/>
  <c r="K122" i="83"/>
  <c r="I122" i="83"/>
  <c r="G122" i="83"/>
  <c r="E122" i="83"/>
  <c r="C122" i="83"/>
  <c r="R121" i="83"/>
  <c r="S121" i="83" s="1"/>
  <c r="O121" i="83"/>
  <c r="M121" i="83"/>
  <c r="K121" i="83"/>
  <c r="I121" i="83"/>
  <c r="G121" i="83"/>
  <c r="E121" i="83"/>
  <c r="C121" i="83"/>
  <c r="R120" i="83"/>
  <c r="S120" i="83" s="1"/>
  <c r="O120" i="83"/>
  <c r="M120" i="83"/>
  <c r="K120" i="83"/>
  <c r="I120" i="83"/>
  <c r="G120" i="83"/>
  <c r="E120" i="83"/>
  <c r="C120" i="83"/>
  <c r="R119" i="83"/>
  <c r="S119" i="83" s="1"/>
  <c r="O119" i="83"/>
  <c r="M119" i="83"/>
  <c r="K119" i="83"/>
  <c r="I119" i="83"/>
  <c r="G119" i="83"/>
  <c r="E119" i="83"/>
  <c r="C119" i="83"/>
  <c r="R118" i="83"/>
  <c r="S118" i="83" s="1"/>
  <c r="O118" i="83"/>
  <c r="M118" i="83"/>
  <c r="K118" i="83"/>
  <c r="I118" i="83"/>
  <c r="G118" i="83"/>
  <c r="E118" i="83"/>
  <c r="C118" i="83"/>
  <c r="S117" i="83"/>
  <c r="R117" i="83"/>
  <c r="O117" i="83"/>
  <c r="M117" i="83"/>
  <c r="K117" i="83"/>
  <c r="I117" i="83"/>
  <c r="G117" i="83"/>
  <c r="E117" i="83"/>
  <c r="C117" i="83"/>
  <c r="R116" i="83"/>
  <c r="S116" i="83" s="1"/>
  <c r="O116" i="83"/>
  <c r="M116" i="83"/>
  <c r="K116" i="83"/>
  <c r="I116" i="83"/>
  <c r="G116" i="83"/>
  <c r="E116" i="83"/>
  <c r="C116" i="83"/>
  <c r="R115" i="83"/>
  <c r="S115" i="83" s="1"/>
  <c r="O115" i="83"/>
  <c r="M115" i="83"/>
  <c r="K115" i="83"/>
  <c r="I115" i="83"/>
  <c r="G115" i="83"/>
  <c r="E115" i="83"/>
  <c r="C115" i="83"/>
  <c r="R114" i="83"/>
  <c r="S114" i="83" s="1"/>
  <c r="O114" i="83"/>
  <c r="M114" i="83"/>
  <c r="K114" i="83"/>
  <c r="I114" i="83"/>
  <c r="G114" i="83"/>
  <c r="E114" i="83"/>
  <c r="C114" i="83"/>
  <c r="R113" i="83"/>
  <c r="S113" i="83" s="1"/>
  <c r="O113" i="83"/>
  <c r="M113" i="83"/>
  <c r="K113" i="83"/>
  <c r="I113" i="83"/>
  <c r="G113" i="83"/>
  <c r="E113" i="83"/>
  <c r="C113" i="83"/>
  <c r="R112" i="83"/>
  <c r="S112" i="83" s="1"/>
  <c r="O112" i="83"/>
  <c r="M112" i="83"/>
  <c r="K112" i="83"/>
  <c r="I112" i="83"/>
  <c r="G112" i="83"/>
  <c r="E112" i="83"/>
  <c r="C112" i="83"/>
  <c r="R111" i="83"/>
  <c r="S111" i="83" s="1"/>
  <c r="O111" i="83"/>
  <c r="M111" i="83"/>
  <c r="K111" i="83"/>
  <c r="I111" i="83"/>
  <c r="G111" i="83"/>
  <c r="E111" i="83"/>
  <c r="C111" i="83"/>
  <c r="R110" i="83"/>
  <c r="S110" i="83" s="1"/>
  <c r="O110" i="83"/>
  <c r="M110" i="83"/>
  <c r="K110" i="83"/>
  <c r="I110" i="83"/>
  <c r="G110" i="83"/>
  <c r="E110" i="83"/>
  <c r="C110" i="83"/>
  <c r="R109" i="83"/>
  <c r="S109" i="83" s="1"/>
  <c r="O109" i="83"/>
  <c r="M109" i="83"/>
  <c r="K109" i="83"/>
  <c r="I109" i="83"/>
  <c r="G109" i="83"/>
  <c r="E109" i="83"/>
  <c r="C109" i="83"/>
  <c r="R108" i="83"/>
  <c r="S108" i="83" s="1"/>
  <c r="O108" i="83"/>
  <c r="M108" i="83"/>
  <c r="K108" i="83"/>
  <c r="I108" i="83"/>
  <c r="G108" i="83"/>
  <c r="E108" i="83"/>
  <c r="C108" i="83"/>
  <c r="R107" i="83"/>
  <c r="S107" i="83" s="1"/>
  <c r="O107" i="83"/>
  <c r="M107" i="83"/>
  <c r="K107" i="83"/>
  <c r="I107" i="83"/>
  <c r="G107" i="83"/>
  <c r="E107" i="83"/>
  <c r="C107" i="83"/>
  <c r="R106" i="83"/>
  <c r="S106" i="83" s="1"/>
  <c r="O106" i="83"/>
  <c r="M106" i="83"/>
  <c r="K106" i="83"/>
  <c r="I106" i="83"/>
  <c r="G106" i="83"/>
  <c r="E106" i="83"/>
  <c r="C106" i="83"/>
  <c r="R105" i="83"/>
  <c r="S105" i="83" s="1"/>
  <c r="O105" i="83"/>
  <c r="M105" i="83"/>
  <c r="K105" i="83"/>
  <c r="I105" i="83"/>
  <c r="G105" i="83"/>
  <c r="E105" i="83"/>
  <c r="C105" i="83"/>
  <c r="R104" i="83"/>
  <c r="S104" i="83" s="1"/>
  <c r="O104" i="83"/>
  <c r="M104" i="83"/>
  <c r="K104" i="83"/>
  <c r="I104" i="83"/>
  <c r="G104" i="83"/>
  <c r="E104" i="83"/>
  <c r="C104" i="83"/>
  <c r="R103" i="83"/>
  <c r="S103" i="83" s="1"/>
  <c r="O103" i="83"/>
  <c r="M103" i="83"/>
  <c r="K103" i="83"/>
  <c r="I103" i="83"/>
  <c r="G103" i="83"/>
  <c r="E103" i="83"/>
  <c r="C103" i="83"/>
  <c r="R102" i="83"/>
  <c r="S102" i="83" s="1"/>
  <c r="O102" i="83"/>
  <c r="M102" i="83"/>
  <c r="K102" i="83"/>
  <c r="I102" i="83"/>
  <c r="G102" i="83"/>
  <c r="E102" i="83"/>
  <c r="C102" i="83"/>
  <c r="R101" i="83"/>
  <c r="S101" i="83" s="1"/>
  <c r="O101" i="83"/>
  <c r="M101" i="83"/>
  <c r="K101" i="83"/>
  <c r="I101" i="83"/>
  <c r="G101" i="83"/>
  <c r="E101" i="83"/>
  <c r="C101" i="83"/>
  <c r="R100" i="83"/>
  <c r="S100" i="83" s="1"/>
  <c r="O100" i="83"/>
  <c r="M100" i="83"/>
  <c r="K100" i="83"/>
  <c r="I100" i="83"/>
  <c r="G100" i="83"/>
  <c r="E100" i="83"/>
  <c r="C100" i="83"/>
  <c r="R99" i="83"/>
  <c r="S99" i="83" s="1"/>
  <c r="O99" i="83"/>
  <c r="M99" i="83"/>
  <c r="K99" i="83"/>
  <c r="I99" i="83"/>
  <c r="G99" i="83"/>
  <c r="E99" i="83"/>
  <c r="C99" i="83"/>
  <c r="R98" i="83"/>
  <c r="S98" i="83" s="1"/>
  <c r="O98" i="83"/>
  <c r="M98" i="83"/>
  <c r="K98" i="83"/>
  <c r="I98" i="83"/>
  <c r="G98" i="83"/>
  <c r="E98" i="83"/>
  <c r="C98" i="83"/>
  <c r="R97" i="83"/>
  <c r="S97" i="83" s="1"/>
  <c r="O97" i="83"/>
  <c r="M97" i="83"/>
  <c r="K97" i="83"/>
  <c r="I97" i="83"/>
  <c r="G97" i="83"/>
  <c r="E97" i="83"/>
  <c r="C97" i="83"/>
  <c r="R96" i="83"/>
  <c r="S96" i="83" s="1"/>
  <c r="O96" i="83"/>
  <c r="M96" i="83"/>
  <c r="K96" i="83"/>
  <c r="I96" i="83"/>
  <c r="G96" i="83"/>
  <c r="E96" i="83"/>
  <c r="C96" i="83"/>
  <c r="R95" i="83"/>
  <c r="S95" i="83" s="1"/>
  <c r="O95" i="83"/>
  <c r="M95" i="83"/>
  <c r="K95" i="83"/>
  <c r="I95" i="83"/>
  <c r="G95" i="83"/>
  <c r="E95" i="83"/>
  <c r="C95" i="83"/>
  <c r="R94" i="83"/>
  <c r="S94" i="83" s="1"/>
  <c r="O94" i="83"/>
  <c r="M94" i="83"/>
  <c r="K94" i="83"/>
  <c r="I94" i="83"/>
  <c r="G94" i="83"/>
  <c r="E94" i="83"/>
  <c r="C94" i="83"/>
  <c r="R93" i="83"/>
  <c r="S93" i="83" s="1"/>
  <c r="O93" i="83"/>
  <c r="M93" i="83"/>
  <c r="K93" i="83"/>
  <c r="I93" i="83"/>
  <c r="G93" i="83"/>
  <c r="E93" i="83"/>
  <c r="C93" i="83"/>
  <c r="R92" i="83"/>
  <c r="S92" i="83" s="1"/>
  <c r="O92" i="83"/>
  <c r="M92" i="83"/>
  <c r="K92" i="83"/>
  <c r="I92" i="83"/>
  <c r="G92" i="83"/>
  <c r="E92" i="83"/>
  <c r="C92" i="83"/>
  <c r="R91" i="83"/>
  <c r="S91" i="83" s="1"/>
  <c r="O91" i="83"/>
  <c r="M91" i="83"/>
  <c r="K91" i="83"/>
  <c r="I91" i="83"/>
  <c r="G91" i="83"/>
  <c r="E91" i="83"/>
  <c r="C91" i="83"/>
  <c r="R90" i="83"/>
  <c r="S90" i="83" s="1"/>
  <c r="O90" i="83"/>
  <c r="M90" i="83"/>
  <c r="K90" i="83"/>
  <c r="I90" i="83"/>
  <c r="G90" i="83"/>
  <c r="E90" i="83"/>
  <c r="C90" i="83"/>
  <c r="R89" i="83"/>
  <c r="S89" i="83" s="1"/>
  <c r="O89" i="83"/>
  <c r="M89" i="83"/>
  <c r="K89" i="83"/>
  <c r="I89" i="83"/>
  <c r="G89" i="83"/>
  <c r="E89" i="83"/>
  <c r="C89" i="83"/>
  <c r="R88" i="83"/>
  <c r="S88" i="83" s="1"/>
  <c r="O88" i="83"/>
  <c r="M88" i="83"/>
  <c r="K88" i="83"/>
  <c r="I88" i="83"/>
  <c r="G88" i="83"/>
  <c r="E88" i="83"/>
  <c r="C88" i="83"/>
  <c r="R87" i="83"/>
  <c r="S87" i="83" s="1"/>
  <c r="O87" i="83"/>
  <c r="M87" i="83"/>
  <c r="K87" i="83"/>
  <c r="I87" i="83"/>
  <c r="G87" i="83"/>
  <c r="E87" i="83"/>
  <c r="C87" i="83"/>
  <c r="R86" i="83"/>
  <c r="S86" i="83" s="1"/>
  <c r="O86" i="83"/>
  <c r="M86" i="83"/>
  <c r="K86" i="83"/>
  <c r="I86" i="83"/>
  <c r="G86" i="83"/>
  <c r="E86" i="83"/>
  <c r="C86" i="83"/>
  <c r="S85" i="83"/>
  <c r="R85" i="83"/>
  <c r="O85" i="83"/>
  <c r="M85" i="83"/>
  <c r="K85" i="83"/>
  <c r="I85" i="83"/>
  <c r="G85" i="83"/>
  <c r="E85" i="83"/>
  <c r="C85" i="83"/>
  <c r="R84" i="83"/>
  <c r="S84" i="83" s="1"/>
  <c r="O84" i="83"/>
  <c r="M84" i="83"/>
  <c r="K84" i="83"/>
  <c r="I84" i="83"/>
  <c r="G84" i="83"/>
  <c r="E84" i="83"/>
  <c r="C84" i="83"/>
  <c r="R83" i="83"/>
  <c r="S83" i="83" s="1"/>
  <c r="O83" i="83"/>
  <c r="M83" i="83"/>
  <c r="K83" i="83"/>
  <c r="I83" i="83"/>
  <c r="G83" i="83"/>
  <c r="E83" i="83"/>
  <c r="C83" i="83"/>
  <c r="R82" i="83"/>
  <c r="S82" i="83" s="1"/>
  <c r="O82" i="83"/>
  <c r="M82" i="83"/>
  <c r="K82" i="83"/>
  <c r="I82" i="83"/>
  <c r="G82" i="83"/>
  <c r="E82" i="83"/>
  <c r="C82" i="83"/>
  <c r="R81" i="83"/>
  <c r="S81" i="83" s="1"/>
  <c r="O81" i="83"/>
  <c r="M81" i="83"/>
  <c r="K81" i="83"/>
  <c r="I81" i="83"/>
  <c r="G81" i="83"/>
  <c r="E81" i="83"/>
  <c r="C81" i="83"/>
  <c r="R80" i="83"/>
  <c r="S80" i="83" s="1"/>
  <c r="O80" i="83"/>
  <c r="M80" i="83"/>
  <c r="K80" i="83"/>
  <c r="I80" i="83"/>
  <c r="G80" i="83"/>
  <c r="E80" i="83"/>
  <c r="C80" i="83"/>
  <c r="R79" i="83"/>
  <c r="S79" i="83" s="1"/>
  <c r="O79" i="83"/>
  <c r="M79" i="83"/>
  <c r="K79" i="83"/>
  <c r="I79" i="83"/>
  <c r="G79" i="83"/>
  <c r="E79" i="83"/>
  <c r="C79" i="83"/>
  <c r="R78" i="83"/>
  <c r="S78" i="83" s="1"/>
  <c r="O78" i="83"/>
  <c r="M78" i="83"/>
  <c r="K78" i="83"/>
  <c r="I78" i="83"/>
  <c r="G78" i="83"/>
  <c r="E78" i="83"/>
  <c r="C78" i="83"/>
  <c r="R77" i="83"/>
  <c r="S77" i="83" s="1"/>
  <c r="O77" i="83"/>
  <c r="M77" i="83"/>
  <c r="K77" i="83"/>
  <c r="I77" i="83"/>
  <c r="G77" i="83"/>
  <c r="E77" i="83"/>
  <c r="C77" i="83"/>
  <c r="R76" i="83"/>
  <c r="S76" i="83" s="1"/>
  <c r="O76" i="83"/>
  <c r="M76" i="83"/>
  <c r="K76" i="83"/>
  <c r="I76" i="83"/>
  <c r="G76" i="83"/>
  <c r="E76" i="83"/>
  <c r="C76" i="83"/>
  <c r="R75" i="83"/>
  <c r="S75" i="83" s="1"/>
  <c r="O75" i="83"/>
  <c r="M75" i="83"/>
  <c r="K75" i="83"/>
  <c r="I75" i="83"/>
  <c r="G75" i="83"/>
  <c r="E75" i="83"/>
  <c r="C75" i="83"/>
  <c r="R74" i="83"/>
  <c r="S74" i="83" s="1"/>
  <c r="O74" i="83"/>
  <c r="M74" i="83"/>
  <c r="K74" i="83"/>
  <c r="I74" i="83"/>
  <c r="G74" i="83"/>
  <c r="E74" i="83"/>
  <c r="C74" i="83"/>
  <c r="R73" i="83"/>
  <c r="S73" i="83" s="1"/>
  <c r="O73" i="83"/>
  <c r="M73" i="83"/>
  <c r="K73" i="83"/>
  <c r="I73" i="83"/>
  <c r="G73" i="83"/>
  <c r="E73" i="83"/>
  <c r="C73" i="83"/>
  <c r="R72" i="83"/>
  <c r="S72" i="83" s="1"/>
  <c r="O72" i="83"/>
  <c r="M72" i="83"/>
  <c r="K72" i="83"/>
  <c r="I72" i="83"/>
  <c r="G72" i="83"/>
  <c r="E72" i="83"/>
  <c r="C72" i="83"/>
  <c r="R71" i="83"/>
  <c r="S71" i="83" s="1"/>
  <c r="O71" i="83"/>
  <c r="M71" i="83"/>
  <c r="K71" i="83"/>
  <c r="I71" i="83"/>
  <c r="G71" i="83"/>
  <c r="E71" i="83"/>
  <c r="C71" i="83"/>
  <c r="R70" i="83"/>
  <c r="S70" i="83" s="1"/>
  <c r="O70" i="83"/>
  <c r="M70" i="83"/>
  <c r="K70" i="83"/>
  <c r="I70" i="83"/>
  <c r="G70" i="83"/>
  <c r="E70" i="83"/>
  <c r="C70" i="83"/>
  <c r="R69" i="83"/>
  <c r="S69" i="83" s="1"/>
  <c r="O69" i="83"/>
  <c r="M69" i="83"/>
  <c r="K69" i="83"/>
  <c r="I69" i="83"/>
  <c r="G69" i="83"/>
  <c r="E69" i="83"/>
  <c r="C69" i="83"/>
  <c r="R68" i="83"/>
  <c r="S68" i="83" s="1"/>
  <c r="O68" i="83"/>
  <c r="M68" i="83"/>
  <c r="K68" i="83"/>
  <c r="I68" i="83"/>
  <c r="G68" i="83"/>
  <c r="E68" i="83"/>
  <c r="C68" i="83"/>
  <c r="R67" i="83"/>
  <c r="S67" i="83" s="1"/>
  <c r="O67" i="83"/>
  <c r="M67" i="83"/>
  <c r="K67" i="83"/>
  <c r="I67" i="83"/>
  <c r="G67" i="83"/>
  <c r="E67" i="83"/>
  <c r="C67" i="83"/>
  <c r="R66" i="83"/>
  <c r="S66" i="83" s="1"/>
  <c r="O66" i="83"/>
  <c r="M66" i="83"/>
  <c r="K66" i="83"/>
  <c r="I66" i="83"/>
  <c r="G66" i="83"/>
  <c r="E66" i="83"/>
  <c r="C66" i="83"/>
  <c r="R65" i="83"/>
  <c r="S65" i="83" s="1"/>
  <c r="O65" i="83"/>
  <c r="M65" i="83"/>
  <c r="K65" i="83"/>
  <c r="I65" i="83"/>
  <c r="G65" i="83"/>
  <c r="E65" i="83"/>
  <c r="C65" i="83"/>
  <c r="R64" i="83"/>
  <c r="S64" i="83" s="1"/>
  <c r="O64" i="83"/>
  <c r="M64" i="83"/>
  <c r="K64" i="83"/>
  <c r="I64" i="83"/>
  <c r="G64" i="83"/>
  <c r="E64" i="83"/>
  <c r="C64" i="83"/>
  <c r="R63" i="83"/>
  <c r="S63" i="83" s="1"/>
  <c r="O63" i="83"/>
  <c r="M63" i="83"/>
  <c r="K63" i="83"/>
  <c r="I63" i="83"/>
  <c r="G63" i="83"/>
  <c r="E63" i="83"/>
  <c r="C63" i="83"/>
  <c r="R62" i="83"/>
  <c r="S62" i="83" s="1"/>
  <c r="O62" i="83"/>
  <c r="M62" i="83"/>
  <c r="K62" i="83"/>
  <c r="I62" i="83"/>
  <c r="G62" i="83"/>
  <c r="E62" i="83"/>
  <c r="C62" i="83"/>
  <c r="R61" i="83"/>
  <c r="S61" i="83" s="1"/>
  <c r="O61" i="83"/>
  <c r="M61" i="83"/>
  <c r="K61" i="83"/>
  <c r="I61" i="83"/>
  <c r="G61" i="83"/>
  <c r="E61" i="83"/>
  <c r="C61" i="83"/>
  <c r="R60" i="83"/>
  <c r="S60" i="83" s="1"/>
  <c r="O60" i="83"/>
  <c r="M60" i="83"/>
  <c r="K60" i="83"/>
  <c r="I60" i="83"/>
  <c r="G60" i="83"/>
  <c r="E60" i="83"/>
  <c r="C60" i="83"/>
  <c r="R59" i="83"/>
  <c r="S59" i="83" s="1"/>
  <c r="O59" i="83"/>
  <c r="M59" i="83"/>
  <c r="K59" i="83"/>
  <c r="I59" i="83"/>
  <c r="G59" i="83"/>
  <c r="E59" i="83"/>
  <c r="C59" i="83"/>
  <c r="R58" i="83"/>
  <c r="S58" i="83" s="1"/>
  <c r="O58" i="83"/>
  <c r="M58" i="83"/>
  <c r="K58" i="83"/>
  <c r="I58" i="83"/>
  <c r="G58" i="83"/>
  <c r="E58" i="83"/>
  <c r="C58" i="83"/>
  <c r="R57" i="83"/>
  <c r="S57" i="83" s="1"/>
  <c r="O57" i="83"/>
  <c r="M57" i="83"/>
  <c r="K57" i="83"/>
  <c r="I57" i="83"/>
  <c r="G57" i="83"/>
  <c r="E57" i="83"/>
  <c r="C57" i="83"/>
  <c r="R56" i="83"/>
  <c r="S56" i="83" s="1"/>
  <c r="O56" i="83"/>
  <c r="M56" i="83"/>
  <c r="K56" i="83"/>
  <c r="I56" i="83"/>
  <c r="G56" i="83"/>
  <c r="E56" i="83"/>
  <c r="C56" i="83"/>
  <c r="R55" i="83"/>
  <c r="S55" i="83" s="1"/>
  <c r="O55" i="83"/>
  <c r="M55" i="83"/>
  <c r="K55" i="83"/>
  <c r="I55" i="83"/>
  <c r="G55" i="83"/>
  <c r="E55" i="83"/>
  <c r="C55" i="83"/>
  <c r="R54" i="83"/>
  <c r="S54" i="83" s="1"/>
  <c r="O54" i="83"/>
  <c r="M54" i="83"/>
  <c r="K54" i="83"/>
  <c r="I54" i="83"/>
  <c r="G54" i="83"/>
  <c r="E54" i="83"/>
  <c r="C54" i="83"/>
  <c r="S53" i="83"/>
  <c r="R53" i="83"/>
  <c r="O53" i="83"/>
  <c r="M53" i="83"/>
  <c r="K53" i="83"/>
  <c r="I53" i="83"/>
  <c r="G53" i="83"/>
  <c r="E53" i="83"/>
  <c r="C53" i="83"/>
  <c r="R52" i="83"/>
  <c r="S52" i="83" s="1"/>
  <c r="O52" i="83"/>
  <c r="M52" i="83"/>
  <c r="K52" i="83"/>
  <c r="I52" i="83"/>
  <c r="G52" i="83"/>
  <c r="E52" i="83"/>
  <c r="C52" i="83"/>
  <c r="R51" i="83"/>
  <c r="S51" i="83" s="1"/>
  <c r="O51" i="83"/>
  <c r="M51" i="83"/>
  <c r="K51" i="83"/>
  <c r="I51" i="83"/>
  <c r="G51" i="83"/>
  <c r="E51" i="83"/>
  <c r="C51" i="83"/>
  <c r="R50" i="83"/>
  <c r="S50" i="83" s="1"/>
  <c r="O50" i="83"/>
  <c r="M50" i="83"/>
  <c r="K50" i="83"/>
  <c r="I50" i="83"/>
  <c r="G50" i="83"/>
  <c r="E50" i="83"/>
  <c r="C50" i="83"/>
  <c r="R49" i="83"/>
  <c r="S49" i="83" s="1"/>
  <c r="Q49" i="83"/>
  <c r="O49" i="83"/>
  <c r="M49" i="83"/>
  <c r="K49" i="83"/>
  <c r="I49" i="83"/>
  <c r="G49" i="83"/>
  <c r="E49" i="83"/>
  <c r="C49" i="83"/>
  <c r="R48" i="83"/>
  <c r="S48" i="83" s="1"/>
  <c r="O48" i="83"/>
  <c r="M48" i="83"/>
  <c r="K48" i="83"/>
  <c r="I48" i="83"/>
  <c r="G48" i="83"/>
  <c r="E48" i="83"/>
  <c r="C48" i="83"/>
  <c r="R47" i="83"/>
  <c r="S47" i="83" s="1"/>
  <c r="Q47" i="83"/>
  <c r="O47" i="83"/>
  <c r="M47" i="83"/>
  <c r="K47" i="83"/>
  <c r="I47" i="83"/>
  <c r="G47" i="83"/>
  <c r="E47" i="83"/>
  <c r="C47" i="83"/>
  <c r="R46" i="83"/>
  <c r="S46" i="83" s="1"/>
  <c r="O46" i="83"/>
  <c r="M46" i="83"/>
  <c r="K46" i="83"/>
  <c r="I46" i="83"/>
  <c r="G46" i="83"/>
  <c r="E46" i="83"/>
  <c r="C46" i="83"/>
  <c r="R45" i="83"/>
  <c r="S45" i="83" s="1"/>
  <c r="Q45" i="83"/>
  <c r="O45" i="83"/>
  <c r="M45" i="83"/>
  <c r="K45" i="83"/>
  <c r="I45" i="83"/>
  <c r="G45" i="83"/>
  <c r="E45" i="83"/>
  <c r="C45" i="83"/>
  <c r="R44" i="83"/>
  <c r="S44" i="83" s="1"/>
  <c r="O44" i="83"/>
  <c r="M44" i="83"/>
  <c r="K44" i="83"/>
  <c r="I44" i="83"/>
  <c r="G44" i="83"/>
  <c r="E44" i="83"/>
  <c r="C44" i="83"/>
  <c r="R43" i="83"/>
  <c r="S43" i="83" s="1"/>
  <c r="Q43" i="83"/>
  <c r="O43" i="83"/>
  <c r="M43" i="83"/>
  <c r="K43" i="83"/>
  <c r="I43" i="83"/>
  <c r="G43" i="83"/>
  <c r="E43" i="83"/>
  <c r="C43" i="83"/>
  <c r="R42" i="83"/>
  <c r="S42" i="83" s="1"/>
  <c r="O42" i="83"/>
  <c r="M42" i="83"/>
  <c r="K42" i="83"/>
  <c r="I42" i="83"/>
  <c r="G42" i="83"/>
  <c r="E42" i="83"/>
  <c r="C42" i="83"/>
  <c r="R41" i="83"/>
  <c r="S41" i="83" s="1"/>
  <c r="Q41" i="83"/>
  <c r="O41" i="83"/>
  <c r="M41" i="83"/>
  <c r="K41" i="83"/>
  <c r="I41" i="83"/>
  <c r="G41" i="83"/>
  <c r="E41" i="83"/>
  <c r="C41" i="83"/>
  <c r="R40" i="83"/>
  <c r="S40" i="83" s="1"/>
  <c r="O40" i="83"/>
  <c r="M40" i="83"/>
  <c r="K40" i="83"/>
  <c r="I40" i="83"/>
  <c r="G40" i="83"/>
  <c r="E40" i="83"/>
  <c r="C40" i="83"/>
  <c r="R39" i="83"/>
  <c r="S39" i="83" s="1"/>
  <c r="Q39" i="83"/>
  <c r="O39" i="83"/>
  <c r="M39" i="83"/>
  <c r="K39" i="83"/>
  <c r="I39" i="83"/>
  <c r="G39" i="83"/>
  <c r="E39" i="83"/>
  <c r="C39" i="83"/>
  <c r="R38" i="83"/>
  <c r="S38" i="83" s="1"/>
  <c r="O38" i="83"/>
  <c r="M38" i="83"/>
  <c r="K38" i="83"/>
  <c r="I38" i="83"/>
  <c r="G38" i="83"/>
  <c r="E38" i="83"/>
  <c r="C38" i="83"/>
  <c r="R37" i="83"/>
  <c r="S37" i="83" s="1"/>
  <c r="Q37" i="83"/>
  <c r="O37" i="83"/>
  <c r="M37" i="83"/>
  <c r="K37" i="83"/>
  <c r="I37" i="83"/>
  <c r="G37" i="83"/>
  <c r="E37" i="83"/>
  <c r="C37" i="83"/>
  <c r="R36" i="83"/>
  <c r="S36" i="83" s="1"/>
  <c r="O36" i="83"/>
  <c r="M36" i="83"/>
  <c r="K36" i="83"/>
  <c r="I36" i="83"/>
  <c r="G36" i="83"/>
  <c r="E36" i="83"/>
  <c r="C36" i="83"/>
  <c r="R35" i="83"/>
  <c r="S35" i="83" s="1"/>
  <c r="Q35" i="83"/>
  <c r="O35" i="83"/>
  <c r="M35" i="83"/>
  <c r="K35" i="83"/>
  <c r="I35" i="83"/>
  <c r="G35" i="83"/>
  <c r="E35" i="83"/>
  <c r="C35" i="83"/>
  <c r="R34" i="83"/>
  <c r="S34" i="83" s="1"/>
  <c r="O34" i="83"/>
  <c r="M34" i="83"/>
  <c r="K34" i="83"/>
  <c r="I34" i="83"/>
  <c r="G34" i="83"/>
  <c r="E34" i="83"/>
  <c r="C34" i="83"/>
  <c r="R33" i="83"/>
  <c r="S33" i="83" s="1"/>
  <c r="Q33" i="83"/>
  <c r="O33" i="83"/>
  <c r="M33" i="83"/>
  <c r="K33" i="83"/>
  <c r="I33" i="83"/>
  <c r="G33" i="83"/>
  <c r="E33" i="83"/>
  <c r="C33" i="83"/>
  <c r="R32" i="83"/>
  <c r="S32" i="83" s="1"/>
  <c r="O32" i="83"/>
  <c r="M32" i="83"/>
  <c r="K32" i="83"/>
  <c r="I32" i="83"/>
  <c r="G32" i="83"/>
  <c r="E32" i="83"/>
  <c r="C32" i="83"/>
  <c r="R31" i="83"/>
  <c r="S31" i="83" s="1"/>
  <c r="Q31" i="83"/>
  <c r="O31" i="83"/>
  <c r="M31" i="83"/>
  <c r="K31" i="83"/>
  <c r="I31" i="83"/>
  <c r="G31" i="83"/>
  <c r="E31" i="83"/>
  <c r="C31" i="83"/>
  <c r="R30" i="83"/>
  <c r="S30" i="83" s="1"/>
  <c r="O30" i="83"/>
  <c r="M30" i="83"/>
  <c r="K30" i="83"/>
  <c r="I30" i="83"/>
  <c r="G30" i="83"/>
  <c r="E30" i="83"/>
  <c r="C30" i="83"/>
  <c r="R29" i="83"/>
  <c r="S29" i="83" s="1"/>
  <c r="Q29" i="83"/>
  <c r="O29" i="83"/>
  <c r="M29" i="83"/>
  <c r="K29" i="83"/>
  <c r="I29" i="83"/>
  <c r="G29" i="83"/>
  <c r="E29" i="83"/>
  <c r="C29" i="83"/>
  <c r="R28" i="83"/>
  <c r="S28" i="83" s="1"/>
  <c r="O28" i="83"/>
  <c r="M28" i="83"/>
  <c r="K28" i="83"/>
  <c r="I28" i="83"/>
  <c r="G28" i="83"/>
  <c r="E28" i="83"/>
  <c r="C28" i="83"/>
  <c r="Q27" i="83"/>
  <c r="O27" i="83"/>
  <c r="M27" i="83"/>
  <c r="K27" i="83"/>
  <c r="I27" i="83"/>
  <c r="G27" i="83"/>
  <c r="E27" i="83"/>
  <c r="O26" i="83"/>
  <c r="M26" i="83"/>
  <c r="K26" i="83"/>
  <c r="I26" i="83"/>
  <c r="G26" i="83"/>
  <c r="E26" i="83"/>
  <c r="O25" i="83"/>
  <c r="M25" i="83"/>
  <c r="K25" i="83"/>
  <c r="I25" i="83"/>
  <c r="G25" i="83"/>
  <c r="E25" i="83"/>
  <c r="P23" i="83"/>
  <c r="N23" i="83"/>
  <c r="L23" i="83"/>
  <c r="J23" i="83"/>
  <c r="H23" i="83"/>
  <c r="F23" i="83"/>
  <c r="D23" i="83"/>
  <c r="C18" i="83"/>
  <c r="E17" i="83"/>
  <c r="D17" i="83"/>
  <c r="Q55" i="83" s="1"/>
  <c r="C17"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C25" i="83"/>
  <c r="D2" i="83"/>
  <c r="S2" i="83"/>
  <c r="R2" i="83"/>
  <c r="Q2" i="83"/>
  <c r="P2" i="83"/>
  <c r="O2" i="83"/>
  <c r="N2" i="83"/>
  <c r="M2" i="83"/>
  <c r="L2" i="83"/>
  <c r="K2" i="83"/>
  <c r="J2" i="83"/>
  <c r="I2" i="83"/>
  <c r="H2" i="83"/>
  <c r="G2" i="83"/>
  <c r="C2" i="83"/>
  <c r="C4" i="31"/>
  <c r="D4" i="31"/>
  <c r="E4" i="31"/>
  <c r="F4" i="31"/>
  <c r="D3" i="31"/>
  <c r="E3" i="31"/>
  <c r="F3" i="31"/>
  <c r="C3" i="31"/>
  <c r="C18" i="31"/>
  <c r="D17" i="31"/>
  <c r="E17" i="31"/>
  <c r="C17" i="31"/>
  <c r="B25" i="31"/>
  <c r="B26" i="31"/>
  <c r="B27" i="31"/>
  <c r="B24" i="31"/>
  <c r="C34" i="34"/>
  <c r="I7" i="34"/>
  <c r="G7" i="34"/>
  <c r="E7" i="34"/>
  <c r="A120"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H1" i="82"/>
  <c r="D42" i="43"/>
  <c r="G62" i="43"/>
  <c r="G63" i="43"/>
  <c r="G64" i="43"/>
  <c r="G65" i="43"/>
  <c r="G66" i="43"/>
  <c r="G67" i="43"/>
  <c r="G68" i="43"/>
  <c r="G69" i="43"/>
  <c r="G61" i="43"/>
  <c r="B21" i="1"/>
  <c r="Q72" i="81"/>
  <c r="Q59" i="81"/>
  <c r="K59" i="81"/>
  <c r="P74" i="81" s="1"/>
  <c r="Q58" i="81"/>
  <c r="Q51" i="81"/>
  <c r="J50" i="81"/>
  <c r="J51" i="81" s="1"/>
  <c r="M47" i="81"/>
  <c r="D46" i="81"/>
  <c r="F34" i="81"/>
  <c r="F62" i="81" s="1"/>
  <c r="F33" i="81"/>
  <c r="F61" i="81" s="1"/>
  <c r="F23" i="81"/>
  <c r="D24" i="81" s="1"/>
  <c r="F21" i="81"/>
  <c r="M20" i="81"/>
  <c r="F20" i="81"/>
  <c r="M19" i="81"/>
  <c r="F18" i="81"/>
  <c r="F17" i="81"/>
  <c r="F15" i="81"/>
  <c r="G1" i="81"/>
  <c r="N21" i="1"/>
  <c r="N22" i="1" s="1"/>
  <c r="N6" i="1" s="1"/>
  <c r="C29" i="35" s="1"/>
  <c r="G22" i="6"/>
  <c r="G21" i="6"/>
  <c r="F20" i="6"/>
  <c r="F19" i="6"/>
  <c r="C22" i="6"/>
  <c r="C21" i="6"/>
  <c r="C20" i="6"/>
  <c r="C19" i="6"/>
  <c r="K16" i="3"/>
  <c r="K15" i="3"/>
  <c r="I14" i="3"/>
  <c r="I13" i="3"/>
  <c r="E27" i="45"/>
  <c r="F20" i="83"/>
  <c r="C76" i="81"/>
  <c r="C37" i="34" l="1"/>
  <c r="Q57" i="83"/>
  <c r="Q59" i="83"/>
  <c r="Q61" i="83"/>
  <c r="Q63" i="83"/>
  <c r="Q65" i="83"/>
  <c r="Q67" i="83"/>
  <c r="Q69" i="83"/>
  <c r="Q71" i="83"/>
  <c r="Q73" i="83"/>
  <c r="Q523" i="83"/>
  <c r="Q521" i="83"/>
  <c r="Q519" i="83"/>
  <c r="Q517" i="83"/>
  <c r="Q515" i="83"/>
  <c r="Q513" i="83"/>
  <c r="Q511" i="83"/>
  <c r="Q509" i="83"/>
  <c r="Q507" i="83"/>
  <c r="Q505" i="83"/>
  <c r="Q503" i="83"/>
  <c r="Q501" i="83"/>
  <c r="Q499" i="83"/>
  <c r="Q497" i="83"/>
  <c r="Q495" i="83"/>
  <c r="Q493" i="83"/>
  <c r="Q491" i="83"/>
  <c r="Q489" i="83"/>
  <c r="Q487" i="83"/>
  <c r="Q485" i="83"/>
  <c r="Q483" i="83"/>
  <c r="Q481" i="83"/>
  <c r="Q479" i="83"/>
  <c r="Q477" i="83"/>
  <c r="Q475" i="83"/>
  <c r="Q473" i="83"/>
  <c r="Q471" i="83"/>
  <c r="Q469" i="83"/>
  <c r="Q467" i="83"/>
  <c r="Q465" i="83"/>
  <c r="Q463" i="83"/>
  <c r="Q461" i="83"/>
  <c r="Q459" i="83"/>
  <c r="Q457" i="83"/>
  <c r="Q455" i="83"/>
  <c r="Q453" i="83"/>
  <c r="Q451" i="83"/>
  <c r="Q449" i="83"/>
  <c r="Q524" i="83"/>
  <c r="Q522" i="83"/>
  <c r="Q520" i="83"/>
  <c r="Q518" i="83"/>
  <c r="Q516" i="83"/>
  <c r="Q514" i="83"/>
  <c r="Q512" i="83"/>
  <c r="Q510" i="83"/>
  <c r="Q508" i="83"/>
  <c r="Q506" i="83"/>
  <c r="Q504" i="83"/>
  <c r="Q502" i="83"/>
  <c r="Q500" i="83"/>
  <c r="Q498" i="83"/>
  <c r="Q496" i="83"/>
  <c r="Q494" i="83"/>
  <c r="Q492" i="83"/>
  <c r="Q490" i="83"/>
  <c r="Q488" i="83"/>
  <c r="Q486" i="83"/>
  <c r="Q484" i="83"/>
  <c r="Q482" i="83"/>
  <c r="Q480" i="83"/>
  <c r="Q478" i="83"/>
  <c r="Q476" i="83"/>
  <c r="Q474" i="83"/>
  <c r="Q472" i="83"/>
  <c r="Q470" i="83"/>
  <c r="Q468" i="83"/>
  <c r="Q466" i="83"/>
  <c r="Q464" i="83"/>
  <c r="Q462" i="83"/>
  <c r="Q460" i="83"/>
  <c r="Q458" i="83"/>
  <c r="Q456" i="83"/>
  <c r="Q454" i="83"/>
  <c r="Q452" i="83"/>
  <c r="Q450" i="83"/>
  <c r="Q448" i="83"/>
  <c r="Q446" i="83"/>
  <c r="Q444" i="83"/>
  <c r="Q442" i="83"/>
  <c r="Q440" i="83"/>
  <c r="Q439" i="83"/>
  <c r="Q437" i="83"/>
  <c r="Q435" i="83"/>
  <c r="Q433" i="83"/>
  <c r="Q431" i="83"/>
  <c r="Q429" i="83"/>
  <c r="Q427" i="83"/>
  <c r="Q425" i="83"/>
  <c r="Q423" i="83"/>
  <c r="Q421" i="83"/>
  <c r="Q419" i="83"/>
  <c r="Q417" i="83"/>
  <c r="Q415" i="83"/>
  <c r="Q413" i="83"/>
  <c r="Q411" i="83"/>
  <c r="Q409" i="83"/>
  <c r="Q407" i="83"/>
  <c r="Q405" i="83"/>
  <c r="Q403" i="83"/>
  <c r="Q401" i="83"/>
  <c r="Q399" i="83"/>
  <c r="Q397" i="83"/>
  <c r="Q395" i="83"/>
  <c r="Q393" i="83"/>
  <c r="Q391" i="83"/>
  <c r="Q389" i="83"/>
  <c r="Q387" i="83"/>
  <c r="Q385" i="83"/>
  <c r="Q383" i="83"/>
  <c r="Q381" i="83"/>
  <c r="Q379" i="83"/>
  <c r="Q377" i="83"/>
  <c r="Q375" i="83"/>
  <c r="Q373" i="83"/>
  <c r="Q371" i="83"/>
  <c r="Q369" i="83"/>
  <c r="Q367" i="83"/>
  <c r="Q365" i="83"/>
  <c r="Q363" i="83"/>
  <c r="Q361" i="83"/>
  <c r="Q359" i="83"/>
  <c r="Q357" i="83"/>
  <c r="Q355" i="83"/>
  <c r="Q353" i="83"/>
  <c r="Q351" i="83"/>
  <c r="Q349" i="83"/>
  <c r="Q347" i="83"/>
  <c r="Q345" i="83"/>
  <c r="Q343" i="83"/>
  <c r="Q341" i="83"/>
  <c r="Q339" i="83"/>
  <c r="Q337" i="83"/>
  <c r="Q335" i="83"/>
  <c r="Q333" i="83"/>
  <c r="Q331" i="83"/>
  <c r="Q329" i="83"/>
  <c r="Q327" i="83"/>
  <c r="Q325" i="83"/>
  <c r="Q323" i="83"/>
  <c r="Q321" i="83"/>
  <c r="Q319" i="83"/>
  <c r="Q317" i="83"/>
  <c r="Q315" i="83"/>
  <c r="Q313" i="83"/>
  <c r="Q311" i="83"/>
  <c r="Q309" i="83"/>
  <c r="Q307" i="83"/>
  <c r="Q305" i="83"/>
  <c r="Q303" i="83"/>
  <c r="Q301" i="83"/>
  <c r="Q299" i="83"/>
  <c r="Q297" i="83"/>
  <c r="Q295" i="83"/>
  <c r="Q293" i="83"/>
  <c r="Q291" i="83"/>
  <c r="Q289" i="83"/>
  <c r="Q287" i="83"/>
  <c r="Q285" i="83"/>
  <c r="Q283" i="83"/>
  <c r="Q281" i="83"/>
  <c r="Q279" i="83"/>
  <c r="Q277" i="83"/>
  <c r="Q275" i="83"/>
  <c r="Q273" i="83"/>
  <c r="Q271" i="83"/>
  <c r="Q445" i="83"/>
  <c r="Q441" i="83"/>
  <c r="Q438" i="83"/>
  <c r="Q436" i="83"/>
  <c r="Q434" i="83"/>
  <c r="Q432" i="83"/>
  <c r="Q430" i="83"/>
  <c r="Q428" i="83"/>
  <c r="Q426" i="83"/>
  <c r="Q424" i="83"/>
  <c r="Q422" i="83"/>
  <c r="Q420" i="83"/>
  <c r="Q418" i="83"/>
  <c r="Q416" i="83"/>
  <c r="Q414" i="83"/>
  <c r="Q412" i="83"/>
  <c r="Q410" i="83"/>
  <c r="Q408" i="83"/>
  <c r="Q406" i="83"/>
  <c r="Q404" i="83"/>
  <c r="Q402" i="83"/>
  <c r="Q400" i="83"/>
  <c r="Q398" i="83"/>
  <c r="Q396" i="83"/>
  <c r="Q394" i="83"/>
  <c r="Q392" i="83"/>
  <c r="Q390" i="83"/>
  <c r="Q388" i="83"/>
  <c r="Q386" i="83"/>
  <c r="Q384" i="83"/>
  <c r="Q382" i="83"/>
  <c r="Q380" i="83"/>
  <c r="Q378" i="83"/>
  <c r="Q376" i="83"/>
  <c r="Q374" i="83"/>
  <c r="Q372" i="83"/>
  <c r="Q370" i="83"/>
  <c r="Q368" i="83"/>
  <c r="Q366" i="83"/>
  <c r="Q364" i="83"/>
  <c r="Q362" i="83"/>
  <c r="Q360" i="83"/>
  <c r="Q358" i="83"/>
  <c r="Q356" i="83"/>
  <c r="Q354" i="83"/>
  <c r="Q352" i="83"/>
  <c r="Q350" i="83"/>
  <c r="Q348" i="83"/>
  <c r="Q346" i="83"/>
  <c r="Q344" i="83"/>
  <c r="Q342" i="83"/>
  <c r="Q340" i="83"/>
  <c r="Q338" i="83"/>
  <c r="Q336" i="83"/>
  <c r="Q334" i="83"/>
  <c r="Q332" i="83"/>
  <c r="Q330" i="83"/>
  <c r="Q328" i="83"/>
  <c r="Q326" i="83"/>
  <c r="Q324" i="83"/>
  <c r="Q322" i="83"/>
  <c r="Q320" i="83"/>
  <c r="Q318" i="83"/>
  <c r="Q316" i="83"/>
  <c r="Q314" i="83"/>
  <c r="Q312" i="83"/>
  <c r="Q310" i="83"/>
  <c r="Q308" i="83"/>
  <c r="Q306" i="83"/>
  <c r="Q304" i="83"/>
  <c r="Q302" i="83"/>
  <c r="Q300" i="83"/>
  <c r="Q298" i="83"/>
  <c r="Q296" i="83"/>
  <c r="Q294" i="83"/>
  <c r="Q292" i="83"/>
  <c r="Q290" i="83"/>
  <c r="Q288" i="83"/>
  <c r="Q286" i="83"/>
  <c r="Q284" i="83"/>
  <c r="Q282" i="83"/>
  <c r="Q280" i="83"/>
  <c r="Q278" i="83"/>
  <c r="Q447" i="83"/>
  <c r="Q443" i="83"/>
  <c r="Q276" i="83"/>
  <c r="Q270" i="83"/>
  <c r="Q268" i="83"/>
  <c r="Q266" i="83"/>
  <c r="Q264" i="83"/>
  <c r="Q262" i="83"/>
  <c r="Q260" i="83"/>
  <c r="Q258" i="83"/>
  <c r="Q256" i="83"/>
  <c r="Q254" i="83"/>
  <c r="Q252" i="83"/>
  <c r="Q250" i="83"/>
  <c r="Q248" i="83"/>
  <c r="Q246" i="83"/>
  <c r="Q244" i="83"/>
  <c r="Q242" i="83"/>
  <c r="Q240" i="83"/>
  <c r="Q238" i="83"/>
  <c r="Q236" i="83"/>
  <c r="Q234" i="83"/>
  <c r="Q232" i="83"/>
  <c r="Q230" i="83"/>
  <c r="Q228" i="83"/>
  <c r="Q226" i="83"/>
  <c r="Q224" i="83"/>
  <c r="Q222" i="83"/>
  <c r="Q220" i="83"/>
  <c r="Q218" i="83"/>
  <c r="Q216" i="83"/>
  <c r="Q214" i="83"/>
  <c r="Q212" i="83"/>
  <c r="Q210" i="83"/>
  <c r="Q208" i="83"/>
  <c r="Q206" i="83"/>
  <c r="Q204" i="83"/>
  <c r="Q202" i="83"/>
  <c r="Q200" i="83"/>
  <c r="Q198" i="83"/>
  <c r="Q196" i="83"/>
  <c r="Q194" i="83"/>
  <c r="Q192" i="83"/>
  <c r="Q190" i="83"/>
  <c r="Q188" i="83"/>
  <c r="Q186" i="83"/>
  <c r="Q184" i="83"/>
  <c r="Q182" i="83"/>
  <c r="Q180" i="83"/>
  <c r="Q178" i="83"/>
  <c r="Q176" i="83"/>
  <c r="Q174" i="83"/>
  <c r="Q172" i="83"/>
  <c r="Q170" i="83"/>
  <c r="Q168" i="83"/>
  <c r="Q166" i="83"/>
  <c r="Q164" i="83"/>
  <c r="Q162" i="83"/>
  <c r="Q160" i="83"/>
  <c r="Q158" i="83"/>
  <c r="Q156" i="83"/>
  <c r="Q154" i="83"/>
  <c r="Q152" i="83"/>
  <c r="Q150" i="83"/>
  <c r="Q148" i="83"/>
  <c r="Q146" i="83"/>
  <c r="Q144" i="83"/>
  <c r="Q142" i="83"/>
  <c r="Q140" i="83"/>
  <c r="Q138" i="83"/>
  <c r="Q136" i="83"/>
  <c r="Q134" i="83"/>
  <c r="Q132" i="83"/>
  <c r="Q130" i="83"/>
  <c r="Q128" i="83"/>
  <c r="Q126" i="83"/>
  <c r="Q124" i="83"/>
  <c r="Q122" i="83"/>
  <c r="Q120" i="83"/>
  <c r="Q118" i="83"/>
  <c r="Q116" i="83"/>
  <c r="Q114" i="83"/>
  <c r="Q112" i="83"/>
  <c r="Q110" i="83"/>
  <c r="Q108" i="83"/>
  <c r="Q106" i="83"/>
  <c r="Q104" i="83"/>
  <c r="Q102" i="83"/>
  <c r="Q272" i="83"/>
  <c r="Q274" i="83"/>
  <c r="Q269" i="83"/>
  <c r="Q267" i="83"/>
  <c r="Q265" i="83"/>
  <c r="Q263" i="83"/>
  <c r="Q261" i="83"/>
  <c r="Q259" i="83"/>
  <c r="Q257" i="83"/>
  <c r="Q255" i="83"/>
  <c r="Q253" i="83"/>
  <c r="Q251" i="83"/>
  <c r="Q249" i="83"/>
  <c r="Q247" i="83"/>
  <c r="Q245" i="83"/>
  <c r="Q243" i="83"/>
  <c r="Q241" i="83"/>
  <c r="Q239" i="83"/>
  <c r="Q237" i="83"/>
  <c r="Q235" i="83"/>
  <c r="Q233" i="83"/>
  <c r="Q231" i="83"/>
  <c r="Q229" i="83"/>
  <c r="Q227" i="83"/>
  <c r="Q225" i="83"/>
  <c r="Q223" i="83"/>
  <c r="Q221" i="83"/>
  <c r="Q219" i="83"/>
  <c r="Q217" i="83"/>
  <c r="Q215" i="83"/>
  <c r="Q213" i="83"/>
  <c r="Q211" i="83"/>
  <c r="Q209" i="83"/>
  <c r="Q207" i="83"/>
  <c r="Q205" i="83"/>
  <c r="Q203" i="83"/>
  <c r="Q201" i="83"/>
  <c r="Q199" i="83"/>
  <c r="Q197" i="83"/>
  <c r="Q195" i="83"/>
  <c r="Q193" i="83"/>
  <c r="Q191" i="83"/>
  <c r="Q189" i="83"/>
  <c r="Q187" i="83"/>
  <c r="Q185" i="83"/>
  <c r="Q183" i="83"/>
  <c r="Q181" i="83"/>
  <c r="Q179" i="83"/>
  <c r="Q177" i="83"/>
  <c r="Q175" i="83"/>
  <c r="Q173" i="83"/>
  <c r="Q171" i="83"/>
  <c r="Q169" i="83"/>
  <c r="Q167" i="83"/>
  <c r="Q165" i="83"/>
  <c r="Q163" i="83"/>
  <c r="Q161" i="83"/>
  <c r="Q159" i="83"/>
  <c r="Q157" i="83"/>
  <c r="Q155" i="83"/>
  <c r="Q153" i="83"/>
  <c r="Q151" i="83"/>
  <c r="Q149" i="83"/>
  <c r="Q147" i="83"/>
  <c r="Q145" i="83"/>
  <c r="Q143" i="83"/>
  <c r="Q141" i="83"/>
  <c r="Q139" i="83"/>
  <c r="Q137" i="83"/>
  <c r="Q135" i="83"/>
  <c r="Q133" i="83"/>
  <c r="Q131" i="83"/>
  <c r="Q129" i="83"/>
  <c r="Q127" i="83"/>
  <c r="Q125" i="83"/>
  <c r="Q123" i="83"/>
  <c r="Q121" i="83"/>
  <c r="Q119" i="83"/>
  <c r="Q117" i="83"/>
  <c r="Q115" i="83"/>
  <c r="Q113" i="83"/>
  <c r="Q111" i="83"/>
  <c r="Q109" i="83"/>
  <c r="Q107" i="83"/>
  <c r="Q105" i="83"/>
  <c r="C27" i="83"/>
  <c r="Q26" i="83"/>
  <c r="Q28" i="83"/>
  <c r="Q30" i="83"/>
  <c r="Q32" i="83"/>
  <c r="Q34" i="83"/>
  <c r="Q36" i="83"/>
  <c r="Q38" i="83"/>
  <c r="Q40" i="83"/>
  <c r="Q42" i="83"/>
  <c r="Q44" i="83"/>
  <c r="Q54" i="83"/>
  <c r="Q70" i="83"/>
  <c r="Q82" i="83"/>
  <c r="Q98" i="83"/>
  <c r="Q100" i="83"/>
  <c r="E2" i="83"/>
  <c r="Q46" i="83"/>
  <c r="Q48" i="83"/>
  <c r="Q50" i="83"/>
  <c r="Q52" i="83"/>
  <c r="Q56" i="83"/>
  <c r="Q58" i="83"/>
  <c r="Q60" i="83"/>
  <c r="Q62" i="83"/>
  <c r="Q64" i="83"/>
  <c r="Q66" i="83"/>
  <c r="Q68" i="83"/>
  <c r="Q72" i="83"/>
  <c r="Q74" i="83"/>
  <c r="Q76" i="83"/>
  <c r="Q78" i="83"/>
  <c r="Q80" i="83"/>
  <c r="Q84" i="83"/>
  <c r="Q86" i="83"/>
  <c r="Q88" i="83"/>
  <c r="Q90" i="83"/>
  <c r="Q92" i="83"/>
  <c r="Q94" i="83"/>
  <c r="Q96" i="83"/>
  <c r="F2" i="83"/>
  <c r="Q25" i="83"/>
  <c r="C26" i="83"/>
  <c r="Q103" i="83"/>
  <c r="Q51" i="83"/>
  <c r="Q53" i="83"/>
  <c r="Q75" i="83"/>
  <c r="Q77" i="83"/>
  <c r="Q79" i="83"/>
  <c r="Q81" i="83"/>
  <c r="Q83" i="83"/>
  <c r="Q85" i="83"/>
  <c r="Q87" i="83"/>
  <c r="Q89" i="83"/>
  <c r="Q91" i="83"/>
  <c r="Q93" i="83"/>
  <c r="Q95" i="83"/>
  <c r="Q97" i="83"/>
  <c r="Q99" i="83"/>
  <c r="Q101" i="83"/>
  <c r="C18" i="82"/>
  <c r="D18" i="82" s="1"/>
  <c r="N7" i="1"/>
  <c r="Y6" i="1"/>
  <c r="C92" i="82"/>
  <c r="C94" i="82"/>
  <c r="D121" i="82"/>
  <c r="K120" i="82"/>
  <c r="H111" i="82"/>
  <c r="D126" i="82" s="1"/>
  <c r="D127" i="82" s="1"/>
  <c r="A126" i="82"/>
  <c r="H109" i="82"/>
  <c r="D23" i="81"/>
  <c r="D22" i="81"/>
  <c r="Q71" i="81"/>
  <c r="P61" i="81"/>
  <c r="G14" i="73"/>
  <c r="F14" i="73"/>
  <c r="E14" i="73"/>
  <c r="M6" i="81"/>
  <c r="M26" i="81"/>
  <c r="J15" i="81"/>
  <c r="M23" i="81"/>
  <c r="F36" i="81"/>
  <c r="M28" i="81"/>
  <c r="F43" i="81"/>
  <c r="F8" i="81"/>
  <c r="F37" i="81"/>
  <c r="M22" i="81"/>
  <c r="M24" i="81"/>
  <c r="L47" i="81"/>
  <c r="F42" i="81"/>
  <c r="F7" i="81"/>
  <c r="M29" i="81"/>
  <c r="F16" i="81"/>
  <c r="M8" i="81"/>
  <c r="F40" i="81"/>
  <c r="M9" i="81"/>
  <c r="F9" i="81"/>
  <c r="F38" i="81"/>
  <c r="F6" i="81"/>
  <c r="F26" i="81"/>
  <c r="M27" i="81"/>
  <c r="Y7" i="1" l="1"/>
  <c r="N8" i="1"/>
  <c r="D124" i="82"/>
  <c r="D125" i="82" s="1"/>
  <c r="H110" i="82"/>
  <c r="F68" i="81"/>
  <c r="C27" i="81"/>
  <c r="M7" i="81"/>
  <c r="M17" i="81" s="1"/>
  <c r="F50" i="81"/>
  <c r="F51" i="81"/>
  <c r="N59" i="81"/>
  <c r="L59" i="81"/>
  <c r="F65" i="81"/>
  <c r="F66" i="81"/>
  <c r="C6" i="81"/>
  <c r="F31" i="81"/>
  <c r="F64" i="81"/>
  <c r="F71" i="81"/>
  <c r="I12" i="79"/>
  <c r="C16" i="81"/>
  <c r="C17" i="81"/>
  <c r="C14" i="81"/>
  <c r="N9" i="1" l="1"/>
  <c r="Y8" i="1"/>
  <c r="F59" i="81"/>
  <c r="J6" i="81"/>
  <c r="C49" i="81"/>
  <c r="C18" i="81"/>
  <c r="C15" i="81"/>
  <c r="Q74" i="81"/>
  <c r="Q61"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F13" i="81"/>
  <c r="N10" i="1" l="1"/>
  <c r="N11" i="1" s="1"/>
  <c r="N12" i="1" s="1"/>
  <c r="N13" i="1" s="1"/>
  <c r="Y9" i="1"/>
  <c r="C19" i="81"/>
  <c r="C20"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26" i="81" l="1"/>
  <c r="AR7" i="79"/>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51" i="79" l="1"/>
  <c r="AD38" i="79"/>
  <c r="AD36" i="79"/>
  <c r="AD35" i="79"/>
  <c r="AD37" i="79"/>
  <c r="AR40" i="79"/>
  <c r="AR41" i="79" s="1"/>
  <c r="AR42" i="79" s="1"/>
  <c r="AR43" i="79" s="1"/>
  <c r="AR44" i="79" s="1"/>
  <c r="AR45" i="79" s="1"/>
  <c r="AR46" i="79" s="1"/>
  <c r="AR47" i="79" s="1"/>
  <c r="AR48" i="79" s="1"/>
  <c r="AR49" i="79" s="1"/>
  <c r="AR50" i="79" s="1"/>
  <c r="AR51" i="79" s="1"/>
  <c r="AR52" i="79" s="1"/>
  <c r="Z3" i="79"/>
  <c r="AA31" i="79"/>
  <c r="AD31" i="79" s="1"/>
  <c r="U46" i="79"/>
  <c r="AI46" i="79" s="1"/>
  <c r="AD47" i="79"/>
  <c r="AR18" i="79"/>
  <c r="AR19" i="79" s="1"/>
  <c r="AR20" i="79" s="1"/>
  <c r="AR21" i="79" s="1"/>
  <c r="AR22" i="79" s="1"/>
  <c r="AR23" i="79" s="1"/>
  <c r="AR24" i="79" s="1"/>
  <c r="T34" i="79"/>
  <c r="T33" i="79"/>
  <c r="T35" i="79"/>
  <c r="W22" i="79"/>
  <c r="AK22" i="79" s="1"/>
  <c r="AH22" i="79"/>
  <c r="S33" i="79"/>
  <c r="AG33" i="79" s="1"/>
  <c r="S34" i="79"/>
  <c r="AG34" i="79" s="1"/>
  <c r="S35" i="79"/>
  <c r="AG35" i="79" s="1"/>
  <c r="T40" i="79"/>
  <c r="S48" i="79"/>
  <c r="AG48"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9" i="79"/>
  <c r="AK49" i="79" s="1"/>
  <c r="AH49" i="79"/>
  <c r="W23" i="79"/>
  <c r="AK23" i="79" s="1"/>
  <c r="AH23" i="79"/>
  <c r="W12" i="79"/>
  <c r="AK12" i="79" s="1"/>
  <c r="AH12" i="79"/>
  <c r="W21" i="79"/>
  <c r="AK21" i="79" s="1"/>
  <c r="AH21" i="79"/>
  <c r="W47" i="79"/>
  <c r="AK47" i="79" s="1"/>
  <c r="AH47" i="79"/>
  <c r="W45" i="79"/>
  <c r="AK45" i="79" s="1"/>
  <c r="AH4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C71" i="71"/>
  <c r="C70" i="71" s="1"/>
  <c r="D70" i="71" s="1"/>
  <c r="E71" i="71"/>
  <c r="E70" i="71" s="1"/>
  <c r="D72" i="71"/>
  <c r="E75" i="71"/>
  <c r="E74" i="71" s="1"/>
  <c r="C79" i="71"/>
  <c r="E79" i="71"/>
  <c r="E78" i="71" s="1"/>
  <c r="D80" i="71"/>
  <c r="C83" i="71"/>
  <c r="C87" i="71"/>
  <c r="F28" i="71"/>
  <c r="F27" i="71" s="1"/>
  <c r="F26" i="71" s="1"/>
  <c r="D83" i="71"/>
  <c r="C82" i="71"/>
  <c r="D82" i="71"/>
  <c r="D79"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R35" i="31"/>
  <c r="S35" i="31" s="1"/>
  <c r="R36" i="31"/>
  <c r="S36" i="31" s="1"/>
  <c r="R37" i="31"/>
  <c r="S37" i="31" s="1"/>
  <c r="R38" i="31"/>
  <c r="R39" i="31"/>
  <c r="S39" i="31" s="1"/>
  <c r="R40" i="31"/>
  <c r="S40" i="31" s="1"/>
  <c r="R41" i="31"/>
  <c r="R42" i="31"/>
  <c r="S42" i="31" s="1"/>
  <c r="R43" i="31"/>
  <c r="S43" i="31" s="1"/>
  <c r="R44" i="31"/>
  <c r="S44" i="31" s="1"/>
  <c r="R45" i="31"/>
  <c r="S45" i="31" s="1"/>
  <c r="R46" i="31"/>
  <c r="R47" i="31"/>
  <c r="S47" i="31" s="1"/>
  <c r="R48" i="31"/>
  <c r="S48" i="31" s="1"/>
  <c r="R49" i="31"/>
  <c r="R50" i="31"/>
  <c r="S50" i="31" s="1"/>
  <c r="R51" i="31"/>
  <c r="R52" i="31"/>
  <c r="S52" i="31" s="1"/>
  <c r="R53" i="31"/>
  <c r="R54" i="31"/>
  <c r="S54" i="31" s="1"/>
  <c r="R55" i="31"/>
  <c r="S55" i="31" s="1"/>
  <c r="R56" i="31"/>
  <c r="S56" i="31" s="1"/>
  <c r="R57" i="31"/>
  <c r="S57" i="31" s="1"/>
  <c r="R58" i="31"/>
  <c r="S58" i="31" s="1"/>
  <c r="R59" i="31"/>
  <c r="R60" i="31"/>
  <c r="S60" i="31" s="1"/>
  <c r="R61" i="31"/>
  <c r="S61" i="31" s="1"/>
  <c r="R62" i="3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R80" i="31"/>
  <c r="S80" i="31" s="1"/>
  <c r="R81" i="31"/>
  <c r="S81" i="31" s="1"/>
  <c r="R82" i="31"/>
  <c r="R83" i="31"/>
  <c r="S83" i="31" s="1"/>
  <c r="R84" i="31"/>
  <c r="S84" i="31" s="1"/>
  <c r="R85" i="31"/>
  <c r="S85" i="31" s="1"/>
  <c r="R86" i="31"/>
  <c r="S86" i="31" s="1"/>
  <c r="R87" i="31"/>
  <c r="S87" i="31" s="1"/>
  <c r="R88" i="31"/>
  <c r="S88" i="31" s="1"/>
  <c r="R89" i="31"/>
  <c r="S89" i="31" s="1"/>
  <c r="R90" i="31"/>
  <c r="S90" i="31" s="1"/>
  <c r="R91" i="3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R106" i="31"/>
  <c r="R107" i="31"/>
  <c r="S107" i="31" s="1"/>
  <c r="R108" i="31"/>
  <c r="S108" i="31" s="1"/>
  <c r="R109" i="31"/>
  <c r="S109" i="31" s="1"/>
  <c r="R110" i="31"/>
  <c r="S110" i="31" s="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R223" i="31"/>
  <c r="R224" i="31"/>
  <c r="S224" i="31" s="1"/>
  <c r="R225" i="31"/>
  <c r="R226" i="31"/>
  <c r="S226" i="31" s="1"/>
  <c r="R227" i="31"/>
  <c r="S227" i="31" s="1"/>
  <c r="R228" i="31"/>
  <c r="S228" i="31" s="1"/>
  <c r="R229" i="31"/>
  <c r="R230" i="31"/>
  <c r="R231" i="31"/>
  <c r="S231" i="31" s="1"/>
  <c r="R232" i="31"/>
  <c r="S232" i="31" s="1"/>
  <c r="R233" i="31"/>
  <c r="R234" i="31"/>
  <c r="S234" i="31" s="1"/>
  <c r="R235" i="31"/>
  <c r="S235" i="31" s="1"/>
  <c r="R236" i="31"/>
  <c r="S236" i="31" s="1"/>
  <c r="R237" i="31"/>
  <c r="R238" i="31"/>
  <c r="R239" i="31"/>
  <c r="S239" i="31" s="1"/>
  <c r="R240" i="31"/>
  <c r="S240" i="31" s="1"/>
  <c r="R241" i="31"/>
  <c r="S241" i="31" s="1"/>
  <c r="R242" i="31"/>
  <c r="R243" i="31"/>
  <c r="S243" i="31" s="1"/>
  <c r="R244" i="31"/>
  <c r="S244" i="31" s="1"/>
  <c r="R245" i="31"/>
  <c r="R246" i="31"/>
  <c r="S246" i="31" s="1"/>
  <c r="R247" i="31"/>
  <c r="S247" i="31" s="1"/>
  <c r="R248" i="31"/>
  <c r="S248" i="31" s="1"/>
  <c r="R249" i="31"/>
  <c r="R250" i="3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S429" i="31" s="1"/>
  <c r="R430" i="31"/>
  <c r="R431" i="31"/>
  <c r="S431" i="31" s="1"/>
  <c r="R432" i="31"/>
  <c r="S432" i="31" s="1"/>
  <c r="R433" i="31"/>
  <c r="R434" i="31"/>
  <c r="S434" i="31" s="1"/>
  <c r="R435" i="31"/>
  <c r="S435" i="31" s="1"/>
  <c r="R436" i="31"/>
  <c r="S436" i="31" s="1"/>
  <c r="R437" i="31"/>
  <c r="R438" i="31"/>
  <c r="R439" i="31"/>
  <c r="S439" i="31" s="1"/>
  <c r="R440" i="31"/>
  <c r="S440" i="31" s="1"/>
  <c r="R441" i="31"/>
  <c r="R442" i="31"/>
  <c r="S442" i="31" s="1"/>
  <c r="R443" i="31"/>
  <c r="S443" i="31" s="1"/>
  <c r="R444" i="31"/>
  <c r="S444" i="31" s="1"/>
  <c r="R445" i="3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S471" i="31" s="1"/>
  <c r="R472" i="31"/>
  <c r="S472" i="31" s="1"/>
  <c r="R473" i="31"/>
  <c r="S473" i="31" s="1"/>
  <c r="R474" i="31"/>
  <c r="R475" i="31"/>
  <c r="S475" i="31" s="1"/>
  <c r="R476" i="31"/>
  <c r="S476" i="31" s="1"/>
  <c r="R477" i="31"/>
  <c r="R478" i="31"/>
  <c r="S478" i="31" s="1"/>
  <c r="R479" i="31"/>
  <c r="S479" i="31" s="1"/>
  <c r="R480" i="31"/>
  <c r="S480" i="31" s="1"/>
  <c r="R481" i="31"/>
  <c r="S481" i="31" s="1"/>
  <c r="R482" i="31"/>
  <c r="R483" i="31"/>
  <c r="S483" i="31" s="1"/>
  <c r="R484" i="31"/>
  <c r="S484" i="31" s="1"/>
  <c r="R485" i="31"/>
  <c r="R486" i="31"/>
  <c r="S486" i="31" s="1"/>
  <c r="R487" i="31"/>
  <c r="S487" i="31" s="1"/>
  <c r="R488" i="31"/>
  <c r="S488" i="31" s="1"/>
  <c r="R489" i="31"/>
  <c r="S489" i="31" s="1"/>
  <c r="R490" i="3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N17" i="3"/>
  <c r="BP13" i="3"/>
  <c r="BP14" i="3"/>
  <c r="BP15" i="3"/>
  <c r="BP16" i="3"/>
  <c r="BP17" i="3"/>
  <c r="E19" i="6"/>
  <c r="E20" i="6"/>
  <c r="E21" i="6"/>
  <c r="K8" i="1" s="1"/>
  <c r="M8" i="1" s="1"/>
  <c r="F23" i="15"/>
  <c r="D24" i="15" s="1"/>
  <c r="E22" i="6"/>
  <c r="K9" i="1" s="1"/>
  <c r="M9" i="1" s="1"/>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10" i="31"/>
  <c r="S402" i="31"/>
  <c r="S384" i="31"/>
  <c r="S378" i="31"/>
  <c r="S358" i="31"/>
  <c r="S354" i="31"/>
  <c r="S342" i="31"/>
  <c r="S338" i="31"/>
  <c r="S326" i="31"/>
  <c r="S322" i="31"/>
  <c r="S310" i="31"/>
  <c r="S306" i="31"/>
  <c r="S294" i="31"/>
  <c r="S290" i="31"/>
  <c r="S278" i="31"/>
  <c r="S274" i="31"/>
  <c r="S262" i="31"/>
  <c r="S258" i="31"/>
  <c r="S253" i="31"/>
  <c r="S250" i="31"/>
  <c r="S249" i="31"/>
  <c r="S245" i="31"/>
  <c r="S242" i="31"/>
  <c r="S238" i="31"/>
  <c r="S237" i="31"/>
  <c r="S233" i="31"/>
  <c r="S230" i="31"/>
  <c r="S229" i="31"/>
  <c r="S225" i="31"/>
  <c r="S223" i="31"/>
  <c r="S425" i="31"/>
  <c r="S222" i="31"/>
  <c r="S219" i="31"/>
  <c r="S210" i="31"/>
  <c r="S202" i="31"/>
  <c r="S198" i="31"/>
  <c r="S190" i="31"/>
  <c r="S187" i="31"/>
  <c r="S178" i="31"/>
  <c r="S170" i="31"/>
  <c r="S166" i="31"/>
  <c r="S158" i="31"/>
  <c r="S155" i="31"/>
  <c r="S146" i="31"/>
  <c r="S138" i="31"/>
  <c r="S134" i="31"/>
  <c r="S126" i="31"/>
  <c r="S123" i="31"/>
  <c r="S493" i="31"/>
  <c r="S490" i="31"/>
  <c r="S485" i="31"/>
  <c r="S482" i="31"/>
  <c r="S477" i="31"/>
  <c r="S474" i="31"/>
  <c r="S469" i="31"/>
  <c r="S468" i="31"/>
  <c r="S441" i="31"/>
  <c r="S438" i="31"/>
  <c r="S437" i="31"/>
  <c r="S433" i="31"/>
  <c r="S430" i="31"/>
  <c r="S122" i="31"/>
  <c r="S114" i="31"/>
  <c r="S506" i="31"/>
  <c r="S465" i="31"/>
  <c r="S461" i="31"/>
  <c r="S457" i="31"/>
  <c r="S53" i="31"/>
  <c r="S51" i="31"/>
  <c r="S49" i="31"/>
  <c r="S46" i="31"/>
  <c r="S41" i="31"/>
  <c r="S38" i="31"/>
  <c r="S34" i="31"/>
  <c r="S33" i="31"/>
  <c r="S70" i="31"/>
  <c r="S62" i="31"/>
  <c r="S59" i="31"/>
  <c r="S94" i="31"/>
  <c r="S91" i="31"/>
  <c r="S82" i="31"/>
  <c r="S79" i="31"/>
  <c r="S29" i="31"/>
  <c r="S98" i="31"/>
  <c r="S105" i="31"/>
  <c r="S106" i="31"/>
  <c r="S445" i="31"/>
  <c r="S446" i="31"/>
  <c r="S508" i="31"/>
  <c r="S509"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D111" i="33"/>
  <c r="E111" i="33" s="1"/>
  <c r="F111" i="33" s="1"/>
  <c r="S516" i="31"/>
  <c r="S517"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F34" i="36" s="1"/>
  <c r="S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H34" i="35" s="1"/>
  <c r="B77" i="35"/>
  <c r="B75" i="35"/>
  <c r="J24" i="35" s="1"/>
  <c r="AC24" i="35" s="1"/>
  <c r="B73" i="35"/>
  <c r="J23" i="35" s="1"/>
  <c r="AC23" i="35" s="1"/>
  <c r="H23" i="35"/>
  <c r="U23" i="35" s="1"/>
  <c r="B57" i="35"/>
  <c r="B61" i="35"/>
  <c r="H13" i="35" s="1"/>
  <c r="B59" i="35"/>
  <c r="F12" i="35" s="1"/>
  <c r="B131" i="34"/>
  <c r="B129" i="34"/>
  <c r="B127" i="34"/>
  <c r="F45" i="34" s="1"/>
  <c r="B99" i="34"/>
  <c r="F32" i="34" s="1"/>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E81" i="21"/>
  <c r="F81" i="21"/>
  <c r="G81" i="21"/>
  <c r="D77" i="21"/>
  <c r="E77" i="21" s="1"/>
  <c r="B130" i="21"/>
  <c r="B128" i="21"/>
  <c r="F45" i="21" s="1"/>
  <c r="AA45" i="21" s="1"/>
  <c r="J45" i="21"/>
  <c r="B126" i="21"/>
  <c r="B98" i="21"/>
  <c r="H31" i="21"/>
  <c r="B96" i="21"/>
  <c r="B94" i="21"/>
  <c r="J29" i="21" s="1"/>
  <c r="AC29" i="21"/>
  <c r="B92" i="21"/>
  <c r="F28" i="21" s="1"/>
  <c r="B90" i="2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c r="Q33" i="21"/>
  <c r="Z33" i="21" s="1"/>
  <c r="Q34" i="21"/>
  <c r="Z34" i="21"/>
  <c r="J35" i="21"/>
  <c r="Q35" i="21"/>
  <c r="Z35" i="21"/>
  <c r="Q36" i="21"/>
  <c r="Z36" i="21" s="1"/>
  <c r="Q37" i="21"/>
  <c r="Z37" i="21"/>
  <c r="J38" i="21"/>
  <c r="Q38" i="21"/>
  <c r="Z38" i="21"/>
  <c r="J39" i="2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F36" i="34"/>
  <c r="AA36" i="34" s="1"/>
  <c r="J35" i="34"/>
  <c r="AC35" i="34" s="1"/>
  <c r="H39" i="33"/>
  <c r="AB39" i="33"/>
  <c r="U35" i="33"/>
  <c r="W33" i="33"/>
  <c r="W39" i="33"/>
  <c r="F11" i="40"/>
  <c r="AA11" i="40"/>
  <c r="H11" i="40"/>
  <c r="AB11" i="40"/>
  <c r="W8" i="40"/>
  <c r="AB39" i="40"/>
  <c r="AA9" i="40"/>
  <c r="U9" i="40"/>
  <c r="S34" i="40"/>
  <c r="W31" i="40"/>
  <c r="U34" i="40"/>
  <c r="S38" i="40"/>
  <c r="F42" i="39"/>
  <c r="AA42" i="39" s="1"/>
  <c r="F41" i="39"/>
  <c r="S41" i="39" s="1"/>
  <c r="H40" i="39"/>
  <c r="AB40" i="39" s="1"/>
  <c r="H39" i="39"/>
  <c r="U39" i="39" s="1"/>
  <c r="S34" i="39"/>
  <c r="H34" i="39"/>
  <c r="E108" i="39"/>
  <c r="E100" i="39"/>
  <c r="F100" i="39" s="1"/>
  <c r="G100" i="39" s="1"/>
  <c r="H19" i="39"/>
  <c r="F19" i="39"/>
  <c r="AA19" i="39" s="1"/>
  <c r="H17" i="39"/>
  <c r="AB17" i="39" s="1"/>
  <c r="F17" i="39"/>
  <c r="AA17" i="39" s="1"/>
  <c r="J23" i="40"/>
  <c r="F21" i="40"/>
  <c r="AA21" i="40"/>
  <c r="J21" i="40"/>
  <c r="H42" i="39"/>
  <c r="AB42" i="39" s="1"/>
  <c r="J34" i="39"/>
  <c r="AC34" i="39" s="1"/>
  <c r="F108" i="39"/>
  <c r="G108" i="39" s="1"/>
  <c r="H108" i="39" s="1"/>
  <c r="I108" i="39" s="1"/>
  <c r="J108" i="39" s="1"/>
  <c r="K108" i="39" s="1"/>
  <c r="L108" i="39" s="1"/>
  <c r="M108" i="39" s="1"/>
  <c r="H27" i="39"/>
  <c r="U27" i="39" s="1"/>
  <c r="J19" i="39"/>
  <c r="J17" i="39"/>
  <c r="J27" i="39"/>
  <c r="AC27" i="39"/>
  <c r="F27" i="39"/>
  <c r="S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14" i="35"/>
  <c r="AA14" i="35" s="1"/>
  <c r="F23" i="35"/>
  <c r="J32" i="35"/>
  <c r="AC32" i="35" s="1"/>
  <c r="J16" i="35"/>
  <c r="AC16" i="35" s="1"/>
  <c r="H16" i="35"/>
  <c r="U16" i="35" s="1"/>
  <c r="F16" i="35"/>
  <c r="S16" i="35" s="1"/>
  <c r="H14" i="35"/>
  <c r="AB14" i="35" s="1"/>
  <c r="J29" i="35"/>
  <c r="W29" i="35" s="1"/>
  <c r="H33" i="35"/>
  <c r="J20" i="35"/>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S38"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AA12" i="36"/>
  <c r="AB30" i="36"/>
  <c r="F29" i="35"/>
  <c r="H29" i="35"/>
  <c r="AB29" i="35" s="1"/>
  <c r="H33" i="37"/>
  <c r="F33" i="37"/>
  <c r="AA33" i="37" s="1"/>
  <c r="U34" i="37"/>
  <c r="J43" i="34"/>
  <c r="W43" i="34" s="1"/>
  <c r="AB42" i="34"/>
  <c r="J40" i="34"/>
  <c r="H38" i="34"/>
  <c r="AB38" i="34" s="1"/>
  <c r="J36" i="34"/>
  <c r="H37" i="34"/>
  <c r="U37" i="34" s="1"/>
  <c r="H25" i="34"/>
  <c r="AB25" i="34" s="1"/>
  <c r="J25"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10" i="35"/>
  <c r="AC10" i="35" s="1"/>
  <c r="J14" i="21"/>
  <c r="W14" i="21"/>
  <c r="F14" i="21"/>
  <c r="S14" i="21" s="1"/>
  <c r="H14" i="21"/>
  <c r="U14" i="21"/>
  <c r="H28" i="21"/>
  <c r="AB28" i="21" s="1"/>
  <c r="J28" i="21"/>
  <c r="W28" i="21" s="1"/>
  <c r="H30" i="21"/>
  <c r="J44" i="21"/>
  <c r="AC44" i="21" s="1"/>
  <c r="H44" i="21"/>
  <c r="U44" i="21"/>
  <c r="F44" i="21"/>
  <c r="H46" i="21"/>
  <c r="U46" i="21"/>
  <c r="J46" i="21"/>
  <c r="F46" i="21"/>
  <c r="H28" i="33"/>
  <c r="U28" i="33"/>
  <c r="F28" i="33"/>
  <c r="AA28" i="33"/>
  <c r="J28" i="33"/>
  <c r="W28" i="33"/>
  <c r="F33" i="35"/>
  <c r="AA33" i="35" s="1"/>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AC13" i="21" s="1"/>
  <c r="H29" i="21"/>
  <c r="J31" i="21"/>
  <c r="AC31" i="21" s="1"/>
  <c r="F31" i="21"/>
  <c r="S31" i="21"/>
  <c r="F27" i="33"/>
  <c r="AA27" i="33"/>
  <c r="J13" i="33"/>
  <c r="AC13" i="33" s="1"/>
  <c r="H13" i="33"/>
  <c r="U13" i="33" s="1"/>
  <c r="F13" i="33"/>
  <c r="S13" i="33"/>
  <c r="J29" i="33"/>
  <c r="H29" i="33"/>
  <c r="U29" i="33"/>
  <c r="F29" i="33"/>
  <c r="S29" i="33" s="1"/>
  <c r="J31" i="33"/>
  <c r="H31" i="33"/>
  <c r="F31" i="33"/>
  <c r="H45" i="33"/>
  <c r="J45" i="33"/>
  <c r="W45" i="33" s="1"/>
  <c r="F45" i="33"/>
  <c r="AA45" i="33"/>
  <c r="J14" i="34"/>
  <c r="W14" i="34" s="1"/>
  <c r="F14" i="34"/>
  <c r="S14" i="34" s="1"/>
  <c r="H14" i="34"/>
  <c r="H30" i="34"/>
  <c r="U30" i="34" s="1"/>
  <c r="F30" i="34"/>
  <c r="S30" i="34" s="1"/>
  <c r="J30" i="34"/>
  <c r="H32" i="34"/>
  <c r="AB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H36" i="37"/>
  <c r="AB36" i="37" s="1"/>
  <c r="F107" i="37"/>
  <c r="J37" i="37"/>
  <c r="AC37" i="37" s="1"/>
  <c r="H37" i="37"/>
  <c r="U37" i="37" s="1"/>
  <c r="H40" i="37"/>
  <c r="U40" i="37" s="1"/>
  <c r="J40" i="37"/>
  <c r="W40" i="37" s="1"/>
  <c r="AC40" i="37"/>
  <c r="F40" i="37"/>
  <c r="AA40" i="37" s="1"/>
  <c r="AC12" i="40"/>
  <c r="W12" i="40"/>
  <c r="H14" i="33"/>
  <c r="U14" i="33" s="1"/>
  <c r="F14" i="33"/>
  <c r="S14" i="33"/>
  <c r="J14" i="33"/>
  <c r="H30" i="33"/>
  <c r="F30" i="33"/>
  <c r="J30" i="33"/>
  <c r="H44" i="33"/>
  <c r="U44" i="33" s="1"/>
  <c r="J44" i="33"/>
  <c r="AC44" i="33"/>
  <c r="F44" i="33"/>
  <c r="S44" i="33" s="1"/>
  <c r="J46" i="33"/>
  <c r="F46" i="33"/>
  <c r="AA46" i="33" s="1"/>
  <c r="H46" i="33"/>
  <c r="AB46" i="33"/>
  <c r="H13" i="34"/>
  <c r="U13" i="34" s="1"/>
  <c r="J13" i="34"/>
  <c r="W13" i="34" s="1"/>
  <c r="F13" i="34"/>
  <c r="AA13" i="34" s="1"/>
  <c r="J29" i="34"/>
  <c r="AC29" i="34" s="1"/>
  <c r="F29" i="34"/>
  <c r="S29" i="34" s="1"/>
  <c r="H29" i="34"/>
  <c r="J31" i="34"/>
  <c r="AC31" i="34" s="1"/>
  <c r="H31" i="34"/>
  <c r="F31" i="34"/>
  <c r="S31" i="34" s="1"/>
  <c r="H45" i="34"/>
  <c r="U45" i="34" s="1"/>
  <c r="J45" i="34"/>
  <c r="W45" i="34" s="1"/>
  <c r="H47" i="34"/>
  <c r="U47" i="34"/>
  <c r="F47" i="34"/>
  <c r="J47" i="34"/>
  <c r="AC47" i="34"/>
  <c r="J13" i="35"/>
  <c r="J25" i="35"/>
  <c r="W25" i="35"/>
  <c r="F25" i="35"/>
  <c r="S25" i="35" s="1"/>
  <c r="H25" i="35"/>
  <c r="AB25" i="35" s="1"/>
  <c r="J35" i="35"/>
  <c r="F35" i="35"/>
  <c r="AA35" i="35"/>
  <c r="H35" i="35"/>
  <c r="J25" i="36"/>
  <c r="F25" i="36"/>
  <c r="S25" i="36" s="1"/>
  <c r="H25" i="36"/>
  <c r="AB25" i="36"/>
  <c r="H13" i="37"/>
  <c r="AB13" i="37" s="1"/>
  <c r="F13" i="37"/>
  <c r="S13" i="37"/>
  <c r="J13" i="37"/>
  <c r="W13" i="37" s="1"/>
  <c r="F28" i="37"/>
  <c r="AA28" i="37" s="1"/>
  <c r="J28" i="37"/>
  <c r="AC28" i="37"/>
  <c r="H28" i="37"/>
  <c r="F38" i="37"/>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S13" i="39" s="1"/>
  <c r="J13" i="39"/>
  <c r="W13" i="39" s="1"/>
  <c r="H13" i="39"/>
  <c r="H14" i="40"/>
  <c r="U14" i="40" s="1"/>
  <c r="AB14" i="40"/>
  <c r="F14" i="40"/>
  <c r="AA14" i="40"/>
  <c r="J14" i="37"/>
  <c r="J27" i="37"/>
  <c r="AC27" i="37"/>
  <c r="AA44" i="33"/>
  <c r="U46" i="33"/>
  <c r="AA14" i="33"/>
  <c r="J36" i="37"/>
  <c r="AC36" i="37"/>
  <c r="J10" i="36"/>
  <c r="AC10" i="36" s="1"/>
  <c r="W31" i="34"/>
  <c r="S45" i="33"/>
  <c r="F17" i="21"/>
  <c r="AA17" i="21" s="1"/>
  <c r="H17" i="21"/>
  <c r="AB17" i="21" s="1"/>
  <c r="F15" i="21"/>
  <c r="J41" i="39"/>
  <c r="W41" i="39" s="1"/>
  <c r="W44" i="39"/>
  <c r="U36" i="39"/>
  <c r="G544" i="3"/>
  <c r="G540" i="3"/>
  <c r="G536" i="3"/>
  <c r="G535" i="3"/>
  <c r="G532" i="3"/>
  <c r="G531" i="3"/>
  <c r="G528" i="3"/>
  <c r="G527" i="3"/>
  <c r="G523" i="3"/>
  <c r="G518" i="3"/>
  <c r="G514" i="3"/>
  <c r="G510" i="3"/>
  <c r="G508" i="3"/>
  <c r="G504" i="3"/>
  <c r="G500" i="3"/>
  <c r="G496" i="3"/>
  <c r="G576" i="3"/>
  <c r="G568" i="3"/>
  <c r="G564" i="3"/>
  <c r="G560" i="3"/>
  <c r="G554" i="3"/>
  <c r="G550" i="3"/>
  <c r="BL568" i="3"/>
  <c r="BL564" i="3"/>
  <c r="BL560" i="3"/>
  <c r="BL554" i="3"/>
  <c r="BL546" i="3"/>
  <c r="BL542" i="3"/>
  <c r="BL538" i="3"/>
  <c r="BL534" i="3"/>
  <c r="BL530" i="3"/>
  <c r="BL526" i="3"/>
  <c r="BL522" i="3"/>
  <c r="BL516" i="3"/>
  <c r="BL512" i="3"/>
  <c r="BL506" i="3"/>
  <c r="BL502" i="3"/>
  <c r="AZ502" i="3" s="1"/>
  <c r="BL498" i="3"/>
  <c r="BL494"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2" i="3"/>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79" i="3"/>
  <c r="G577" i="3"/>
  <c r="G573" i="3"/>
  <c r="G571" i="3"/>
  <c r="G569" i="3"/>
  <c r="G567" i="3"/>
  <c r="G565" i="3"/>
  <c r="G563" i="3"/>
  <c r="G561" i="3"/>
  <c r="BL558" i="3"/>
  <c r="BA557" i="3"/>
  <c r="AZ557" i="3" s="1"/>
  <c r="AC557" i="3"/>
  <c r="G557" i="3" s="1"/>
  <c r="BQ557" i="3"/>
  <c r="BL557" i="3" s="1"/>
  <c r="BQ583" i="3"/>
  <c r="BQ581" i="3"/>
  <c r="BQ579" i="3"/>
  <c r="BQ577" i="3"/>
  <c r="BQ575" i="3"/>
  <c r="BQ573" i="3"/>
  <c r="BQ571" i="3"/>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S501" i="31"/>
  <c r="O27" i="31"/>
  <c r="O28" i="31"/>
  <c r="O26" i="31"/>
  <c r="M27" i="31"/>
  <c r="M28" i="31"/>
  <c r="M26" i="31"/>
  <c r="I26" i="31"/>
  <c r="I25" i="31"/>
  <c r="K26" i="31"/>
  <c r="I27" i="31"/>
  <c r="K27" i="31"/>
  <c r="I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F26" i="36"/>
  <c r="S26" i="36" s="1"/>
  <c r="H35" i="34"/>
  <c r="U35" i="34" s="1"/>
  <c r="F41" i="34"/>
  <c r="H41" i="34"/>
  <c r="U41" i="34" s="1"/>
  <c r="J41" i="34"/>
  <c r="AC41" i="34" s="1"/>
  <c r="F10" i="35"/>
  <c r="S10" i="35" s="1"/>
  <c r="F24" i="35"/>
  <c r="H24" i="35"/>
  <c r="AB24" i="35" s="1"/>
  <c r="H23" i="37"/>
  <c r="J32" i="37"/>
  <c r="AC32" i="37"/>
  <c r="F36" i="37"/>
  <c r="AA36" i="37" s="1"/>
  <c r="F37" i="37"/>
  <c r="AA37" i="37"/>
  <c r="F31" i="40"/>
  <c r="H31" i="40"/>
  <c r="U31" i="40"/>
  <c r="F32" i="40"/>
  <c r="S32" i="40" s="1"/>
  <c r="H32" i="40"/>
  <c r="AB32" i="40"/>
  <c r="J36" i="40"/>
  <c r="H19" i="37"/>
  <c r="AB19" i="37" s="1"/>
  <c r="H42" i="33"/>
  <c r="J43" i="33"/>
  <c r="AC43" i="33"/>
  <c r="W23" i="35"/>
  <c r="W47" i="34"/>
  <c r="AA13" i="33"/>
  <c r="AC45" i="33"/>
  <c r="W44" i="33"/>
  <c r="U11" i="33"/>
  <c r="U19" i="21"/>
  <c r="W44" i="21"/>
  <c r="AB38" i="21"/>
  <c r="F43" i="33"/>
  <c r="AA43" i="33" s="1"/>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G94" i="37"/>
  <c r="H94" i="37" s="1"/>
  <c r="I94" i="37" s="1"/>
  <c r="J94" i="37" s="1"/>
  <c r="K94" i="37" s="1"/>
  <c r="L94" i="37" s="1"/>
  <c r="M94" i="37" s="1"/>
  <c r="H31" i="37"/>
  <c r="U31" i="37"/>
  <c r="J15" i="37"/>
  <c r="W15" i="37"/>
  <c r="AT6" i="3"/>
  <c r="AA25" i="21"/>
  <c r="H19" i="40"/>
  <c r="U19" i="40" s="1"/>
  <c r="F88" i="40"/>
  <c r="G88" i="40" s="1"/>
  <c r="F19" i="40"/>
  <c r="S19" i="40" s="1"/>
  <c r="S14" i="40"/>
  <c r="AC13" i="40"/>
  <c r="W23" i="39"/>
  <c r="U45" i="39"/>
  <c r="AB45" i="39"/>
  <c r="AB44" i="39"/>
  <c r="U44"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AZ203" i="3" s="1"/>
  <c r="BL204" i="3"/>
  <c r="AZ204" i="3" s="1"/>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1" i="3"/>
  <c r="AZ269" i="3"/>
  <c r="BA379" i="3"/>
  <c r="AZ379" i="3" s="1"/>
  <c r="BL380" i="3"/>
  <c r="AZ380" i="3" s="1"/>
  <c r="G381" i="3"/>
  <c r="BA383" i="3"/>
  <c r="AZ383" i="3" s="1"/>
  <c r="BL384" i="3"/>
  <c r="G385" i="3"/>
  <c r="BA387" i="3"/>
  <c r="BL388" i="3"/>
  <c r="G389" i="3"/>
  <c r="BA391" i="3"/>
  <c r="AZ391" i="3" s="1"/>
  <c r="BL392" i="3"/>
  <c r="G393" i="3"/>
  <c r="AZ506" i="3"/>
  <c r="G548" i="3"/>
  <c r="G538" i="3"/>
  <c r="G520" i="3"/>
  <c r="G502" i="3"/>
  <c r="G17" i="3"/>
  <c r="BA17" i="3"/>
  <c r="BT5" i="3"/>
  <c r="AZ350" i="3"/>
  <c r="BA15" i="3"/>
  <c r="G509" i="3"/>
  <c r="BL493" i="3"/>
  <c r="AZ493" i="3" s="1"/>
  <c r="U36" i="40"/>
  <c r="F83" i="43"/>
  <c r="H85" i="43" s="1"/>
  <c r="F50" i="43"/>
  <c r="H54" i="43" s="1"/>
  <c r="F72" i="43"/>
  <c r="H75" i="43" s="1"/>
  <c r="U17" i="39"/>
  <c r="U35" i="21"/>
  <c r="AC11" i="39"/>
  <c r="W37"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H20" i="35"/>
  <c r="AB20" i="35" s="1"/>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AZ133"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D93" i="9"/>
  <c r="K6" i="1"/>
  <c r="AP6" i="1" s="1"/>
  <c r="AB33" i="36"/>
  <c r="U33" i="36"/>
  <c r="AC12" i="39"/>
  <c r="W12" i="39"/>
  <c r="AC39" i="40"/>
  <c r="W39" i="40"/>
  <c r="AZ465" i="3"/>
  <c r="W12" i="33"/>
  <c r="AC12" i="33"/>
  <c r="AA32" i="36"/>
  <c r="S32" i="36"/>
  <c r="BL14" i="3"/>
  <c r="AC13" i="34"/>
  <c r="W28" i="37"/>
  <c r="S19" i="39"/>
  <c r="F12" i="33"/>
  <c r="H12" i="39"/>
  <c r="U12" i="39" s="1"/>
  <c r="AB12" i="39"/>
  <c r="F39" i="40"/>
  <c r="BA14" i="3"/>
  <c r="AZ254" i="3"/>
  <c r="B12" i="1"/>
  <c r="E12" i="1" s="1"/>
  <c r="B10" i="1"/>
  <c r="E10" i="1" s="1"/>
  <c r="K12" i="1"/>
  <c r="M12" i="1" s="1"/>
  <c r="S13" i="1"/>
  <c r="AR13" i="1" s="1"/>
  <c r="R13" i="1"/>
  <c r="J51" i="67"/>
  <c r="C42" i="1"/>
  <c r="AC34" i="33"/>
  <c r="B41" i="1"/>
  <c r="M18" i="67" s="1"/>
  <c r="AB37" i="40"/>
  <c r="S35" i="40"/>
  <c r="U35" i="40"/>
  <c r="W38" i="40"/>
  <c r="S17" i="40"/>
  <c r="AC17" i="40"/>
  <c r="AC15" i="40"/>
  <c r="AA19" i="40"/>
  <c r="S28" i="40"/>
  <c r="U21" i="40"/>
  <c r="F32" i="39"/>
  <c r="S32" i="39" s="1"/>
  <c r="U25" i="39"/>
  <c r="AB27" i="39"/>
  <c r="J21" i="39"/>
  <c r="W21" i="39" s="1"/>
  <c r="F21" i="39"/>
  <c r="G94" i="39"/>
  <c r="H21" i="39"/>
  <c r="S17" i="39"/>
  <c r="S15" i="39"/>
  <c r="AA12" i="39"/>
  <c r="S9" i="39"/>
  <c r="U14" i="39"/>
  <c r="AC13" i="39"/>
  <c r="S23" i="36"/>
  <c r="U13" i="36"/>
  <c r="U26" i="36"/>
  <c r="S33" i="36"/>
  <c r="AA26" i="36"/>
  <c r="AC26" i="36"/>
  <c r="AB14" i="36"/>
  <c r="U22" i="36"/>
  <c r="S16" i="36"/>
  <c r="AA25" i="36"/>
  <c r="S24" i="36"/>
  <c r="U24" i="36"/>
  <c r="U23" i="36"/>
  <c r="AB20" i="36"/>
  <c r="U16" i="36"/>
  <c r="S14" i="36"/>
  <c r="AA25" i="35"/>
  <c r="W24" i="35"/>
  <c r="AB27" i="35"/>
  <c r="U36" i="35"/>
  <c r="AB16" i="35"/>
  <c r="U22" i="35"/>
  <c r="AA11" i="35"/>
  <c r="AC9" i="35"/>
  <c r="F9" i="35"/>
  <c r="S9" i="35" s="1"/>
  <c r="H9" i="35"/>
  <c r="U9" i="35" s="1"/>
  <c r="AB40" i="37"/>
  <c r="W27" i="37"/>
  <c r="AC29" i="37"/>
  <c r="U29" i="37"/>
  <c r="S32" i="37"/>
  <c r="AB31" i="37"/>
  <c r="W30" i="37"/>
  <c r="S36" i="37"/>
  <c r="U32" i="37"/>
  <c r="AC35" i="37"/>
  <c r="W39" i="37"/>
  <c r="S30" i="37"/>
  <c r="S37" i="37"/>
  <c r="AC15" i="37"/>
  <c r="J17" i="37"/>
  <c r="W17" i="37"/>
  <c r="F17" i="37"/>
  <c r="AB17" i="37"/>
  <c r="F75" i="37"/>
  <c r="F19" i="37"/>
  <c r="F79" i="37"/>
  <c r="G79" i="37" s="1"/>
  <c r="F23" i="37"/>
  <c r="S23" i="37" s="1"/>
  <c r="U15" i="37"/>
  <c r="AC13" i="37"/>
  <c r="AA13" i="37"/>
  <c r="H10" i="37"/>
  <c r="AB10" i="37" s="1"/>
  <c r="F63" i="37"/>
  <c r="G63" i="37" s="1"/>
  <c r="H63" i="37" s="1"/>
  <c r="I63" i="37" s="1"/>
  <c r="F11" i="37"/>
  <c r="S11" i="37" s="1"/>
  <c r="AA33" i="34"/>
  <c r="AC42" i="34"/>
  <c r="AB35" i="34"/>
  <c r="U39" i="34"/>
  <c r="AA29" i="34"/>
  <c r="U15" i="34"/>
  <c r="S13" i="34"/>
  <c r="H10" i="34"/>
  <c r="AB10" i="34" s="1"/>
  <c r="F11" i="34"/>
  <c r="S11" i="34" s="1"/>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AC17" i="33" s="1"/>
  <c r="F79" i="33"/>
  <c r="G79" i="33" s="1"/>
  <c r="S15" i="33"/>
  <c r="U9" i="33"/>
  <c r="J10" i="33"/>
  <c r="W10" i="33" s="1"/>
  <c r="H10" i="33"/>
  <c r="U10" i="33" s="1"/>
  <c r="AC11" i="33"/>
  <c r="W43" i="21"/>
  <c r="W36" i="21"/>
  <c r="W41" i="21"/>
  <c r="AB39" i="21"/>
  <c r="AA43"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J56" i="9"/>
  <c r="J57" i="9" s="1"/>
  <c r="J59" i="9" s="1"/>
  <c r="J61" i="9" s="1"/>
  <c r="A24" i="51"/>
  <c r="B18" i="72" s="1"/>
  <c r="E32" i="6"/>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U32" i="40"/>
  <c r="AB31" i="40"/>
  <c r="S37" i="40"/>
  <c r="AB28" i="40"/>
  <c r="W28" i="40"/>
  <c r="W34" i="40"/>
  <c r="W19" i="40"/>
  <c r="W27" i="40"/>
  <c r="W37" i="40"/>
  <c r="S13" i="40"/>
  <c r="S33" i="40"/>
  <c r="AA15" i="40"/>
  <c r="U11" i="40"/>
  <c r="AB13" i="40"/>
  <c r="U15" i="40"/>
  <c r="AB17" i="40"/>
  <c r="U8" i="40"/>
  <c r="S8" i="40"/>
  <c r="AA39" i="39"/>
  <c r="AC41" i="39"/>
  <c r="U42" i="39"/>
  <c r="U41" i="39"/>
  <c r="W25" i="39"/>
  <c r="U13" i="39"/>
  <c r="AB13" i="39"/>
  <c r="AA13" i="39"/>
  <c r="S14" i="39"/>
  <c r="AA14" i="39"/>
  <c r="AB11" i="39"/>
  <c r="U11" i="39"/>
  <c r="AA27" i="39"/>
  <c r="W17" i="39"/>
  <c r="AC17" i="39"/>
  <c r="AB39" i="39"/>
  <c r="W34" i="39"/>
  <c r="U38" i="39"/>
  <c r="S8" i="39"/>
  <c r="S20" i="36"/>
  <c r="U32" i="36"/>
  <c r="W29" i="36"/>
  <c r="AC20" i="36"/>
  <c r="U25" i="36"/>
  <c r="AB28" i="36"/>
  <c r="AA13" i="36"/>
  <c r="W9" i="36"/>
  <c r="W22" i="36"/>
  <c r="W23" i="36"/>
  <c r="AC25" i="35"/>
  <c r="U25" i="35"/>
  <c r="U24" i="35"/>
  <c r="S35" i="35"/>
  <c r="AA35" i="37"/>
  <c r="W36" i="37"/>
  <c r="S27" i="37"/>
  <c r="S28" i="37"/>
  <c r="W32" i="37"/>
  <c r="U36" i="37"/>
  <c r="S40" i="37"/>
  <c r="AB37" i="37"/>
  <c r="AC34" i="37"/>
  <c r="AA31" i="37"/>
  <c r="U19" i="37"/>
  <c r="AA29" i="37"/>
  <c r="U8" i="37"/>
  <c r="AC45" i="34"/>
  <c r="AA31" i="34"/>
  <c r="AA30" i="34"/>
  <c r="AB45" i="34"/>
  <c r="AB47" i="34"/>
  <c r="U25" i="34"/>
  <c r="AC14" i="34"/>
  <c r="W46" i="34"/>
  <c r="AC46" i="34"/>
  <c r="AB30" i="34"/>
  <c r="U38" i="34"/>
  <c r="AC40" i="34"/>
  <c r="W40" i="34"/>
  <c r="S46" i="34"/>
  <c r="AA46" i="34"/>
  <c r="W23" i="34"/>
  <c r="AB28" i="33"/>
  <c r="AC37" i="33"/>
  <c r="U39" i="33"/>
  <c r="U38" i="33"/>
  <c r="S33" i="33"/>
  <c r="S30" i="33"/>
  <c r="AA30" i="33"/>
  <c r="AC14" i="33"/>
  <c r="W14" i="33"/>
  <c r="AC30" i="33"/>
  <c r="W30" i="33"/>
  <c r="S31" i="33"/>
  <c r="AA31" i="33"/>
  <c r="W13" i="33"/>
  <c r="U15" i="33"/>
  <c r="S11" i="33"/>
  <c r="U37" i="33"/>
  <c r="AC28" i="33"/>
  <c r="S28" i="33"/>
  <c r="W8" i="33"/>
  <c r="AB42" i="21"/>
  <c r="U28" i="21"/>
  <c r="S45" i="21"/>
  <c r="F33" i="21"/>
  <c r="AA33" i="21" s="1"/>
  <c r="J33" i="21"/>
  <c r="AC33" i="21" s="1"/>
  <c r="H33" i="21"/>
  <c r="AB33" i="21" s="1"/>
  <c r="F37" i="21"/>
  <c r="AA37" i="21" s="1"/>
  <c r="AA26" i="21"/>
  <c r="AB14" i="21"/>
  <c r="AB46" i="21"/>
  <c r="AB31" i="21"/>
  <c r="U31" i="21"/>
  <c r="AC15" i="21"/>
  <c r="U13" i="21"/>
  <c r="AB13" i="21"/>
  <c r="S35" i="21"/>
  <c r="J37" i="21"/>
  <c r="W37" i="21" s="1"/>
  <c r="H15" i="21"/>
  <c r="U15" i="21" s="1"/>
  <c r="J17" i="21"/>
  <c r="W17" i="21" s="1"/>
  <c r="AC19" i="21"/>
  <c r="AC14" i="21"/>
  <c r="H45" i="21"/>
  <c r="U45" i="21" s="1"/>
  <c r="F29" i="21"/>
  <c r="AA29" i="21" s="1"/>
  <c r="F13" i="21"/>
  <c r="AA13" i="21" s="1"/>
  <c r="H32" i="21"/>
  <c r="H9" i="21"/>
  <c r="U9" i="21" s="1"/>
  <c r="J9" i="21"/>
  <c r="AC9" i="21" s="1"/>
  <c r="J32" i="21"/>
  <c r="W32" i="21" s="1"/>
  <c r="F32" i="21"/>
  <c r="AA31" i="21"/>
  <c r="U17" i="21"/>
  <c r="W29" i="21"/>
  <c r="S9" i="21"/>
  <c r="AA9" i="21"/>
  <c r="K141" i="21"/>
  <c r="K144" i="21"/>
  <c r="K143" i="21"/>
  <c r="AB25" i="21"/>
  <c r="AB44" i="21"/>
  <c r="W42" i="21"/>
  <c r="F10" i="21"/>
  <c r="AA10" i="21" s="1"/>
  <c r="K145" i="21"/>
  <c r="W25" i="21"/>
  <c r="W31" i="21"/>
  <c r="S17" i="21"/>
  <c r="AC26" i="21"/>
  <c r="AC34" i="21"/>
  <c r="AB36" i="21"/>
  <c r="W30" i="40"/>
  <c r="C19" i="39"/>
  <c r="C15" i="40"/>
  <c r="C17" i="40"/>
  <c r="C23" i="40"/>
  <c r="C21" i="40"/>
  <c r="U30" i="40"/>
  <c r="B51" i="43"/>
  <c r="B54" i="43"/>
  <c r="B58" i="43"/>
  <c r="B62" i="43"/>
  <c r="B65" i="43"/>
  <c r="B69" i="43"/>
  <c r="D23" i="15"/>
  <c r="D22" i="15"/>
  <c r="E4" i="4"/>
  <c r="B5" i="62" s="1"/>
  <c r="B73" i="72" s="1"/>
  <c r="C4" i="4"/>
  <c r="AA39" i="40"/>
  <c r="S39" i="40"/>
  <c r="S12" i="33"/>
  <c r="AA12" i="33"/>
  <c r="J32" i="39"/>
  <c r="H32" i="39"/>
  <c r="AB32" i="39" s="1"/>
  <c r="AA32" i="39"/>
  <c r="AA21" i="39"/>
  <c r="S21" i="39"/>
  <c r="AC17" i="37"/>
  <c r="J19" i="37"/>
  <c r="W19" i="37" s="1"/>
  <c r="G75" i="37"/>
  <c r="AA23" i="37"/>
  <c r="J23" i="37"/>
  <c r="AC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AC27" i="33" s="1"/>
  <c r="U25" i="33"/>
  <c r="G87" i="33"/>
  <c r="H87" i="33" s="1"/>
  <c r="I87" i="33" s="1"/>
  <c r="J87" i="33" s="1"/>
  <c r="K87" i="33" s="1"/>
  <c r="L87" i="33" s="1"/>
  <c r="M87" i="33" s="1"/>
  <c r="J25" i="33"/>
  <c r="AC25" i="33" s="1"/>
  <c r="AB23" i="33"/>
  <c r="F23" i="33"/>
  <c r="G85" i="33"/>
  <c r="AA19" i="33"/>
  <c r="H19" i="33"/>
  <c r="U19" i="33" s="1"/>
  <c r="H17" i="33"/>
  <c r="U17" i="33" s="1"/>
  <c r="F17" i="33"/>
  <c r="S17" i="33" s="1"/>
  <c r="W17" i="33"/>
  <c r="S37" i="21"/>
  <c r="AA23" i="21"/>
  <c r="AB15" i="21"/>
  <c r="J23" i="21"/>
  <c r="F85" i="21"/>
  <c r="G85" i="21" s="1"/>
  <c r="H23" i="21"/>
  <c r="D6" i="52"/>
  <c r="AP7" i="1"/>
  <c r="AB45" i="21"/>
  <c r="AB9" i="21"/>
  <c r="AA32" i="21"/>
  <c r="S32" i="21"/>
  <c r="AB32" i="21"/>
  <c r="U32" i="21"/>
  <c r="A18" i="62"/>
  <c r="B64" i="72" s="1"/>
  <c r="U32" i="39"/>
  <c r="AC32" i="39"/>
  <c r="W32" i="39"/>
  <c r="J63" i="37"/>
  <c r="K63" i="37" s="1"/>
  <c r="L63" i="37" s="1"/>
  <c r="M63" i="37" s="1"/>
  <c r="J11" i="37"/>
  <c r="AC11" i="37" s="1"/>
  <c r="J11" i="34"/>
  <c r="W11" i="34" s="1"/>
  <c r="AB36" i="33"/>
  <c r="AB19"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5" i="73"/>
  <c r="E11" i="76"/>
  <c r="E13" i="76"/>
  <c r="B12" i="76"/>
  <c r="E12" i="76"/>
  <c r="E2" i="69"/>
  <c r="B11" i="76"/>
  <c r="F3" i="73"/>
  <c r="D6" i="73"/>
  <c r="E7" i="76"/>
  <c r="E2" i="68"/>
  <c r="B9" i="76"/>
  <c r="B8" i="76"/>
  <c r="B7" i="76"/>
  <c r="F6" i="73"/>
  <c r="E8" i="76"/>
  <c r="E10" i="76"/>
  <c r="F7" i="73"/>
  <c r="F4" i="73"/>
  <c r="E9" i="76"/>
  <c r="AO13" i="1"/>
  <c r="B13" i="76"/>
  <c r="F20" i="31"/>
  <c r="C51" i="10" l="1"/>
  <c r="A2" i="82"/>
  <c r="A118" i="82"/>
  <c r="J27" i="34"/>
  <c r="W27" i="34" s="1"/>
  <c r="E90" i="34"/>
  <c r="D18" i="83"/>
  <c r="D18" i="31"/>
  <c r="U28" i="35"/>
  <c r="AC30" i="35"/>
  <c r="U29" i="35"/>
  <c r="AC29" i="35"/>
  <c r="F11" i="1"/>
  <c r="G11" i="1" s="1"/>
  <c r="G44" i="43"/>
  <c r="AC31" i="35"/>
  <c r="S32" i="35"/>
  <c r="U32" i="35"/>
  <c r="S28" i="35"/>
  <c r="W28" i="35"/>
  <c r="U34" i="35"/>
  <c r="AB34" i="35"/>
  <c r="AA36" i="35"/>
  <c r="S27" i="35"/>
  <c r="W16" i="35"/>
  <c r="AA16" i="35"/>
  <c r="S14" i="35"/>
  <c r="AC14" i="35"/>
  <c r="AC18" i="35"/>
  <c r="AA18" i="35"/>
  <c r="U20" i="35"/>
  <c r="S22" i="35"/>
  <c r="W22" i="35"/>
  <c r="U13" i="35"/>
  <c r="AB13" i="35"/>
  <c r="F13" i="35"/>
  <c r="AC15" i="34"/>
  <c r="F44" i="34"/>
  <c r="J44" i="34"/>
  <c r="W44" i="34" s="1"/>
  <c r="AC43" i="34"/>
  <c r="W41" i="34"/>
  <c r="AB36" i="34"/>
  <c r="W35" i="34"/>
  <c r="U43" i="34"/>
  <c r="S35" i="34"/>
  <c r="AB41" i="34"/>
  <c r="AB40" i="34"/>
  <c r="AC39" i="34"/>
  <c r="S36" i="34"/>
  <c r="U34" i="34"/>
  <c r="AA25" i="34"/>
  <c r="S23" i="34"/>
  <c r="U21" i="34"/>
  <c r="U19" i="34"/>
  <c r="S19" i="34"/>
  <c r="W19" i="34"/>
  <c r="S17" i="34"/>
  <c r="W8" i="34"/>
  <c r="U9" i="34"/>
  <c r="AB8" i="34"/>
  <c r="S8" i="34"/>
  <c r="S45" i="34"/>
  <c r="AA45" i="34"/>
  <c r="AA28" i="34"/>
  <c r="S28" i="34"/>
  <c r="S32" i="34"/>
  <c r="AA32" i="34"/>
  <c r="J28" i="34"/>
  <c r="U32" i="34"/>
  <c r="W29" i="34"/>
  <c r="H28" i="34"/>
  <c r="J32" i="34"/>
  <c r="AA14" i="34"/>
  <c r="D68" i="9"/>
  <c r="F30" i="69"/>
  <c r="F48" i="69" s="1"/>
  <c r="F31" i="12"/>
  <c r="F28" i="15"/>
  <c r="F32" i="67"/>
  <c r="F60" i="67" s="1"/>
  <c r="F28" i="67"/>
  <c r="C24" i="12"/>
  <c r="C33" i="81"/>
  <c r="C61" i="81"/>
  <c r="J19" i="81"/>
  <c r="F48" i="9"/>
  <c r="O52" i="9" s="1"/>
  <c r="F28" i="81"/>
  <c r="C28" i="81" s="1"/>
  <c r="M18" i="81"/>
  <c r="J18" i="81" s="1"/>
  <c r="F32" i="81"/>
  <c r="M18" i="15"/>
  <c r="F30" i="11"/>
  <c r="C48" i="11" s="1"/>
  <c r="F54" i="9"/>
  <c r="F32" i="15"/>
  <c r="F60" i="15" s="1"/>
  <c r="F52" i="9"/>
  <c r="F30" i="68"/>
  <c r="F48" i="68" s="1"/>
  <c r="C40" i="68"/>
  <c r="C21" i="68"/>
  <c r="G22" i="69"/>
  <c r="F34" i="68"/>
  <c r="C36" i="68" s="1"/>
  <c r="M59" i="81"/>
  <c r="G22" i="11"/>
  <c r="E1" i="73"/>
  <c r="G26" i="12"/>
  <c r="F3" i="35"/>
  <c r="G1" i="69"/>
  <c r="G1" i="15"/>
  <c r="K1" i="12"/>
  <c r="G1" i="67"/>
  <c r="G1" i="68"/>
  <c r="BL13" i="3"/>
  <c r="B67" i="43"/>
  <c r="B56" i="43"/>
  <c r="C29" i="39"/>
  <c r="B57" i="43"/>
  <c r="B77" i="43"/>
  <c r="U33" i="34"/>
  <c r="AB33" i="34"/>
  <c r="W25" i="36"/>
  <c r="AC25" i="36"/>
  <c r="BL580" i="3"/>
  <c r="BA580" i="3"/>
  <c r="AZ580" i="3" s="1"/>
  <c r="BF5" i="3"/>
  <c r="BB5" i="3"/>
  <c r="BA576" i="3"/>
  <c r="BH5" i="3"/>
  <c r="BA572" i="3"/>
  <c r="BL570" i="3"/>
  <c r="BP5" i="3"/>
  <c r="G29" i="6" s="1"/>
  <c r="W25" i="33"/>
  <c r="AA20" i="35"/>
  <c r="S20" i="35"/>
  <c r="AA44" i="34"/>
  <c r="S44" i="34"/>
  <c r="AA41" i="33"/>
  <c r="S41" i="33"/>
  <c r="U34" i="39"/>
  <c r="AB34" i="39"/>
  <c r="AB26" i="37"/>
  <c r="U26" i="37"/>
  <c r="BA579" i="3"/>
  <c r="AZ579" i="3" s="1"/>
  <c r="BA578" i="3"/>
  <c r="BA577" i="3"/>
  <c r="BS5" i="3"/>
  <c r="BL575" i="3"/>
  <c r="AZ575" i="3" s="1"/>
  <c r="H5" i="3"/>
  <c r="BA571" i="3"/>
  <c r="AZ571" i="3" s="1"/>
  <c r="BC5" i="3"/>
  <c r="E10" i="6" s="1"/>
  <c r="BA570" i="3"/>
  <c r="AZ570" i="3" s="1"/>
  <c r="AB21" i="39"/>
  <c r="U21" i="39"/>
  <c r="W36" i="40"/>
  <c r="AC36" i="40"/>
  <c r="W31" i="33"/>
  <c r="AC31" i="33"/>
  <c r="AA23" i="40"/>
  <c r="S23" i="40"/>
  <c r="W20" i="35"/>
  <c r="AC20" i="35"/>
  <c r="AC19" i="39"/>
  <c r="W19" i="39"/>
  <c r="AC23" i="40"/>
  <c r="W23" i="40"/>
  <c r="AB19" i="39"/>
  <c r="U19" i="39"/>
  <c r="AA39" i="21"/>
  <c r="S39" i="21"/>
  <c r="AB43" i="21"/>
  <c r="U43" i="21"/>
  <c r="W38" i="21"/>
  <c r="AC38" i="21"/>
  <c r="AA19" i="21"/>
  <c r="S19" i="21"/>
  <c r="B101" i="43"/>
  <c r="B79" i="43"/>
  <c r="AA40" i="33"/>
  <c r="S40" i="33"/>
  <c r="S34" i="37"/>
  <c r="AA34" i="37"/>
  <c r="AA31" i="35"/>
  <c r="S31" i="35"/>
  <c r="F35" i="39"/>
  <c r="H35" i="39"/>
  <c r="BL584" i="3"/>
  <c r="BA584" i="3"/>
  <c r="BL582" i="3"/>
  <c r="AZ582" i="3" s="1"/>
  <c r="AA24" i="35"/>
  <c r="S24" i="35"/>
  <c r="S14" i="37"/>
  <c r="AA14" i="37"/>
  <c r="S38" i="37"/>
  <c r="AA38" i="37"/>
  <c r="AC35" i="35"/>
  <c r="W35" i="35"/>
  <c r="AB30" i="33"/>
  <c r="U30" i="33"/>
  <c r="H38" i="37"/>
  <c r="J38" i="37"/>
  <c r="BO5" i="3"/>
  <c r="BR5" i="3"/>
  <c r="G28" i="6" s="1"/>
  <c r="BA573" i="3"/>
  <c r="BL572" i="3"/>
  <c r="BG5" i="3"/>
  <c r="AA17" i="33"/>
  <c r="W27" i="33"/>
  <c r="S13" i="21"/>
  <c r="S19" i="37"/>
  <c r="AA19" i="37"/>
  <c r="U14" i="35"/>
  <c r="AA34" i="36"/>
  <c r="AZ327" i="3"/>
  <c r="AB23" i="37"/>
  <c r="U23" i="37"/>
  <c r="AZ513" i="3"/>
  <c r="G572" i="3"/>
  <c r="U33" i="40"/>
  <c r="AB33" i="40"/>
  <c r="AC46" i="33"/>
  <c r="W46" i="33"/>
  <c r="W9" i="21"/>
  <c r="AA25" i="33"/>
  <c r="W13" i="21"/>
  <c r="AC17" i="21"/>
  <c r="AB44" i="33"/>
  <c r="AA45" i="39"/>
  <c r="S36" i="40"/>
  <c r="S43" i="33"/>
  <c r="AA36" i="33"/>
  <c r="S36" i="33"/>
  <c r="AA32" i="40"/>
  <c r="BD5" i="3"/>
  <c r="G521" i="3"/>
  <c r="AC5" i="3"/>
  <c r="BL577" i="3"/>
  <c r="AZ577" i="3" s="1"/>
  <c r="AZ497" i="3"/>
  <c r="AZ522" i="3"/>
  <c r="AZ560" i="3"/>
  <c r="AB29" i="34"/>
  <c r="U29" i="34"/>
  <c r="U45" i="33"/>
  <c r="AB45" i="33"/>
  <c r="AA46" i="21"/>
  <c r="S46" i="21"/>
  <c r="AA44" i="21"/>
  <c r="S44" i="21"/>
  <c r="W36" i="34"/>
  <c r="AC36" i="34"/>
  <c r="AC15" i="33"/>
  <c r="W15" i="33"/>
  <c r="U23" i="34"/>
  <c r="AB23" i="34"/>
  <c r="AA37" i="34"/>
  <c r="S37" i="34"/>
  <c r="W21" i="40"/>
  <c r="AC21" i="40"/>
  <c r="AC39" i="21"/>
  <c r="W39" i="21"/>
  <c r="J27" i="21"/>
  <c r="H27" i="21"/>
  <c r="F27" i="21"/>
  <c r="F30" i="21"/>
  <c r="J30" i="21"/>
  <c r="W45" i="21"/>
  <c r="AC45" i="21"/>
  <c r="J26" i="33"/>
  <c r="F26" i="33"/>
  <c r="H26" i="33"/>
  <c r="J43" i="39"/>
  <c r="F43" i="39"/>
  <c r="H43" i="39"/>
  <c r="J37" i="39"/>
  <c r="F37" i="39"/>
  <c r="H37" i="39"/>
  <c r="AA38" i="39"/>
  <c r="S38" i="39"/>
  <c r="W14" i="40"/>
  <c r="AC14" i="40"/>
  <c r="AA17" i="37"/>
  <c r="S17" i="37"/>
  <c r="U35" i="37"/>
  <c r="AB35" i="37"/>
  <c r="S22" i="36"/>
  <c r="AA22" i="36"/>
  <c r="BA587" i="3"/>
  <c r="AZ587" i="3" s="1"/>
  <c r="BA585" i="3"/>
  <c r="BL581" i="3"/>
  <c r="BA581" i="3"/>
  <c r="BJ5" i="3"/>
  <c r="BK5" i="3"/>
  <c r="W23" i="37"/>
  <c r="AB14" i="33"/>
  <c r="AB19" i="40"/>
  <c r="AA23" i="39"/>
  <c r="S23" i="39"/>
  <c r="AA43" i="34"/>
  <c r="S43" i="34"/>
  <c r="S35" i="33"/>
  <c r="AA35" i="33"/>
  <c r="AC17" i="34"/>
  <c r="BE5" i="3"/>
  <c r="BM5" i="3"/>
  <c r="F29" i="6" s="1"/>
  <c r="AZ306" i="3"/>
  <c r="AB42" i="33"/>
  <c r="U42" i="33"/>
  <c r="AA31" i="40"/>
  <c r="S31" i="40"/>
  <c r="BL576" i="3"/>
  <c r="S15" i="21"/>
  <c r="AA15" i="21"/>
  <c r="S12" i="40"/>
  <c r="AA12" i="40"/>
  <c r="AC13" i="35"/>
  <c r="W13" i="35"/>
  <c r="S47" i="34"/>
  <c r="AA47" i="34"/>
  <c r="U46" i="34"/>
  <c r="AB46" i="34"/>
  <c r="U14" i="34"/>
  <c r="AB14" i="34"/>
  <c r="U29" i="21"/>
  <c r="AB29" i="21"/>
  <c r="AC14" i="36"/>
  <c r="W14" i="36"/>
  <c r="U30" i="21"/>
  <c r="AB30" i="21"/>
  <c r="AC25" i="34"/>
  <c r="W25" i="34"/>
  <c r="S29" i="35"/>
  <c r="AA29" i="35"/>
  <c r="U17" i="34"/>
  <c r="AB17" i="34"/>
  <c r="AA23" i="35"/>
  <c r="S23" i="35"/>
  <c r="AB40" i="21"/>
  <c r="U40" i="21"/>
  <c r="W35" i="21"/>
  <c r="AC35" i="21"/>
  <c r="AA28" i="21"/>
  <c r="S28" i="21"/>
  <c r="AB33" i="33"/>
  <c r="U33" i="33"/>
  <c r="F9" i="33"/>
  <c r="AA9" i="33" s="1"/>
  <c r="J9" i="33"/>
  <c r="U12" i="34"/>
  <c r="AB12" i="34"/>
  <c r="F9" i="34"/>
  <c r="AA9" i="34" s="1"/>
  <c r="J9" i="34"/>
  <c r="AB34" i="36"/>
  <c r="U34" i="36"/>
  <c r="H31" i="39"/>
  <c r="J31" i="39"/>
  <c r="F31" i="39"/>
  <c r="AZ328" i="3"/>
  <c r="AZ313" i="3"/>
  <c r="AZ394" i="3"/>
  <c r="AZ531" i="3"/>
  <c r="BL573" i="3"/>
  <c r="AZ573" i="3" s="1"/>
  <c r="BL583" i="3"/>
  <c r="AZ583" i="3" s="1"/>
  <c r="G587" i="3"/>
  <c r="W33" i="34"/>
  <c r="AA40" i="34"/>
  <c r="AZ14" i="3"/>
  <c r="AZ388" i="3"/>
  <c r="AZ345" i="3"/>
  <c r="AZ334" i="3"/>
  <c r="AZ372" i="3"/>
  <c r="AZ337" i="3"/>
  <c r="AZ183" i="3"/>
  <c r="AZ376" i="3"/>
  <c r="AZ309" i="3"/>
  <c r="AC12" i="37"/>
  <c r="AZ515" i="3"/>
  <c r="AZ523" i="3"/>
  <c r="AZ533" i="3"/>
  <c r="AZ547" i="3"/>
  <c r="AZ561" i="3"/>
  <c r="AZ569" i="3"/>
  <c r="AZ524" i="3"/>
  <c r="AC28" i="21"/>
  <c r="J34" i="36"/>
  <c r="W34" i="36" s="1"/>
  <c r="U38" i="40"/>
  <c r="H39" i="37"/>
  <c r="BL585" i="3"/>
  <c r="H25" i="37"/>
  <c r="F25" i="37"/>
  <c r="G551" i="3"/>
  <c r="BL550" i="3"/>
  <c r="G542" i="3"/>
  <c r="AB34" i="33"/>
  <c r="AA34" i="33"/>
  <c r="AZ387" i="3"/>
  <c r="AZ366" i="3"/>
  <c r="AZ362" i="3"/>
  <c r="AZ338" i="3"/>
  <c r="AZ390" i="3"/>
  <c r="AZ371" i="3"/>
  <c r="AZ351" i="3"/>
  <c r="AZ336" i="3"/>
  <c r="AZ305" i="3"/>
  <c r="AZ360" i="3"/>
  <c r="AZ539" i="3"/>
  <c r="AZ529" i="3"/>
  <c r="AZ537" i="3"/>
  <c r="AZ518" i="3"/>
  <c r="AZ526" i="3"/>
  <c r="AZ546" i="3"/>
  <c r="AZ564" i="3"/>
  <c r="S11" i="36"/>
  <c r="F12" i="34"/>
  <c r="S12" i="34" s="1"/>
  <c r="F44" i="39"/>
  <c r="G570" i="3"/>
  <c r="J12" i="35"/>
  <c r="BA551" i="3"/>
  <c r="AZ551" i="3" s="1"/>
  <c r="BA550" i="3"/>
  <c r="BL548" i="3"/>
  <c r="AZ548" i="3" s="1"/>
  <c r="AZ451" i="3"/>
  <c r="AZ458" i="3"/>
  <c r="AZ52" i="3"/>
  <c r="AB34" i="71"/>
  <c r="AB32" i="71"/>
  <c r="AA38" i="71"/>
  <c r="AA37" i="71"/>
  <c r="AA35" i="71"/>
  <c r="AA28" i="71"/>
  <c r="C47" i="71"/>
  <c r="D47" i="71" s="1"/>
  <c r="D46" i="71"/>
  <c r="D50" i="71"/>
  <c r="C51" i="71"/>
  <c r="C55" i="71"/>
  <c r="D54" i="71"/>
  <c r="N67" i="71"/>
  <c r="B66" i="71"/>
  <c r="C67" i="71"/>
  <c r="T68" i="71"/>
  <c r="O68" i="71"/>
  <c r="D68" i="71"/>
  <c r="T76" i="71"/>
  <c r="D76" i="71"/>
  <c r="C75" i="71"/>
  <c r="S80" i="71"/>
  <c r="B79" i="71"/>
  <c r="B78" i="71" s="1"/>
  <c r="Y27" i="71"/>
  <c r="Z27" i="71" s="1"/>
  <c r="Y26" i="71"/>
  <c r="Z26" i="71" s="1"/>
  <c r="Y25" i="71"/>
  <c r="Z25" i="71" s="1"/>
  <c r="AA3" i="71"/>
  <c r="BL398" i="3"/>
  <c r="G402" i="3"/>
  <c r="BL403" i="3"/>
  <c r="G406" i="3"/>
  <c r="BA408" i="3"/>
  <c r="AZ408" i="3" s="1"/>
  <c r="BA409" i="3"/>
  <c r="AZ409" i="3" s="1"/>
  <c r="BA411" i="3"/>
  <c r="AZ411" i="3" s="1"/>
  <c r="BL414" i="3"/>
  <c r="BL415" i="3"/>
  <c r="BA417" i="3"/>
  <c r="AZ417" i="3" s="1"/>
  <c r="BA428" i="3"/>
  <c r="AZ428" i="3" s="1"/>
  <c r="BA429" i="3"/>
  <c r="AZ429" i="3" s="1"/>
  <c r="BA430" i="3"/>
  <c r="AZ430" i="3" s="1"/>
  <c r="BA433" i="3"/>
  <c r="AZ433" i="3" s="1"/>
  <c r="BA438" i="3"/>
  <c r="G443" i="3"/>
  <c r="BL444" i="3"/>
  <c r="G447" i="3"/>
  <c r="BL457" i="3"/>
  <c r="BA459" i="3"/>
  <c r="AZ459" i="3" s="1"/>
  <c r="BA460" i="3"/>
  <c r="AZ460" i="3" s="1"/>
  <c r="BA461" i="3"/>
  <c r="AZ461" i="3" s="1"/>
  <c r="AZ469" i="3"/>
  <c r="AZ487" i="3"/>
  <c r="BA288" i="3"/>
  <c r="BL298" i="3"/>
  <c r="AZ301" i="3"/>
  <c r="BL15" i="3"/>
  <c r="AZ15" i="3" s="1"/>
  <c r="BA398" i="3"/>
  <c r="AZ398" i="3" s="1"/>
  <c r="BA399" i="3"/>
  <c r="AZ399" i="3" s="1"/>
  <c r="BL401" i="3"/>
  <c r="BL404" i="3"/>
  <c r="BL405" i="3"/>
  <c r="BL407" i="3"/>
  <c r="AZ407" i="3" s="1"/>
  <c r="BA412" i="3"/>
  <c r="AZ412" i="3" s="1"/>
  <c r="BA414" i="3"/>
  <c r="BA415" i="3"/>
  <c r="AZ415" i="3" s="1"/>
  <c r="BA416" i="3"/>
  <c r="AZ416" i="3" s="1"/>
  <c r="BA418" i="3"/>
  <c r="AZ418" i="3" s="1"/>
  <c r="BL420" i="3"/>
  <c r="BL425" i="3"/>
  <c r="BL426" i="3"/>
  <c r="BA436" i="3"/>
  <c r="BL437" i="3"/>
  <c r="AZ437" i="3" s="1"/>
  <c r="G440" i="3"/>
  <c r="BL441" i="3"/>
  <c r="BL442" i="3"/>
  <c r="BA448" i="3"/>
  <c r="AZ448" i="3" s="1"/>
  <c r="BA449" i="3"/>
  <c r="BA453" i="3"/>
  <c r="AZ453" i="3" s="1"/>
  <c r="BA455" i="3"/>
  <c r="AZ455" i="3" s="1"/>
  <c r="BA457" i="3"/>
  <c r="BL462" i="3"/>
  <c r="AZ462" i="3" s="1"/>
  <c r="BA486" i="3"/>
  <c r="BL316" i="3"/>
  <c r="BL324" i="3"/>
  <c r="AZ324" i="3" s="1"/>
  <c r="BL328" i="3"/>
  <c r="BL340" i="3"/>
  <c r="AZ340" i="3" s="1"/>
  <c r="BL346" i="3"/>
  <c r="AZ346" i="3" s="1"/>
  <c r="BA366" i="3"/>
  <c r="BA392" i="3"/>
  <c r="AZ392" i="3" s="1"/>
  <c r="BL219" i="3"/>
  <c r="BL230" i="3"/>
  <c r="BL259" i="3"/>
  <c r="BL280" i="3"/>
  <c r="BA286" i="3"/>
  <c r="AZ286" i="3" s="1"/>
  <c r="AC21" i="21"/>
  <c r="W21" i="21"/>
  <c r="F40" i="69"/>
  <c r="C40" i="69"/>
  <c r="AB21" i="37"/>
  <c r="U21" i="37"/>
  <c r="G574" i="3"/>
  <c r="BL16" i="3"/>
  <c r="AZ16" i="3" s="1"/>
  <c r="BA401" i="3"/>
  <c r="BA403" i="3"/>
  <c r="AZ403" i="3" s="1"/>
  <c r="BA404" i="3"/>
  <c r="AZ404" i="3" s="1"/>
  <c r="BA405" i="3"/>
  <c r="G409" i="3"/>
  <c r="BL410" i="3"/>
  <c r="G412" i="3"/>
  <c r="G418" i="3"/>
  <c r="BA419" i="3"/>
  <c r="AZ419" i="3" s="1"/>
  <c r="BL421" i="3"/>
  <c r="AZ421" i="3" s="1"/>
  <c r="BL422" i="3"/>
  <c r="BA425" i="3"/>
  <c r="BA426" i="3"/>
  <c r="BA427" i="3"/>
  <c r="AZ427" i="3" s="1"/>
  <c r="G432" i="3"/>
  <c r="BL432" i="3"/>
  <c r="AZ432" i="3" s="1"/>
  <c r="BA434" i="3"/>
  <c r="BA435" i="3"/>
  <c r="AZ435" i="3" s="1"/>
  <c r="BA444" i="3"/>
  <c r="AZ444" i="3" s="1"/>
  <c r="BA445" i="3"/>
  <c r="BA447" i="3"/>
  <c r="AZ447" i="3" s="1"/>
  <c r="BA450" i="3"/>
  <c r="BA454" i="3"/>
  <c r="AZ454" i="3" s="1"/>
  <c r="BL458" i="3"/>
  <c r="BL459" i="3"/>
  <c r="G461" i="3"/>
  <c r="BL464" i="3"/>
  <c r="BA466" i="3"/>
  <c r="AZ466" i="3" s="1"/>
  <c r="BA467" i="3"/>
  <c r="BA468" i="3"/>
  <c r="BA476" i="3"/>
  <c r="AZ476" i="3" s="1"/>
  <c r="BA477" i="3"/>
  <c r="BA478" i="3"/>
  <c r="BL480" i="3"/>
  <c r="AZ480" i="3" s="1"/>
  <c r="BA483" i="3"/>
  <c r="BL483" i="3"/>
  <c r="BA488" i="3"/>
  <c r="AZ488" i="3" s="1"/>
  <c r="BL489" i="3"/>
  <c r="BL491" i="3"/>
  <c r="AZ491" i="3" s="1"/>
  <c r="BL492" i="3"/>
  <c r="BA315" i="3"/>
  <c r="AZ315" i="3" s="1"/>
  <c r="BA333" i="3"/>
  <c r="BA354" i="3"/>
  <c r="AZ228" i="3"/>
  <c r="AZ125" i="3"/>
  <c r="AZ70"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BA396" i="3"/>
  <c r="BA209" i="3"/>
  <c r="BL217" i="3"/>
  <c r="AZ217" i="3" s="1"/>
  <c r="BA219" i="3"/>
  <c r="BA221" i="3"/>
  <c r="BA223" i="3"/>
  <c r="AZ223" i="3" s="1"/>
  <c r="BL228" i="3"/>
  <c r="BA230" i="3"/>
  <c r="BL232" i="3"/>
  <c r="BL234" i="3"/>
  <c r="BA236" i="3"/>
  <c r="BA238" i="3"/>
  <c r="BA243" i="3"/>
  <c r="BL248" i="3"/>
  <c r="AZ248" i="3" s="1"/>
  <c r="G250" i="3"/>
  <c r="BL250" i="3"/>
  <c r="AZ250" i="3" s="1"/>
  <c r="G252" i="3"/>
  <c r="G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BL301" i="3"/>
  <c r="BL302" i="3"/>
  <c r="BA114" i="3"/>
  <c r="BA122" i="3"/>
  <c r="AZ122" i="3" s="1"/>
  <c r="G123" i="3"/>
  <c r="BA124" i="3"/>
  <c r="AZ124" i="3" s="1"/>
  <c r="BA128" i="3"/>
  <c r="AZ128" i="3" s="1"/>
  <c r="BA150" i="3"/>
  <c r="BA25" i="3"/>
  <c r="BL57" i="3"/>
  <c r="AZ57" i="3" s="1"/>
  <c r="G59" i="3"/>
  <c r="BL70" i="3"/>
  <c r="BL71" i="3"/>
  <c r="AZ71" i="3" s="1"/>
  <c r="B27" i="71"/>
  <c r="B26" i="71" s="1"/>
  <c r="S28" i="71"/>
  <c r="Y30" i="71"/>
  <c r="Z3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L260" i="3"/>
  <c r="BL263" i="3"/>
  <c r="AZ263" i="3" s="1"/>
  <c r="BL275" i="3"/>
  <c r="AZ275" i="3" s="1"/>
  <c r="BL285" i="3"/>
  <c r="BL287" i="3"/>
  <c r="AZ294" i="3"/>
  <c r="BL299" i="3"/>
  <c r="BL113" i="3"/>
  <c r="BL115" i="3"/>
  <c r="AZ115" i="3" s="1"/>
  <c r="BA118" i="3"/>
  <c r="AZ118" i="3" s="1"/>
  <c r="BL118" i="3"/>
  <c r="BL139" i="3"/>
  <c r="AZ139" i="3" s="1"/>
  <c r="G140" i="3"/>
  <c r="BL141" i="3"/>
  <c r="BL143" i="3"/>
  <c r="AZ143" i="3" s="1"/>
  <c r="G146" i="3"/>
  <c r="BL161" i="3"/>
  <c r="G167" i="3"/>
  <c r="BL186" i="3"/>
  <c r="G195" i="3"/>
  <c r="BA196" i="3"/>
  <c r="AZ196" i="3" s="1"/>
  <c r="G203" i="3"/>
  <c r="BA205" i="3"/>
  <c r="AZ205" i="3" s="1"/>
  <c r="BA18" i="3"/>
  <c r="G21" i="3"/>
  <c r="BL21" i="3"/>
  <c r="AZ21" i="3" s="1"/>
  <c r="G31" i="3"/>
  <c r="G41" i="3"/>
  <c r="BL52" i="3"/>
  <c r="G53" i="3"/>
  <c r="BL53" i="3"/>
  <c r="AZ53" i="3" s="1"/>
  <c r="BA65" i="3"/>
  <c r="AZ65" i="3" s="1"/>
  <c r="BA66" i="3"/>
  <c r="AZ66" i="3" s="1"/>
  <c r="BL67" i="3"/>
  <c r="AZ67" i="3" s="1"/>
  <c r="BL76" i="3"/>
  <c r="BL82" i="3"/>
  <c r="AZ82" i="3" s="1"/>
  <c r="AB25" i="71"/>
  <c r="AB28" i="71"/>
  <c r="AB26" i="71"/>
  <c r="AB27" i="71"/>
  <c r="G419" i="3"/>
  <c r="BA422" i="3"/>
  <c r="AZ422" i="3" s="1"/>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A270" i="3"/>
  <c r="BA271" i="3"/>
  <c r="BL271" i="3"/>
  <c r="BL289" i="3"/>
  <c r="G290" i="3"/>
  <c r="BL292" i="3"/>
  <c r="BA126" i="3"/>
  <c r="AZ126" i="3" s="1"/>
  <c r="BA134" i="3"/>
  <c r="BL154" i="3"/>
  <c r="G156" i="3"/>
  <c r="BL157" i="3"/>
  <c r="AZ157" i="3" s="1"/>
  <c r="BL159" i="3"/>
  <c r="AZ159" i="3" s="1"/>
  <c r="G160" i="3"/>
  <c r="BL166" i="3"/>
  <c r="BL177" i="3"/>
  <c r="AZ177" i="3" s="1"/>
  <c r="G179" i="3"/>
  <c r="BL183" i="3"/>
  <c r="BA186" i="3"/>
  <c r="BA190" i="3"/>
  <c r="BA207" i="3"/>
  <c r="G29" i="3"/>
  <c r="BL29" i="3"/>
  <c r="AZ29" i="3" s="1"/>
  <c r="BL35" i="3"/>
  <c r="BA37" i="3"/>
  <c r="G39" i="3"/>
  <c r="BL39" i="3"/>
  <c r="AZ39" i="3" s="1"/>
  <c r="BA47" i="3"/>
  <c r="AZ47" i="3" s="1"/>
  <c r="BL49" i="3"/>
  <c r="BL50" i="3"/>
  <c r="AZ50" i="3" s="1"/>
  <c r="BL51" i="3"/>
  <c r="BA62" i="3"/>
  <c r="AZ62" i="3" s="1"/>
  <c r="BA63" i="3"/>
  <c r="AZ63" i="3" s="1"/>
  <c r="BA72" i="3"/>
  <c r="AZ72" i="3" s="1"/>
  <c r="G76" i="3"/>
  <c r="T32" i="71"/>
  <c r="D32"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U21" i="33"/>
  <c r="AB21" i="33"/>
  <c r="C86" i="71"/>
  <c r="D86" i="71" s="1"/>
  <c r="D87" i="71"/>
  <c r="T28" i="71"/>
  <c r="D28" i="71"/>
  <c r="U28" i="71" s="1"/>
  <c r="C27" i="71"/>
  <c r="X33" i="71"/>
  <c r="X31" i="71"/>
  <c r="X34" i="71"/>
  <c r="X36" i="71"/>
  <c r="X35" i="71"/>
  <c r="AB37" i="71"/>
  <c r="AB35" i="71"/>
  <c r="F38" i="71"/>
  <c r="F39" i="71" s="1"/>
  <c r="F40" i="71" s="1"/>
  <c r="V40" i="71" s="1"/>
  <c r="C23" i="71"/>
  <c r="B22" i="71"/>
  <c r="B21" i="71" s="1"/>
  <c r="B20" i="71" s="1"/>
  <c r="BL264" i="3"/>
  <c r="BL266" i="3"/>
  <c r="BA268" i="3"/>
  <c r="BL273" i="3"/>
  <c r="AZ273" i="3" s="1"/>
  <c r="G274" i="3"/>
  <c r="BA277" i="3"/>
  <c r="BL277" i="3"/>
  <c r="BA282" i="3"/>
  <c r="AZ282" i="3" s="1"/>
  <c r="BL282" i="3"/>
  <c r="BA284" i="3"/>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A51" i="3"/>
  <c r="AZ51" i="3" s="1"/>
  <c r="G54" i="3"/>
  <c r="G55" i="3"/>
  <c r="BL56" i="3"/>
  <c r="BA58" i="3"/>
  <c r="AZ58" i="3" s="1"/>
  <c r="BL59" i="3"/>
  <c r="BL60" i="3"/>
  <c r="BA61" i="3"/>
  <c r="BA68" i="3"/>
  <c r="BA73" i="3"/>
  <c r="BA80" i="3"/>
  <c r="BL84" i="3"/>
  <c r="BA91" i="3"/>
  <c r="AZ91" i="3" s="1"/>
  <c r="G95" i="3"/>
  <c r="G96" i="3"/>
  <c r="P65" i="71"/>
  <c r="P66" i="71"/>
  <c r="Y35" i="71"/>
  <c r="Z35" i="71" s="1"/>
  <c r="C63" i="71"/>
  <c r="BL77" i="3"/>
  <c r="AZ77" i="3" s="1"/>
  <c r="BA79" i="3"/>
  <c r="AZ79" i="3" s="1"/>
  <c r="G82" i="3"/>
  <c r="G83" i="3"/>
  <c r="BL86" i="3"/>
  <c r="AZ86" i="3" s="1"/>
  <c r="BA88" i="3"/>
  <c r="BL93" i="3"/>
  <c r="BA109" i="3"/>
  <c r="C35" i="71"/>
  <c r="E39" i="71"/>
  <c r="E40" i="71" s="1"/>
  <c r="U40" i="71" s="1"/>
  <c r="Y37" i="71"/>
  <c r="Z37" i="71" s="1"/>
  <c r="X25" i="71"/>
  <c r="V24" i="71"/>
  <c r="E23" i="71"/>
  <c r="E22" i="71" s="1"/>
  <c r="E21" i="71" s="1"/>
  <c r="E20" i="71" s="1"/>
  <c r="E19" i="71" s="1"/>
  <c r="E18" i="71" s="1"/>
  <c r="E17" i="71" s="1"/>
  <c r="E16" i="71" s="1"/>
  <c r="G103" i="3"/>
  <c r="BA103" i="3"/>
  <c r="AZ103" i="3" s="1"/>
  <c r="BA104" i="3"/>
  <c r="BA106" i="3"/>
  <c r="BL108" i="3"/>
  <c r="AZ108" i="3" s="1"/>
  <c r="BL111" i="3"/>
  <c r="AA27" i="71"/>
  <c r="C39" i="71"/>
  <c r="Y28" i="71"/>
  <c r="Z28" i="71" s="1"/>
  <c r="X28" i="71"/>
  <c r="X32" i="71"/>
  <c r="BA84" i="3"/>
  <c r="AZ84" i="3" s="1"/>
  <c r="BL88" i="3"/>
  <c r="BL90" i="3"/>
  <c r="BL92" i="3"/>
  <c r="G101" i="3"/>
  <c r="BA101" i="3"/>
  <c r="AZ101" i="3" s="1"/>
  <c r="G108" i="3"/>
  <c r="G109" i="3"/>
  <c r="BL112" i="3"/>
  <c r="U25" i="40"/>
  <c r="S21" i="34"/>
  <c r="B68" i="43"/>
  <c r="B88" i="43"/>
  <c r="F35" i="71"/>
  <c r="F36" i="71" s="1"/>
  <c r="V36" i="71" s="1"/>
  <c r="AA34" i="71"/>
  <c r="BL83" i="3"/>
  <c r="G86" i="3"/>
  <c r="G87" i="3"/>
  <c r="G88" i="3"/>
  <c r="BA90" i="3"/>
  <c r="BL94" i="3"/>
  <c r="AZ94" i="3" s="1"/>
  <c r="BA100" i="3"/>
  <c r="AZ100" i="3" s="1"/>
  <c r="BA102" i="3"/>
  <c r="AZ102" i="3" s="1"/>
  <c r="BL105" i="3"/>
  <c r="AZ105" i="3" s="1"/>
  <c r="G107" i="3"/>
  <c r="BL107" i="3"/>
  <c r="BA111" i="3"/>
  <c r="AZ111" i="3" s="1"/>
  <c r="K13" i="1"/>
  <c r="M13" i="1" s="1"/>
  <c r="O13" i="1" s="1"/>
  <c r="P13" i="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D9" i="69"/>
  <c r="M8" i="15"/>
  <c r="J15" i="67"/>
  <c r="D7" i="73"/>
  <c r="F6" i="15"/>
  <c r="L47" i="67"/>
  <c r="M23" i="15"/>
  <c r="F37" i="15"/>
  <c r="M23" i="67"/>
  <c r="M26" i="67"/>
  <c r="F9" i="15"/>
  <c r="F36" i="15"/>
  <c r="M8" i="67"/>
  <c r="M24" i="67"/>
  <c r="F40" i="67"/>
  <c r="F7" i="15"/>
  <c r="M26" i="15"/>
  <c r="F9" i="67"/>
  <c r="F8" i="15"/>
  <c r="F43" i="15"/>
  <c r="F16" i="15"/>
  <c r="C76" i="67"/>
  <c r="L47" i="15"/>
  <c r="M28" i="67"/>
  <c r="L48" i="81"/>
  <c r="L48" i="15"/>
  <c r="L48" i="67"/>
  <c r="F42" i="67"/>
  <c r="M28" i="15"/>
  <c r="C76" i="15"/>
  <c r="F8" i="67"/>
  <c r="M9" i="15"/>
  <c r="M24" i="15"/>
  <c r="M22" i="67"/>
  <c r="D3" i="73"/>
  <c r="M22" i="15"/>
  <c r="F36" i="67"/>
  <c r="M29" i="67"/>
  <c r="M29" i="15"/>
  <c r="F13" i="15"/>
  <c r="F37" i="67"/>
  <c r="F6" i="67"/>
  <c r="D5" i="73"/>
  <c r="F42" i="15"/>
  <c r="F38" i="67"/>
  <c r="F26" i="15"/>
  <c r="M6" i="15"/>
  <c r="F13" i="67"/>
  <c r="F16" i="67"/>
  <c r="C36" i="69"/>
  <c r="F43" i="67"/>
  <c r="M9" i="67"/>
  <c r="M6" i="67"/>
  <c r="D4" i="73"/>
  <c r="F7" i="67"/>
  <c r="F38" i="15"/>
  <c r="F40" i="15"/>
  <c r="F26" i="67"/>
  <c r="J15" i="15"/>
  <c r="G7" i="67" l="1"/>
  <c r="D17" i="53"/>
  <c r="B36" i="72" s="1"/>
  <c r="AC27" i="34"/>
  <c r="F90" i="34"/>
  <c r="G90" i="34" s="1"/>
  <c r="H90" i="34" s="1"/>
  <c r="I90" i="34" s="1"/>
  <c r="J90" i="34" s="1"/>
  <c r="K90" i="34" s="1"/>
  <c r="L90" i="34" s="1"/>
  <c r="M90" i="34" s="1"/>
  <c r="E18" i="31"/>
  <c r="E18" i="83"/>
  <c r="H27" i="34"/>
  <c r="I24" i="43"/>
  <c r="C24" i="43" s="1"/>
  <c r="I54" i="81"/>
  <c r="L57" i="81"/>
  <c r="J57" i="81"/>
  <c r="J55" i="81" s="1"/>
  <c r="J58" i="81" s="1"/>
  <c r="Q50" i="81" s="1"/>
  <c r="L56" i="81"/>
  <c r="J53" i="81"/>
  <c r="L58" i="81"/>
  <c r="L60" i="81"/>
  <c r="G8" i="1"/>
  <c r="AC44" i="34"/>
  <c r="AB28" i="34"/>
  <c r="U28" i="34"/>
  <c r="W32" i="34"/>
  <c r="AC32" i="34"/>
  <c r="AC28" i="34"/>
  <c r="W28" i="34"/>
  <c r="F60" i="81"/>
  <c r="C32" i="81"/>
  <c r="M11" i="81"/>
  <c r="J10" i="81" s="1"/>
  <c r="J5" i="81" s="1"/>
  <c r="F11" i="81"/>
  <c r="Q71" i="15"/>
  <c r="M7" i="15"/>
  <c r="J6" i="15" s="1"/>
  <c r="J18" i="15" s="1"/>
  <c r="F50" i="15"/>
  <c r="F66" i="15"/>
  <c r="F71" i="15"/>
  <c r="F64" i="15"/>
  <c r="J53" i="15"/>
  <c r="L56" i="15" s="1"/>
  <c r="J57" i="15"/>
  <c r="J55" i="15" s="1"/>
  <c r="J58" i="15" s="1"/>
  <c r="Q50" i="15" s="1"/>
  <c r="I54" i="15"/>
  <c r="F51" i="15"/>
  <c r="F65" i="15"/>
  <c r="F31" i="15"/>
  <c r="M59" i="15"/>
  <c r="L59" i="15"/>
  <c r="Q74" i="15" s="1"/>
  <c r="N59" i="15"/>
  <c r="L58" i="15"/>
  <c r="Q60" i="15" s="1"/>
  <c r="F51" i="67"/>
  <c r="F31" i="67"/>
  <c r="C6" i="67"/>
  <c r="C32" i="67" s="1"/>
  <c r="M7" i="67"/>
  <c r="J6" i="67" s="1"/>
  <c r="J18" i="67" s="1"/>
  <c r="F50" i="67"/>
  <c r="F71" i="67"/>
  <c r="Q71" i="67"/>
  <c r="F66" i="67"/>
  <c r="L56" i="67"/>
  <c r="I54" i="67"/>
  <c r="J53" i="67"/>
  <c r="Q52" i="67" s="1"/>
  <c r="J57" i="67"/>
  <c r="J55" i="67" s="1"/>
  <c r="J58" i="67" s="1"/>
  <c r="Q50" i="67" s="1"/>
  <c r="F68" i="67"/>
  <c r="F64" i="67"/>
  <c r="N59" i="67"/>
  <c r="L59" i="67"/>
  <c r="Q74" i="67" s="1"/>
  <c r="L58" i="67"/>
  <c r="Q60" i="67" s="1"/>
  <c r="M59" i="67"/>
  <c r="C27" i="67"/>
  <c r="F65" i="67"/>
  <c r="E14" i="6"/>
  <c r="E63" i="39" s="1"/>
  <c r="N94" i="46"/>
  <c r="G26" i="43"/>
  <c r="Q16" i="1"/>
  <c r="H16" i="1"/>
  <c r="E15" i="6"/>
  <c r="E64" i="39" s="1"/>
  <c r="E28" i="6"/>
  <c r="K14" i="1" s="1"/>
  <c r="M14" i="1" s="1"/>
  <c r="N370" i="46"/>
  <c r="P6" i="1"/>
  <c r="C13" i="12" s="1"/>
  <c r="J26" i="43"/>
  <c r="F26" i="43"/>
  <c r="E26" i="43"/>
  <c r="J7" i="36"/>
  <c r="C6" i="15"/>
  <c r="C32" i="15" s="1"/>
  <c r="C27" i="15"/>
  <c r="F68" i="15"/>
  <c r="E29" i="6"/>
  <c r="K15" i="1" s="1"/>
  <c r="G30" i="6"/>
  <c r="G31" i="6" s="1"/>
  <c r="B19" i="71"/>
  <c r="B18" i="71" s="1"/>
  <c r="B17" i="71" s="1"/>
  <c r="B16" i="71" s="1"/>
  <c r="S20" i="71"/>
  <c r="AZ31" i="3"/>
  <c r="D67" i="71"/>
  <c r="C66" i="71"/>
  <c r="O67" i="71"/>
  <c r="C56" i="71"/>
  <c r="D55" i="71"/>
  <c r="W12" i="35"/>
  <c r="AC12" i="35"/>
  <c r="U25" i="37"/>
  <c r="AB25" i="37"/>
  <c r="AC31" i="39"/>
  <c r="W31" i="39"/>
  <c r="AC9" i="34"/>
  <c r="W9" i="34"/>
  <c r="AC9" i="33"/>
  <c r="W9" i="33"/>
  <c r="W37" i="39"/>
  <c r="AC37" i="39"/>
  <c r="AB26" i="33"/>
  <c r="U26" i="33"/>
  <c r="AB27" i="21"/>
  <c r="U27" i="21"/>
  <c r="AB38" i="37"/>
  <c r="U38" i="37"/>
  <c r="AA35" i="39"/>
  <c r="S35" i="39"/>
  <c r="C40" i="71"/>
  <c r="D39" i="71"/>
  <c r="AZ88" i="3"/>
  <c r="C22" i="71"/>
  <c r="D23" i="71"/>
  <c r="AZ59" i="3"/>
  <c r="AZ190" i="3"/>
  <c r="AZ243" i="3"/>
  <c r="N65" i="71"/>
  <c r="N66" i="71"/>
  <c r="C52" i="71"/>
  <c r="D51" i="71"/>
  <c r="AB31" i="39"/>
  <c r="U31" i="39"/>
  <c r="AB43" i="39"/>
  <c r="U43" i="39"/>
  <c r="S26" i="33"/>
  <c r="AA26" i="33"/>
  <c r="W30" i="21"/>
  <c r="AC30" i="21"/>
  <c r="W27" i="21"/>
  <c r="AC27" i="21"/>
  <c r="AZ584" i="3"/>
  <c r="AZ576" i="3"/>
  <c r="G5" i="3"/>
  <c r="B3" i="3" s="1"/>
  <c r="E540" i="3" s="1"/>
  <c r="C36" i="71"/>
  <c r="D35" i="71"/>
  <c r="AZ61" i="3"/>
  <c r="AZ49" i="3"/>
  <c r="AZ302" i="3"/>
  <c r="AZ284" i="3"/>
  <c r="AZ277" i="3"/>
  <c r="C26" i="71"/>
  <c r="D26" i="71" s="1"/>
  <c r="D27" i="71"/>
  <c r="AZ27" i="3"/>
  <c r="AZ186" i="3"/>
  <c r="AZ271" i="3"/>
  <c r="AZ251" i="3"/>
  <c r="AZ247" i="3"/>
  <c r="AZ464" i="3"/>
  <c r="AZ25" i="3"/>
  <c r="AZ238" i="3"/>
  <c r="AZ230" i="3"/>
  <c r="AZ219" i="3"/>
  <c r="AZ401" i="3"/>
  <c r="D75" i="71"/>
  <c r="C74" i="71"/>
  <c r="D74" i="71" s="1"/>
  <c r="AZ550" i="3"/>
  <c r="AA44" i="39"/>
  <c r="S44" i="39"/>
  <c r="AB39" i="37"/>
  <c r="U39" i="37"/>
  <c r="AZ585" i="3"/>
  <c r="AB37" i="39"/>
  <c r="U37" i="39"/>
  <c r="AA43" i="39"/>
  <c r="S43" i="39"/>
  <c r="AC26" i="33"/>
  <c r="W26" i="33"/>
  <c r="S30" i="21"/>
  <c r="AA30" i="21"/>
  <c r="C64" i="71"/>
  <c r="D63" i="71"/>
  <c r="AZ130" i="3"/>
  <c r="AZ270" i="3"/>
  <c r="AZ229" i="3"/>
  <c r="AZ218" i="3"/>
  <c r="AZ441" i="3"/>
  <c r="AZ150" i="3"/>
  <c r="AZ298" i="3"/>
  <c r="AZ274" i="3"/>
  <c r="AZ353" i="3"/>
  <c r="AZ483" i="3"/>
  <c r="AZ425" i="3"/>
  <c r="AZ405" i="3"/>
  <c r="AZ457" i="3"/>
  <c r="AZ414" i="3"/>
  <c r="AA25" i="37"/>
  <c r="S25" i="37"/>
  <c r="AA31" i="39"/>
  <c r="S31" i="39"/>
  <c r="AA37" i="39"/>
  <c r="S37" i="39"/>
  <c r="AC43" i="39"/>
  <c r="W43" i="39"/>
  <c r="AA27" i="21"/>
  <c r="S27" i="21"/>
  <c r="AC38" i="37"/>
  <c r="W38" i="37"/>
  <c r="AB35" i="39"/>
  <c r="U35" i="39"/>
  <c r="AZ572" i="3"/>
  <c r="G16" i="1"/>
  <c r="F10" i="39" s="1"/>
  <c r="AA10" i="39" s="1"/>
  <c r="J7" i="37"/>
  <c r="W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58" i="40"/>
  <c r="E62" i="39"/>
  <c r="D5" i="43"/>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7" i="1"/>
  <c r="AE12" i="1"/>
  <c r="AE10" i="1"/>
  <c r="G1" i="73"/>
  <c r="C16" i="15"/>
  <c r="C16" i="67"/>
  <c r="F27" i="69"/>
  <c r="G8" i="67" l="1"/>
  <c r="Q30" i="31"/>
  <c r="Q34" i="31"/>
  <c r="Q38" i="31"/>
  <c r="Q42" i="31"/>
  <c r="Q46" i="31"/>
  <c r="Q50" i="31"/>
  <c r="Q54" i="31"/>
  <c r="Q58" i="31"/>
  <c r="Q62" i="31"/>
  <c r="Q66" i="31"/>
  <c r="Q70" i="31"/>
  <c r="Q74" i="31"/>
  <c r="Q78" i="31"/>
  <c r="Q82" i="31"/>
  <c r="Q86" i="31"/>
  <c r="Q90" i="31"/>
  <c r="Q94" i="31"/>
  <c r="Q98" i="31"/>
  <c r="Q102"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7" i="31"/>
  <c r="Q351" i="31"/>
  <c r="Q355" i="31"/>
  <c r="Q359" i="31"/>
  <c r="Q363" i="31"/>
  <c r="Q367"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515" i="31"/>
  <c r="Q519" i="31"/>
  <c r="Q523" i="31"/>
  <c r="Q27"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6" i="31"/>
  <c r="Q369" i="31"/>
  <c r="Q373" i="31"/>
  <c r="Q377" i="31"/>
  <c r="Q381" i="31"/>
  <c r="Q385" i="31"/>
  <c r="Q389" i="31"/>
  <c r="Q393"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5" i="31"/>
  <c r="Q509" i="31"/>
  <c r="Q513" i="31"/>
  <c r="Q517" i="31"/>
  <c r="Q521" i="31"/>
  <c r="Q25" i="31"/>
  <c r="T49" i="34"/>
  <c r="G49" i="34" s="1"/>
  <c r="G53" i="34" s="1"/>
  <c r="H53" i="34" s="1"/>
  <c r="AB27" i="34"/>
  <c r="U27" i="34"/>
  <c r="Q57" i="81"/>
  <c r="Q66" i="81"/>
  <c r="Q60" i="81"/>
  <c r="Q73" i="81"/>
  <c r="F1" i="81"/>
  <c r="Q52" i="81"/>
  <c r="F59" i="67"/>
  <c r="F45" i="69"/>
  <c r="C49" i="67"/>
  <c r="Q73" i="67"/>
  <c r="Q61" i="15"/>
  <c r="J5" i="15"/>
  <c r="J24" i="15" s="1"/>
  <c r="C53" i="81"/>
  <c r="C48" i="81" s="1"/>
  <c r="C10" i="81"/>
  <c r="C5" i="81" s="1"/>
  <c r="J24" i="81"/>
  <c r="J26" i="81"/>
  <c r="F59" i="15"/>
  <c r="C49" i="15"/>
  <c r="F1" i="67"/>
  <c r="Q52" i="15"/>
  <c r="M17" i="15"/>
  <c r="Q73" i="15"/>
  <c r="F1" i="15"/>
  <c r="Q61" i="67"/>
  <c r="F28" i="12"/>
  <c r="C29" i="12" s="1"/>
  <c r="D28" i="12" s="1"/>
  <c r="F27" i="68"/>
  <c r="C29" i="68" s="1"/>
  <c r="D27" i="68" s="1"/>
  <c r="F27" i="11"/>
  <c r="C29" i="11" s="1"/>
  <c r="D27" i="11" s="1"/>
  <c r="M17" i="67"/>
  <c r="J5" i="67"/>
  <c r="J24" i="67" s="1"/>
  <c r="E59" i="40"/>
  <c r="E16" i="6"/>
  <c r="E362" i="3"/>
  <c r="E151" i="3"/>
  <c r="E135" i="3"/>
  <c r="E189" i="3"/>
  <c r="C29" i="69"/>
  <c r="D27" i="69" s="1"/>
  <c r="C47" i="69"/>
  <c r="D45" i="69" s="1"/>
  <c r="E248" i="3"/>
  <c r="AY6" i="3"/>
  <c r="E483" i="3"/>
  <c r="E311" i="3"/>
  <c r="E323" i="3"/>
  <c r="E100" i="3"/>
  <c r="E268" i="3"/>
  <c r="E296" i="3"/>
  <c r="E385" i="3"/>
  <c r="E445" i="3"/>
  <c r="E387" i="3"/>
  <c r="E431" i="3"/>
  <c r="E377" i="3"/>
  <c r="E143" i="3"/>
  <c r="E330" i="3"/>
  <c r="E116" i="3"/>
  <c r="E378" i="3"/>
  <c r="E142" i="3"/>
  <c r="E132" i="3"/>
  <c r="AI6" i="3"/>
  <c r="E172" i="3"/>
  <c r="AB6" i="3"/>
  <c r="E579" i="3"/>
  <c r="E70" i="3"/>
  <c r="E162" i="3"/>
  <c r="E17" i="3"/>
  <c r="E205" i="3"/>
  <c r="E131" i="3"/>
  <c r="E240" i="3"/>
  <c r="E200" i="3"/>
  <c r="E191" i="3"/>
  <c r="E69" i="3"/>
  <c r="E514" i="3"/>
  <c r="E322" i="3"/>
  <c r="E89" i="3"/>
  <c r="E290" i="3"/>
  <c r="E307" i="3"/>
  <c r="K16" i="1"/>
  <c r="E139" i="3"/>
  <c r="E369" i="3"/>
  <c r="E94" i="3"/>
  <c r="E219" i="3"/>
  <c r="E242" i="3"/>
  <c r="E119" i="3"/>
  <c r="X6" i="3"/>
  <c r="E423" i="3"/>
  <c r="E161" i="3"/>
  <c r="E563" i="3"/>
  <c r="E215" i="3"/>
  <c r="M6" i="3"/>
  <c r="E201" i="3"/>
  <c r="E509" i="3"/>
  <c r="E526" i="3"/>
  <c r="E557" i="3"/>
  <c r="E277" i="3"/>
  <c r="E31" i="3"/>
  <c r="E166" i="3"/>
  <c r="E153" i="3"/>
  <c r="E165" i="3"/>
  <c r="E292" i="3"/>
  <c r="D26" i="43"/>
  <c r="C25" i="43" s="1"/>
  <c r="C33" i="43" s="1"/>
  <c r="E118" i="3"/>
  <c r="E487" i="3"/>
  <c r="E275" i="3"/>
  <c r="E148" i="3"/>
  <c r="E246" i="3"/>
  <c r="E263" i="3"/>
  <c r="E535" i="3"/>
  <c r="E278" i="3"/>
  <c r="E335" i="3"/>
  <c r="E570" i="3"/>
  <c r="E247" i="3"/>
  <c r="AJ6" i="3"/>
  <c r="E572" i="3"/>
  <c r="AO6" i="3"/>
  <c r="E180" i="3"/>
  <c r="E193" i="3"/>
  <c r="E32" i="3"/>
  <c r="E145" i="3"/>
  <c r="E3" i="6"/>
  <c r="E212" i="3"/>
  <c r="E286" i="3"/>
  <c r="E466" i="3"/>
  <c r="AP6" i="3"/>
  <c r="E4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575" i="3"/>
  <c r="E430" i="3"/>
  <c r="E554" i="3"/>
  <c r="E479" i="3"/>
  <c r="E258" i="3"/>
  <c r="E349" i="3"/>
  <c r="E59" i="3"/>
  <c r="E467" i="3"/>
  <c r="E160" i="3"/>
  <c r="E371" i="3"/>
  <c r="E84" i="3"/>
  <c r="E184" i="3"/>
  <c r="E68" i="3"/>
  <c r="E283" i="3"/>
  <c r="E494" i="3"/>
  <c r="E391" i="3"/>
  <c r="E482" i="3"/>
  <c r="E174" i="3"/>
  <c r="E86" i="3"/>
  <c r="AF6" i="3"/>
  <c r="E308" i="3"/>
  <c r="E197" i="3"/>
  <c r="T6" i="3"/>
  <c r="E512" i="3"/>
  <c r="E556" i="3"/>
  <c r="E470" i="3"/>
  <c r="E41" i="3"/>
  <c r="E356" i="3"/>
  <c r="E539" i="3"/>
  <c r="E502" i="3"/>
  <c r="E449" i="3"/>
  <c r="E517" i="3"/>
  <c r="E37"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55" i="3"/>
  <c r="E544" i="3"/>
  <c r="E492" i="3"/>
  <c r="E513" i="3"/>
  <c r="E383" i="3"/>
  <c r="E525" i="3"/>
  <c r="E26" i="3"/>
  <c r="E324" i="3"/>
  <c r="E326" i="3"/>
  <c r="E393" i="3"/>
  <c r="E440" i="3"/>
  <c r="E463" i="3"/>
  <c r="E346" i="3"/>
  <c r="E15" i="3"/>
  <c r="E299" i="3"/>
  <c r="E123" i="3"/>
  <c r="E176" i="3"/>
  <c r="E552" i="3"/>
  <c r="E521" i="3"/>
  <c r="E312" i="3"/>
  <c r="E138" i="3"/>
  <c r="E464" i="3"/>
  <c r="E341" i="3"/>
  <c r="E66" i="3"/>
  <c r="E154" i="3"/>
  <c r="E82" i="3"/>
  <c r="E313" i="3"/>
  <c r="E471" i="3"/>
  <c r="E93" i="3"/>
  <c r="E379" i="3"/>
  <c r="E367" i="3"/>
  <c r="E126" i="3"/>
  <c r="E29" i="3"/>
  <c r="E426" i="3"/>
  <c r="E97" i="3"/>
  <c r="E418" i="3"/>
  <c r="E237"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491" i="3"/>
  <c r="E484" i="3"/>
  <c r="E33" i="3"/>
  <c r="E281" i="3"/>
  <c r="E206" i="3"/>
  <c r="E456" i="3"/>
  <c r="E225" i="3"/>
  <c r="E35" i="3"/>
  <c r="E329" i="3"/>
  <c r="E564" i="3"/>
  <c r="E376" i="3"/>
  <c r="E25" i="3"/>
  <c r="E372" i="3"/>
  <c r="E79" i="3"/>
  <c r="E325" i="3"/>
  <c r="E289" i="3"/>
  <c r="E265" i="3"/>
  <c r="E566" i="3"/>
  <c r="E386" i="3"/>
  <c r="E416" i="3"/>
  <c r="E354" i="3"/>
  <c r="E436" i="3"/>
  <c r="E542" i="3"/>
  <c r="E179" i="3"/>
  <c r="E413" i="3"/>
  <c r="E461" i="3"/>
  <c r="E529" i="3"/>
  <c r="E54" i="3"/>
  <c r="E397" i="3"/>
  <c r="U6" i="3"/>
  <c r="E403" i="3"/>
  <c r="E272" i="3"/>
  <c r="E53" i="3"/>
  <c r="O6" i="3"/>
  <c r="E390" i="3"/>
  <c r="E338"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536" i="3"/>
  <c r="E95" i="3"/>
  <c r="E46" i="3"/>
  <c r="E355" i="3"/>
  <c r="E42" i="3"/>
  <c r="E113" i="3"/>
  <c r="E451" i="3"/>
  <c r="E412" i="3"/>
  <c r="E232" i="3"/>
  <c r="E188" i="3"/>
  <c r="E427" i="3"/>
  <c r="J6" i="3"/>
  <c r="E178" i="3"/>
  <c r="E60" i="3"/>
  <c r="E170" i="3"/>
  <c r="AQ6" i="3"/>
  <c r="E364" i="3"/>
  <c r="E524" i="3"/>
  <c r="E90" i="3"/>
  <c r="E250" i="3"/>
  <c r="E520" i="3"/>
  <c r="E284" i="3"/>
  <c r="E375" i="3"/>
  <c r="E39" i="3"/>
  <c r="E459" i="3"/>
  <c r="E504" i="3"/>
  <c r="E352" i="3"/>
  <c r="E438" i="3"/>
  <c r="E208" i="3"/>
  <c r="E196" i="3"/>
  <c r="E548" i="3"/>
  <c r="E546" i="3"/>
  <c r="E291" i="3"/>
  <c r="E501" i="3"/>
  <c r="E574" i="3"/>
  <c r="S6" i="3"/>
  <c r="E298" i="3"/>
  <c r="E213"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217" i="3"/>
  <c r="E273" i="3"/>
  <c r="E28" i="3"/>
  <c r="E345" i="3"/>
  <c r="Z6" i="3"/>
  <c r="E368" i="3"/>
  <c r="E146" i="3"/>
  <c r="E181" i="3"/>
  <c r="E528" i="3"/>
  <c r="E388" i="3"/>
  <c r="AS6" i="3"/>
  <c r="E150" i="3"/>
  <c r="E314" i="3"/>
  <c r="E395" i="3"/>
  <c r="E516" i="3"/>
  <c r="E444" i="3"/>
  <c r="E256" i="3"/>
  <c r="E128" i="3"/>
  <c r="E169" i="3"/>
  <c r="AM6" i="3"/>
  <c r="E357" i="3"/>
  <c r="E195" i="3"/>
  <c r="E110" i="3"/>
  <c r="E20" i="3"/>
  <c r="E226" i="3"/>
  <c r="E80" i="3"/>
  <c r="E96" i="3"/>
  <c r="E442" i="3"/>
  <c r="E109" i="3"/>
  <c r="E211" i="3"/>
  <c r="E489" i="3"/>
  <c r="E400" i="3"/>
  <c r="E327" i="3"/>
  <c r="E227" i="3"/>
  <c r="E577" i="3"/>
  <c r="E399" i="3"/>
  <c r="E231" i="3"/>
  <c r="E530" i="3"/>
  <c r="E478" i="3"/>
  <c r="E450" i="3"/>
  <c r="E583" i="3"/>
  <c r="E230" i="3"/>
  <c r="E553" i="3"/>
  <c r="P6" i="3"/>
  <c r="E496" i="3"/>
  <c r="AA6" i="3"/>
  <c r="E506" i="3"/>
  <c r="E71" i="3"/>
  <c r="W6" i="3"/>
  <c r="E462" i="3"/>
  <c r="E222" i="3"/>
  <c r="E36" i="3"/>
  <c r="E419" i="3"/>
  <c r="E190" i="3"/>
  <c r="E81" i="3"/>
  <c r="E182" i="3"/>
  <c r="E531" i="3"/>
  <c r="E485" i="3"/>
  <c r="E204" i="3"/>
  <c r="E74" i="3"/>
  <c r="E472" i="3"/>
  <c r="E350" i="3"/>
  <c r="E561" i="3"/>
  <c r="E384" i="3"/>
  <c r="E271" i="3"/>
  <c r="E527" i="3"/>
  <c r="E578" i="3"/>
  <c r="V6" i="3"/>
  <c r="E30" i="3"/>
  <c r="E164" i="3"/>
  <c r="E424" i="3"/>
  <c r="E402" i="3"/>
  <c r="E359" i="3"/>
  <c r="E432" i="3"/>
  <c r="E157" i="3"/>
  <c r="E266" i="3"/>
  <c r="E348" i="3"/>
  <c r="E194" i="3"/>
  <c r="E507" i="3"/>
  <c r="E13" i="3"/>
  <c r="E249" i="3"/>
  <c r="J10" i="39"/>
  <c r="W10" i="39" s="1"/>
  <c r="F10" i="40"/>
  <c r="S10" i="40" s="1"/>
  <c r="H10" i="39"/>
  <c r="U10" i="39" s="1"/>
  <c r="AC7" i="37"/>
  <c r="S10" i="39"/>
  <c r="H10" i="40"/>
  <c r="AB10" i="40" s="1"/>
  <c r="J10" i="40"/>
  <c r="AC10" i="40" s="1"/>
  <c r="T40" i="71"/>
  <c r="D40" i="71"/>
  <c r="O65" i="71"/>
  <c r="D66" i="71"/>
  <c r="O66" i="71"/>
  <c r="R36" i="36"/>
  <c r="E192" i="3"/>
  <c r="E56" i="3"/>
  <c r="E435" i="3"/>
  <c r="I3" i="6"/>
  <c r="E541" i="3"/>
  <c r="R6" i="3"/>
  <c r="E199" i="3"/>
  <c r="E510" i="3"/>
  <c r="D22" i="71"/>
  <c r="C21" i="71"/>
  <c r="E499" i="3"/>
  <c r="T52" i="71"/>
  <c r="D52" i="71"/>
  <c r="D56" i="71"/>
  <c r="T56" i="71"/>
  <c r="D64" i="71"/>
  <c r="T64" i="71"/>
  <c r="D36" i="71"/>
  <c r="T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115" i="3"/>
  <c r="AY95" i="3"/>
  <c r="AY58" i="3"/>
  <c r="AY297" i="3"/>
  <c r="AY303" i="3"/>
  <c r="AY103" i="3"/>
  <c r="AY261" i="3"/>
  <c r="AY204" i="3"/>
  <c r="AY460" i="3"/>
  <c r="AY441" i="3"/>
  <c r="AY228" i="3"/>
  <c r="AY217" i="3"/>
  <c r="AY420" i="3"/>
  <c r="AY433" i="3"/>
  <c r="BE6" i="3"/>
  <c r="AY97" i="3"/>
  <c r="AY28" i="3"/>
  <c r="AY33" i="3"/>
  <c r="AY133" i="3"/>
  <c r="AY118" i="3"/>
  <c r="AY262" i="3"/>
  <c r="AY230" i="3"/>
  <c r="AY554" i="3"/>
  <c r="BH6" i="3"/>
  <c r="AY166" i="3"/>
  <c r="AY177" i="3"/>
  <c r="AY388" i="3"/>
  <c r="AY353" i="3"/>
  <c r="AY488" i="3"/>
  <c r="AY472" i="3"/>
  <c r="BQ6" i="3"/>
  <c r="BM6" i="3"/>
  <c r="BG6" i="3"/>
  <c r="AY501" i="3"/>
  <c r="AY334" i="3"/>
  <c r="AY486" i="3"/>
  <c r="AY481" i="3"/>
  <c r="AY447" i="3"/>
  <c r="AY53" i="3"/>
  <c r="AY36" i="3"/>
  <c r="AY271" i="3"/>
  <c r="AY239" i="3"/>
  <c r="AY40" i="3"/>
  <c r="AY186" i="3"/>
  <c r="AY340" i="3"/>
  <c r="AY467" i="3"/>
  <c r="AY527" i="3"/>
  <c r="AY518" i="3"/>
  <c r="AY49" i="3"/>
  <c r="AY82" i="3"/>
  <c r="AY455" i="3"/>
  <c r="AY497" i="3"/>
  <c r="AY436" i="3"/>
  <c r="AY417" i="3"/>
  <c r="AY20" i="3"/>
  <c r="AY198" i="3"/>
  <c r="AY270" i="3"/>
  <c r="AY227" i="3"/>
  <c r="AY181" i="3"/>
  <c r="AY161" i="3"/>
  <c r="AY480" i="3"/>
  <c r="AY449" i="3"/>
  <c r="AY552" i="3"/>
  <c r="AY543" i="3"/>
  <c r="AY96" i="3"/>
  <c r="AY65" i="3"/>
  <c r="AY169" i="3"/>
  <c r="AY137" i="3"/>
  <c r="AY223" i="3"/>
  <c r="AY380" i="3"/>
  <c r="AY328" i="3"/>
  <c r="AY312" i="3"/>
  <c r="AY442" i="3"/>
  <c r="AY426" i="3"/>
  <c r="AY499" i="3"/>
  <c r="AY14" i="3"/>
  <c r="BR6" i="3"/>
  <c r="AY570" i="3"/>
  <c r="AY78" i="3"/>
  <c r="AY46" i="3"/>
  <c r="AY127" i="3"/>
  <c r="AY285" i="3"/>
  <c r="AY376" i="3"/>
  <c r="AY362" i="3"/>
  <c r="AY424" i="3"/>
  <c r="AY437" i="3"/>
  <c r="AY587" i="3"/>
  <c r="AY91" i="3"/>
  <c r="AY179" i="3"/>
  <c r="AY148" i="3"/>
  <c r="AY256" i="3"/>
  <c r="AY224" i="3"/>
  <c r="AY306" i="3"/>
  <c r="AY490" i="3"/>
  <c r="BC6" i="3"/>
  <c r="AY511" i="3"/>
  <c r="AY122" i="3"/>
  <c r="AY298" i="3"/>
  <c r="AY304" i="3"/>
  <c r="AY492" i="3"/>
  <c r="AY564" i="3"/>
  <c r="AY575" i="3"/>
  <c r="AY30" i="3"/>
  <c r="AY203" i="3"/>
  <c r="AY347" i="3"/>
  <c r="AY330" i="3"/>
  <c r="AY102" i="3"/>
  <c r="AY39" i="3"/>
  <c r="AY208" i="3"/>
  <c r="AY375" i="3"/>
  <c r="AY583" i="3"/>
  <c r="AY567" i="3"/>
  <c r="AY250" i="3"/>
  <c r="AY396" i="3"/>
  <c r="AY445" i="3"/>
  <c r="AY434" i="3"/>
  <c r="AY551" i="3"/>
  <c r="AY545" i="3"/>
  <c r="AY151" i="3"/>
  <c r="AY301" i="3"/>
  <c r="AY451" i="3"/>
  <c r="AY408" i="3"/>
  <c r="AY200" i="3"/>
  <c r="AY164" i="3"/>
  <c r="AY351" i="3"/>
  <c r="AY307" i="3"/>
  <c r="AY566" i="3"/>
  <c r="D3" i="21"/>
  <c r="E6" i="6"/>
  <c r="D37" i="11"/>
  <c r="D14" i="12"/>
  <c r="M18" i="9"/>
  <c r="B118" i="9" s="1"/>
  <c r="B1" i="74" s="1"/>
  <c r="D3" i="34"/>
  <c r="D19" i="11"/>
  <c r="C19" i="11" s="1"/>
  <c r="L18" i="9"/>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AE6" i="1"/>
  <c r="F41" i="67" s="1"/>
  <c r="M27" i="15"/>
  <c r="AE8" i="1"/>
  <c r="F41" i="81" s="1"/>
  <c r="R50" i="34" l="1"/>
  <c r="G54" i="34"/>
  <c r="H54" i="34" s="1"/>
  <c r="C48" i="67"/>
  <c r="C66" i="67" s="1"/>
  <c r="F69" i="81"/>
  <c r="J29" i="81"/>
  <c r="C38" i="81"/>
  <c r="L36" i="43"/>
  <c r="L37" i="43" s="1"/>
  <c r="P37" i="43" s="1"/>
  <c r="F24" i="81"/>
  <c r="C66" i="81"/>
  <c r="C60" i="81"/>
  <c r="F69" i="67"/>
  <c r="C48" i="15"/>
  <c r="C66" i="15" s="1"/>
  <c r="C47" i="68"/>
  <c r="D45" i="68" s="1"/>
  <c r="F45" i="68"/>
  <c r="C47" i="11"/>
  <c r="D45" i="11" s="1"/>
  <c r="AA10"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8" i="3"/>
  <c r="AY578" i="3"/>
  <c r="AY135" i="3"/>
  <c r="AY378" i="3"/>
  <c r="AY346" i="3"/>
  <c r="AY558" i="3"/>
  <c r="BL6" i="3"/>
  <c r="AY55" i="3"/>
  <c r="AY184" i="3"/>
  <c r="AY241" i="3"/>
  <c r="AY391" i="3"/>
  <c r="AY338" i="3"/>
  <c r="AY448" i="3"/>
  <c r="BD6" i="3"/>
  <c r="AY142" i="3"/>
  <c r="AY218" i="3"/>
  <c r="AY336" i="3"/>
  <c r="AY450" i="3"/>
  <c r="AY17" i="3"/>
  <c r="AY530" i="3"/>
  <c r="AY47" i="3"/>
  <c r="AY383" i="3"/>
  <c r="AY440" i="3"/>
  <c r="AY576" i="3"/>
  <c r="AY195" i="3"/>
  <c r="AY272" i="3"/>
  <c r="AY322" i="3"/>
  <c r="AY15" i="3"/>
  <c r="AY21" i="3"/>
  <c r="AY267" i="3"/>
  <c r="AY476" i="3"/>
  <c r="AY415" i="3"/>
  <c r="AY515" i="3"/>
  <c r="AY493" i="3"/>
  <c r="AY172" i="3"/>
  <c r="AY248" i="3"/>
  <c r="AY485" i="3"/>
  <c r="AY547" i="3"/>
  <c r="AY54" i="3"/>
  <c r="AY293" i="3"/>
  <c r="AY400"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158" i="3"/>
  <c r="AY287" i="3"/>
  <c r="AY234" i="3"/>
  <c r="AY364" i="3"/>
  <c r="AY344" i="3"/>
  <c r="AY471" i="3"/>
  <c r="AY458" i="3"/>
  <c r="AY439" i="3"/>
  <c r="AY506" i="3"/>
  <c r="AY524" i="3"/>
  <c r="AY542" i="3"/>
  <c r="AY63" i="3"/>
  <c r="AY192" i="3"/>
  <c r="AY249" i="3"/>
  <c r="AY456" i="3"/>
  <c r="AY128" i="3"/>
  <c r="AY586" i="3"/>
  <c r="AY120" i="3"/>
  <c r="AY337" i="3"/>
  <c r="AY521"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BB6" i="3"/>
  <c r="AY134" i="3"/>
  <c r="AY100" i="3"/>
  <c r="AY379" i="3"/>
  <c r="AY147" i="3"/>
  <c r="AY577" i="3"/>
  <c r="AY403" i="3"/>
  <c r="AY226" i="3"/>
  <c r="BS6" i="3"/>
  <c r="AY157" i="3"/>
  <c r="BO6" i="3"/>
  <c r="AY244" i="3"/>
  <c r="AY163" i="3"/>
  <c r="AY571" i="3"/>
  <c r="AY398" i="3"/>
  <c r="AY332" i="3"/>
  <c r="AY259" i="3"/>
  <c r="AY56" i="3"/>
  <c r="AY381" i="3"/>
  <c r="AY278" i="3"/>
  <c r="AY154" i="3"/>
  <c r="AY45" i="3"/>
  <c r="AY544" i="3"/>
  <c r="AY310" i="3"/>
  <c r="AY180" i="3"/>
  <c r="AY319" i="3"/>
  <c r="AY289" i="3"/>
  <c r="AY382" i="3"/>
  <c r="AY131" i="3"/>
  <c r="AY176" i="3"/>
  <c r="AY477"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AC10" i="39"/>
  <c r="H6" i="3"/>
  <c r="AC6" i="3"/>
  <c r="D116" i="43"/>
  <c r="F25" i="12"/>
  <c r="C26" i="12" s="1"/>
  <c r="D25" i="12" s="1"/>
  <c r="U10" i="40"/>
  <c r="W10" i="40"/>
  <c r="D21" i="71"/>
  <c r="C20" i="71"/>
  <c r="F22" i="68"/>
  <c r="C44" i="68" s="1"/>
  <c r="D41" i="68" s="1"/>
  <c r="F22" i="11"/>
  <c r="C23" i="11" s="1"/>
  <c r="F24" i="67"/>
  <c r="C24" i="67" s="1"/>
  <c r="F24" i="15"/>
  <c r="C24" i="15" s="1"/>
  <c r="F22" i="69"/>
  <c r="F41" i="69" s="1"/>
  <c r="E49" i="34"/>
  <c r="I54" i="34" s="1"/>
  <c r="J54" i="34" s="1"/>
  <c r="O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8"/>
  <c r="D10" i="69"/>
  <c r="C17" i="67"/>
  <c r="C17" i="15"/>
  <c r="C14" i="67"/>
  <c r="C34" i="69"/>
  <c r="C60" i="67" l="1"/>
  <c r="E54" i="34"/>
  <c r="F54" i="34" s="1"/>
  <c r="E53" i="34"/>
  <c r="F53" i="34" s="1"/>
  <c r="C60" i="15"/>
  <c r="I42" i="43"/>
  <c r="C6" i="69"/>
  <c r="C7" i="69" s="1"/>
  <c r="O37" i="43"/>
  <c r="P36" i="43"/>
  <c r="M36" i="43"/>
  <c r="Q37" i="43"/>
  <c r="M37" i="43"/>
  <c r="N36" i="43"/>
  <c r="N37" i="43"/>
  <c r="Q36" i="43"/>
  <c r="C24" i="81"/>
  <c r="C23" i="81"/>
  <c r="H24" i="6"/>
  <c r="H22" i="6"/>
  <c r="R22" i="6" s="1"/>
  <c r="R9" i="1" s="1"/>
  <c r="E6" i="3"/>
  <c r="D30" i="6"/>
  <c r="H21" i="6"/>
  <c r="H25" i="6"/>
  <c r="R25" i="6" s="1"/>
  <c r="R12" i="1" s="1"/>
  <c r="F41" i="68"/>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9" i="81" l="1"/>
  <c r="Q49" i="81"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13" i="81"/>
  <c r="Q70" i="81" s="1"/>
  <c r="J14" i="81"/>
  <c r="J13" i="81" s="1"/>
  <c r="J23" i="81" s="1"/>
  <c r="C36" i="81"/>
  <c r="C57" i="81"/>
  <c r="C64" i="8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7" i="81" l="1"/>
  <c r="C75" i="81"/>
  <c r="L46" i="81"/>
  <c r="C56" i="81"/>
  <c r="C65" i="81" s="1"/>
  <c r="J22" i="8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1"/>
  <c r="M21" i="15"/>
  <c r="F35" i="67"/>
  <c r="M21" i="67"/>
  <c r="F35" i="15"/>
  <c r="F35" i="81"/>
  <c r="J20" i="81" l="1"/>
  <c r="J17" i="81" s="1"/>
  <c r="J16" i="81" s="1"/>
  <c r="J25" i="81" s="1"/>
  <c r="F63" i="81"/>
  <c r="C62" i="81" s="1"/>
  <c r="C59" i="81" s="1"/>
  <c r="C58" i="81" s="1"/>
  <c r="C67" i="81" s="1"/>
  <c r="C68" i="81" s="1"/>
  <c r="C34" i="81"/>
  <c r="C31" i="81" s="1"/>
  <c r="C30" i="81" s="1"/>
  <c r="C39" i="81" s="1"/>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K65" i="40"/>
  <c r="L63" i="40"/>
  <c r="B3" i="69"/>
  <c r="G43" i="35" l="1"/>
  <c r="H43" i="35" s="1"/>
  <c r="B3" i="68"/>
  <c r="C40" i="81"/>
  <c r="C45" i="81" s="1"/>
  <c r="C46" i="81" s="1"/>
  <c r="Q69" i="81"/>
  <c r="Q68" i="81" s="1"/>
  <c r="C80" i="81"/>
  <c r="C79" i="81" s="1"/>
  <c r="C71" i="8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L51" i="81"/>
  <c r="D2" i="21"/>
  <c r="D35" i="82"/>
  <c r="D35" i="9"/>
  <c r="C56" i="69" l="1"/>
  <c r="Q67" i="81"/>
  <c r="Q47" i="81"/>
  <c r="Q53" i="81" s="1"/>
  <c r="C43" i="81"/>
  <c r="D2" i="81"/>
  <c r="Q65" i="81"/>
  <c r="Q75" i="81" s="1"/>
  <c r="Q56" i="81"/>
  <c r="Q62" i="81" s="1"/>
  <c r="C83" i="81"/>
  <c r="C82" i="8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82"/>
  <c r="D2" i="33"/>
  <c r="D34" i="9"/>
  <c r="B3" i="81" l="1"/>
  <c r="B2" i="8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5"/>
  <c r="D2" i="37"/>
  <c r="D19" i="9"/>
  <c r="L51" i="15"/>
  <c r="D2" i="34"/>
  <c r="D19" i="82"/>
  <c r="D2" i="36"/>
  <c r="D21" i="82" l="1"/>
  <c r="D102" i="82"/>
  <c r="D102" i="9"/>
  <c r="D21" i="9"/>
  <c r="D103" i="9"/>
  <c r="D12" i="71"/>
  <c r="U12" i="71" s="1"/>
  <c r="C11" i="71"/>
  <c r="T12" i="71"/>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2"/>
  <c r="D20" i="82"/>
  <c r="AO6" i="1"/>
  <c r="AO12" i="1"/>
  <c r="AO8" i="1"/>
  <c r="AO11" i="1"/>
  <c r="AO10" i="1"/>
  <c r="AO7" i="1"/>
  <c r="AO9" i="1"/>
  <c r="C19" i="9"/>
  <c r="C102" i="82" l="1"/>
  <c r="C21" i="82"/>
  <c r="G19" i="82"/>
  <c r="G21" i="82" s="1"/>
  <c r="D22" i="82"/>
  <c r="B3" i="34"/>
  <c r="C102" i="9"/>
  <c r="C21" i="9"/>
  <c r="D22" i="9"/>
  <c r="G19" i="9"/>
  <c r="C32" i="9" s="1"/>
  <c r="C35" i="9" s="1"/>
  <c r="C34" i="9" s="1"/>
  <c r="D103" i="82"/>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2"/>
  <c r="C20" i="9"/>
  <c r="C32" i="82" l="1"/>
  <c r="H118" i="82" s="1"/>
  <c r="C103" i="82"/>
  <c r="G20" i="82"/>
  <c r="R24" i="31" s="1"/>
  <c r="S24" i="31" s="1"/>
  <c r="D14" i="74" s="1"/>
  <c r="G14" i="74" s="1"/>
  <c r="C103" i="9"/>
  <c r="G20" i="9"/>
  <c r="R24" i="83" s="1"/>
  <c r="G21" i="9"/>
  <c r="C35" i="82"/>
  <c r="F118" i="82"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5" i="31" l="1"/>
  <c r="S25" i="31" s="1"/>
  <c r="R26" i="31"/>
  <c r="S26" i="31" s="1"/>
  <c r="D16" i="74" s="1"/>
  <c r="G16" i="74" s="1"/>
  <c r="R27" i="31"/>
  <c r="S27" i="31" s="1"/>
  <c r="D17" i="74" s="1"/>
  <c r="G17" i="74" s="1"/>
  <c r="S24" i="83"/>
  <c r="D18" i="74" s="1"/>
  <c r="G18" i="74" s="1"/>
  <c r="R25" i="83"/>
  <c r="S25" i="83" s="1"/>
  <c r="R27" i="83"/>
  <c r="S27" i="83" s="1"/>
  <c r="D21" i="74" s="1"/>
  <c r="G21" i="74" s="1"/>
  <c r="R26" i="83"/>
  <c r="S26" i="83" s="1"/>
  <c r="C34" i="82"/>
  <c r="D118" i="82" s="1"/>
  <c r="D119" i="82" s="1"/>
  <c r="I118" i="82"/>
  <c r="H119" i="82"/>
  <c r="H101" i="82"/>
  <c r="C104" i="82"/>
  <c r="F119" i="82"/>
  <c r="G118" i="82"/>
  <c r="D9" i="71"/>
  <c r="C8" i="71"/>
  <c r="C42" i="40"/>
  <c r="C43" i="40"/>
  <c r="E47" i="40"/>
  <c r="F47" i="40" s="1"/>
  <c r="E46" i="40"/>
  <c r="F46" i="40" s="1"/>
  <c r="I47" i="40"/>
  <c r="J47" i="40" s="1"/>
  <c r="D19" i="74" l="1"/>
  <c r="G19" i="74" s="1"/>
  <c r="T27" i="83"/>
  <c r="U27" i="83" s="1"/>
  <c r="D15" i="74"/>
  <c r="G15" i="74" s="1"/>
  <c r="T27" i="31"/>
  <c r="U27" i="31" s="1"/>
  <c r="D20" i="74"/>
  <c r="G20" i="74" s="1"/>
  <c r="F16" i="74"/>
  <c r="F15" i="74"/>
  <c r="E16" i="74"/>
  <c r="S22" i="31"/>
  <c r="B20" i="31" s="1"/>
  <c r="B21" i="31" s="1"/>
  <c r="E17" i="74"/>
  <c r="F17" i="74"/>
  <c r="F19" i="74"/>
  <c r="E21" i="74"/>
  <c r="F21" i="74"/>
  <c r="F18" i="74"/>
  <c r="E18" i="74"/>
  <c r="S22" i="83"/>
  <c r="H107" i="82"/>
  <c r="M49" i="82" s="1"/>
  <c r="M48" i="82"/>
  <c r="D45" i="82"/>
  <c r="E118" i="82"/>
  <c r="C105" i="82"/>
  <c r="H102" i="82"/>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L64" i="82" l="1"/>
  <c r="M64" i="82" s="1"/>
  <c r="L63" i="82"/>
  <c r="M63" i="82" s="1"/>
  <c r="L68" i="82"/>
  <c r="M68" i="82" s="1"/>
  <c r="L67" i="82"/>
  <c r="M67" i="82" s="1"/>
  <c r="L66" i="82"/>
  <c r="M66" i="82" s="1"/>
  <c r="L65" i="82"/>
  <c r="M65" i="82" s="1"/>
  <c r="E19" i="74"/>
  <c r="E15" i="74"/>
  <c r="F20" i="74"/>
  <c r="E20" i="74"/>
  <c r="R22" i="31"/>
  <c r="R22" i="83"/>
  <c r="B20" i="83"/>
  <c r="B21" i="83" s="1"/>
  <c r="C72" i="82"/>
  <c r="C64" i="82"/>
  <c r="C63" i="82" s="1"/>
  <c r="C67" i="82" s="1"/>
  <c r="D53" i="82"/>
  <c r="C78" i="82"/>
  <c r="C73" i="82" s="1"/>
  <c r="D52" i="82"/>
  <c r="C93" i="82"/>
  <c r="C86" i="82" s="1"/>
  <c r="C85" i="82"/>
  <c r="D55" i="82"/>
  <c r="M53" i="82" s="1"/>
  <c r="D122" i="82"/>
  <c r="D123" i="82" s="1"/>
  <c r="H108" i="82"/>
  <c r="D7" i="71"/>
  <c r="C6" i="71"/>
  <c r="E14" i="74"/>
  <c r="F14" i="74"/>
  <c r="B5" i="74"/>
  <c r="D5" i="74" s="1"/>
  <c r="M69" i="82" l="1"/>
  <c r="N69" i="82" s="1"/>
  <c r="C95" i="82"/>
  <c r="D59" i="82"/>
  <c r="M55" i="82" s="1"/>
  <c r="C68" i="82"/>
  <c r="D54" i="82" s="1"/>
  <c r="C79" i="82"/>
  <c r="D6" i="71"/>
  <c r="C5" i="71"/>
  <c r="D5" i="71" s="1"/>
  <c r="M24" i="43" s="1"/>
  <c r="B6" i="74"/>
  <c r="D6" i="74" s="1"/>
  <c r="D118" i="9"/>
  <c r="D119" i="9" s="1"/>
  <c r="D5" i="52" s="1"/>
  <c r="B49" i="72" s="1"/>
  <c r="F118" i="9"/>
  <c r="F4" i="52" s="1"/>
  <c r="B51" i="72" s="1"/>
  <c r="H118" i="9"/>
  <c r="I118" i="9" s="1"/>
  <c r="C80" i="82" l="1"/>
  <c r="E80" i="82" s="1"/>
  <c r="E81" i="82" s="1"/>
  <c r="C96" i="82"/>
  <c r="E96" i="82" s="1"/>
  <c r="E97" i="82" s="1"/>
  <c r="D4" i="52"/>
  <c r="B47" i="72" s="1"/>
  <c r="H101" i="9"/>
  <c r="D45" i="9" s="1"/>
  <c r="H119" i="9"/>
  <c r="H5" i="52" s="1"/>
  <c r="H4" i="52"/>
  <c r="C105" i="9"/>
  <c r="H102" i="9"/>
  <c r="I4" i="52"/>
  <c r="C104" i="9"/>
  <c r="F119" i="9"/>
  <c r="F5" i="52" s="1"/>
  <c r="B53" i="72" s="1"/>
  <c r="G118" i="9"/>
  <c r="G4" i="52" s="1"/>
  <c r="B52" i="72" s="1"/>
  <c r="D5" i="53" l="1"/>
  <c r="B20" i="72" s="1"/>
  <c r="C97" i="82"/>
  <c r="D58" i="82" s="1"/>
  <c r="D56" i="82" s="1"/>
  <c r="M54" i="82" s="1"/>
  <c r="N57" i="82" s="1"/>
  <c r="C81" i="82"/>
  <c r="M48" i="9"/>
  <c r="H107" i="9"/>
  <c r="M49" i="9" s="1"/>
  <c r="C5" i="74"/>
  <c r="D7" i="53"/>
  <c r="B21" i="72" s="1"/>
  <c r="E118" i="9"/>
  <c r="E4" i="52" s="1"/>
  <c r="B48" i="72" s="1"/>
  <c r="D6" i="53"/>
  <c r="B22" i="72" s="1"/>
  <c r="D52" i="9"/>
  <c r="C72" i="9"/>
  <c r="C85" i="9"/>
  <c r="D53" i="9"/>
  <c r="D55" i="9"/>
  <c r="M53" i="9" s="1"/>
  <c r="C64" i="9"/>
  <c r="C63" i="9" s="1"/>
  <c r="C67" i="9" s="1"/>
  <c r="C78" i="9"/>
  <c r="C73" i="9" s="1"/>
  <c r="C93" i="9"/>
  <c r="C86" i="9" s="1"/>
  <c r="L68" i="9" l="1"/>
  <c r="M68" i="9" s="1"/>
  <c r="L63" i="9"/>
  <c r="M63" i="9" s="1"/>
  <c r="L64" i="9"/>
  <c r="M64" i="9" s="1"/>
  <c r="L65" i="9"/>
  <c r="M65" i="9" s="1"/>
  <c r="L67" i="9"/>
  <c r="M67" i="9" s="1"/>
  <c r="L66" i="9"/>
  <c r="M66" i="9" s="1"/>
  <c r="N58" i="82"/>
  <c r="P57" i="82"/>
  <c r="N59" i="82"/>
  <c r="D122" i="9"/>
  <c r="D13" i="53"/>
  <c r="H108" i="9"/>
  <c r="C95" i="9"/>
  <c r="C68" i="9"/>
  <c r="D54" i="9" s="1"/>
  <c r="D59" i="9"/>
  <c r="M55" i="9" s="1"/>
  <c r="C79" i="9"/>
  <c r="M69" i="9" l="1"/>
  <c r="N69" i="9" s="1"/>
  <c r="N61" i="82"/>
  <c r="N60" i="82"/>
  <c r="D15" i="53"/>
  <c r="B31" i="72" s="1"/>
  <c r="C6" i="74"/>
  <c r="D14" i="53"/>
  <c r="B32" i="72" s="1"/>
  <c r="B30" i="72"/>
  <c r="D123" i="9"/>
  <c r="D9" i="52" s="1"/>
  <c r="D8" i="52"/>
  <c r="C80" i="9"/>
  <c r="E80" i="9" s="1"/>
  <c r="E81" i="9" s="1"/>
  <c r="C96" i="9"/>
  <c r="E96" i="9" s="1"/>
  <c r="E97" i="9" s="1"/>
  <c r="C81" i="9" l="1"/>
  <c r="C97" i="9"/>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FD130F-F5A6-4FAC-BF8F-A9BB55DFA35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B100C9D-288B-4D49-9339-46A5BF8A095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C4547E-95BC-4FDC-AD1C-767C87498210}">
      <text>
        <r>
          <rPr>
            <sz val="11"/>
            <color indexed="81"/>
            <rFont val="宋体"/>
            <family val="3"/>
            <charset val="134"/>
          </rPr>
          <t>需在下方列示计算过程</t>
        </r>
        <r>
          <rPr>
            <sz val="9"/>
            <color indexed="81"/>
            <rFont val="宋体"/>
            <family val="3"/>
            <charset val="134"/>
          </rPr>
          <t xml:space="preserve">
</t>
        </r>
      </text>
    </comment>
    <comment ref="H75" authorId="2" shapeId="0" xr:uid="{DE972F01-B6AA-445D-91F4-EAA3F99D420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9450D8E-7517-4359-9658-0A42592D004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BD86955-684C-4CFB-824D-64E4A3051A5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D010EDD9-26BD-435F-8BE1-ADC9DB683EB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49E63F1-2598-4990-B4BB-1F615BE382A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E23F3677-00EC-4E0F-AFBB-608A793529B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<sst xmlns="http://schemas.openxmlformats.org/spreadsheetml/2006/main" count="8866" uniqueCount="3532">
  <si>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</si>
  <si>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</si>
  <si>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</si>
  <si>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</si>
  <si>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</si>
  <si>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</si>
  <si>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</si>
  <si>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</si>
  <si>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</si>
  <si>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</si>
  <si>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</si>
  <si>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</si>
  <si>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</si>
  <si>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</si>
  <si>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</si>
  <si>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</si>
  <si>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</si>
  <si>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</si>
  <si>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</si>
  <si>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</si>
  <si>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</si>
  <si>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</si>
  <si>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</si>
  <si>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</si>
  <si>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</si>
  <si>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</si>
  <si>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</si>
  <si>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</si>
  <si>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</si>
  <si>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</si>
  <si>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</si>
  <si>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</si>
  <si>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</si>
  <si>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</si>
  <si>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</si>
  <si>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</si>
  <si>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</si>
  <si>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</si>
  <si>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</si>
  <si>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</si>
  <si>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</si>
  <si>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</si>
  <si>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</si>
  <si>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</si>
  <si>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</si>
  <si>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</si>
  <si>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</si>
  <si>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</si>
  <si>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</si>
  <si>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</si>
  <si>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</si>
  <si>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</si>
  <si>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</si>
  <si>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</si>
  <si>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</si>
  <si>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</si>
  <si>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</si>
  <si>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</si>
  <si>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</si>
  <si>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</si>
  <si>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</si>
  <si>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</si>
  <si>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</si>
  <si>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</si>
  <si>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</si>
  <si>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</si>
  <si>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</si>
  <si>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</si>
  <si>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</si>
  <si>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</si>
  <si>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</si>
  <si>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</si>
  <si>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</si>
  <si>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</si>
  <si>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</si>
  <si>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</si>
  <si>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</si>
  <si>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</si>
  <si>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</si>
  <si>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</si>
  <si>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</si>
  <si>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</si>
  <si>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</si>
  <si>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</si>
  <si>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</si>
  <si>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</si>
  <si>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</si>
  <si>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</si>
  <si>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</si>
  <si>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</si>
  <si>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</si>
  <si>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</si>
  <si>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</si>
  <si>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</si>
  <si>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</si>
  <si>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</si>
  <si>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</si>
  <si>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</si>
  <si>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</si>
  <si>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</si>
  <si>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</si>
  <si>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</si>
  <si>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</si>
  <si>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</si>
  <si>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</si>
  <si>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</si>
  <si>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</si>
  <si>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</si>
  <si>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</si>
  <si>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</si>
  <si>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</si>
  <si>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</si>
  <si>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</si>
  <si>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</si>
  <si>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</si>
  <si>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</si>
  <si>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</si>
  <si>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</si>
  <si>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</si>
  <si>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</si>
  <si>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</si>
  <si>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</si>
  <si>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</si>
  <si>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</si>
  <si>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</si>
  <si>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</si>
  <si>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</si>
  <si>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</si>
  <si>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</si>
  <si>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</si>
  <si>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</si>
  <si>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</si>
  <si>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</si>
  <si>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</si>
  <si>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</si>
  <si>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</si>
  <si>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</si>
  <si>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</si>
  <si>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</si>
  <si>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</si>
  <si>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</si>
  <si>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</si>
  <si>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</si>
  <si>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</si>
  <si>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</si>
  <si>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</si>
  <si>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</si>
  <si>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</si>
  <si>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</si>
  <si>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</si>
  <si>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</si>
  <si>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</si>
  <si>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</si>
  <si>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</si>
  <si>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</si>
  <si>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</si>
  <si>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</si>
  <si>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</si>
  <si>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</si>
  <si>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</si>
  <si>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</si>
  <si>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</si>
  <si>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</si>
  <si>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</si>
  <si>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</si>
  <si>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</si>
  <si>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</si>
  <si>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</si>
  <si>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</si>
  <si>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</si>
  <si>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</si>
  <si>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</si>
  <si>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</si>
  <si>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</si>
  <si>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</si>
  <si>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</si>
  <si>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</si>
  <si>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</si>
  <si>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</si>
  <si>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</si>
  <si>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</si>
  <si>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</si>
  <si>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</si>
  <si>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</si>
  <si>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</si>
  <si>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</si>
  <si>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</si>
  <si>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</si>
  <si>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</si>
  <si>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</si>
  <si>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</si>
  <si>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</si>
  <si>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</si>
  <si>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</si>
  <si>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</si>
  <si>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</si>
  <si>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</si>
  <si>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</si>
  <si>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</si>
  <si>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</si>
  <si>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</si>
  <si>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</si>
  <si>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</si>
  <si>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</si>
  <si>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</si>
  <si>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</si>
  <si>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</si>
  <si>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</si>
  <si>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</si>
  <si>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</si>
  <si>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</si>
  <si>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</si>
  <si>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</si>
  <si>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</si>
  <si>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</si>
  <si>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</si>
  <si>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</si>
  <si>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</si>
  <si>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</si>
  <si>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</si>
  <si>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</si>
  <si>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</si>
  <si>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</si>
  <si>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</si>
  <si>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</si>
  <si>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</si>
  <si>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</si>
  <si>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</si>
  <si>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</si>
  <si>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</si>
  <si>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</si>
  <si>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</si>
  <si>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</si>
  <si>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</si>
  <si>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</si>
  <si>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</si>
  <si>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</si>
  <si>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</si>
  <si>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</si>
  <si>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</si>
  <si>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</si>
  <si>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</si>
  <si>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</si>
  <si>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</si>
  <si>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</si>
  <si>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</si>
  <si>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</si>
  <si>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</si>
  <si>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</si>
  <si>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</si>
  <si>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</si>
  <si>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</si>
  <si>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</si>
  <si>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</si>
  <si>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</si>
  <si>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</si>
  <si>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</si>
  <si>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</si>
  <si>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</si>
  <si>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</si>
  <si>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</si>
  <si>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</si>
  <si>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</si>
  <si>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</si>
  <si>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</si>
  <si>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</si>
  <si>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</si>
  <si>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</si>
  <si>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</si>
  <si>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</si>
  <si>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</si>
  <si>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</si>
  <si>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</si>
  <si>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</si>
  <si>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</si>
  <si>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</si>
  <si>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</si>
  <si>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</si>
  <si>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</si>
  <si>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</si>
  <si>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</si>
  <si>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</si>
  <si>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</si>
  <si>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</si>
  <si>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</si>
  <si>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</si>
  <si>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</si>
  <si>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</si>
  <si>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</si>
  <si>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</si>
  <si>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</si>
  <si>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</si>
  <si>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</si>
  <si>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</si>
  <si>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</si>
  <si>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</si>
  <si>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</si>
  <si>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</si>
  <si>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</si>
  <si>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</si>
  <si>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</si>
  <si>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</si>
  <si>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</si>
  <si>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</si>
  <si>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</si>
  <si>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</si>
  <si>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</si>
  <si>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</si>
  <si>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</si>
  <si>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</si>
  <si>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</si>
  <si>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</si>
  <si>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</si>
  <si>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</si>
  <si>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</si>
  <si>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</si>
  <si>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</si>
  <si>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</si>
  <si>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</si>
  <si>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</si>
  <si>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</si>
  <si>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</si>
  <si>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</si>
  <si>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</si>
  <si>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</si>
  <si>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</si>
  <si>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</si>
  <si>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</si>
  <si>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</si>
  <si>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</si>
  <si>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</si>
  <si>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</si>
  <si>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</si>
  <si>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</si>
  <si>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</si>
  <si>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</si>
  <si>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</si>
  <si>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</si>
  <si>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</si>
  <si>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</si>
  <si>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</si>
  <si>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</si>
  <si>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</si>
  <si>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</si>
  <si>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</si>
  <si>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</si>
  <si>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</si>
  <si>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</si>
  <si>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</si>
  <si>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</si>
  <si>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</si>
  <si>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</si>
  <si>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</si>
  <si>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</si>
  <si>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</si>
  <si>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</si>
  <si>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</si>
  <si>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</si>
  <si>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</si>
  <si>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</si>
  <si>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</si>
  <si>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</si>
  <si>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</si>
  <si>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</si>
  <si>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</si>
  <si>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</si>
  <si>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</si>
  <si>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</si>
  <si>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</si>
  <si>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</si>
  <si>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</si>
  <si>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</si>
  <si>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</si>
  <si>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</si>
  <si>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</si>
  <si>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</si>
  <si>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</si>
  <si>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</si>
  <si>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</si>
  <si>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</si>
  <si>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</si>
  <si>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</si>
  <si>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</si>
  <si>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</si>
  <si>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</si>
  <si>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</si>
  <si>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</si>
  <si>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</si>
  <si>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</si>
  <si>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</si>
  <si>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</si>
  <si>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</si>
  <si>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</si>
  <si>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</si>
  <si>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</si>
  <si>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</si>
  <si>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</si>
  <si>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</si>
  <si>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</si>
  <si>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</si>
  <si>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</si>
  <si>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</si>
  <si>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</si>
  <si>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</si>
  <si>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</si>
  <si>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</si>
  <si>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</si>
  <si>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</si>
  <si>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</si>
  <si>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</si>
  <si>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</si>
  <si>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</si>
  <si>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</si>
  <si>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</si>
  <si>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</si>
  <si>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</si>
  <si>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</si>
  <si>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</si>
  <si>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</si>
  <si>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</si>
  <si>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</si>
  <si>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</si>
  <si>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</si>
  <si>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</si>
  <si>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</si>
  <si>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</si>
  <si>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</si>
  <si>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</si>
  <si>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</si>
  <si>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</si>
  <si>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</si>
  <si>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</si>
  <si>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</si>
  <si>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</si>
  <si>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</si>
  <si>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</si>
  <si>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</si>
  <si>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</si>
  <si>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</si>
  <si>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</si>
  <si>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</si>
  <si>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</si>
  <si>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</si>
  <si>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</si>
  <si>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</si>
  <si>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</si>
  <si>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</si>
  <si>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</si>
  <si>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</si>
  <si>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</si>
  <si>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</si>
  <si>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</si>
  <si>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</si>
  <si>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</si>
  <si>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</si>
  <si>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</si>
  <si>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</si>
  <si>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</si>
  <si>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</si>
  <si>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</si>
  <si>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</si>
  <si>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</si>
  <si>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</si>
  <si>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</si>
  <si>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</si>
  <si>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</si>
  <si>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</si>
  <si>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</si>
  <si>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</si>
  <si>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</si>
  <si>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</si>
  <si>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</si>
  <si>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</si>
  <si>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</si>
  <si>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</si>
  <si>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</si>
  <si>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</si>
  <si>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</si>
  <si>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</si>
  <si>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</si>
  <si>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</si>
  <si>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</si>
  <si>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</si>
  <si>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</si>
  <si>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</si>
  <si>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</si>
  <si>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</si>
  <si>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</si>
  <si>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</si>
  <si>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</si>
  <si>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</si>
  <si>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</si>
  <si>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</si>
  <si>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</si>
  <si>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</si>
  <si>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</si>
  <si>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</si>
  <si>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</si>
  <si>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</si>
  <si>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</si>
  <si>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</si>
  <si>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</si>
  <si>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</si>
  <si>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</si>
  <si>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</si>
  <si>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</si>
  <si>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</si>
  <si>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</si>
  <si>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</si>
  <si>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</si>
  <si>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</si>
  <si>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</si>
  <si>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</si>
  <si>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</si>
  <si>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</si>
  <si>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</si>
  <si>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</si>
  <si>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</si>
  <si>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</si>
  <si>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</si>
  <si>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</si>
  <si>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</si>
  <si>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</si>
  <si>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</si>
  <si>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</si>
  <si>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</si>
  <si>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</si>
  <si>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</si>
  <si>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</si>
  <si>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</si>
  <si>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</si>
  <si>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</si>
  <si>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</si>
  <si>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</si>
  <si>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</si>
  <si>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</si>
  <si>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</si>
  <si>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</si>
  <si>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</si>
  <si>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</si>
  <si>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</si>
  <si>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</si>
  <si>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</si>
  <si>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</si>
  <si>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</si>
  <si>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</si>
  <si>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</si>
  <si>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</si>
  <si>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</si>
  <si>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</si>
  <si>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</si>
  <si>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</si>
  <si>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</si>
  <si>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</si>
  <si>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</si>
  <si>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</si>
  <si>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</si>
  <si>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</si>
  <si>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</si>
  <si>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</si>
  <si>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</si>
  <si>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</si>
  <si>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</si>
  <si>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</si>
  <si>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</si>
  <si>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</si>
  <si>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</si>
  <si>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</si>
  <si>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</si>
  <si>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</si>
  <si>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</si>
  <si>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</si>
  <si>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</si>
  <si>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</si>
  <si>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</si>
  <si>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</si>
  <si>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</si>
  <si>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</si>
  <si>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</si>
  <si>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</si>
  <si>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</si>
  <si>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</si>
  <si>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</si>
  <si>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</si>
  <si>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</si>
  <si>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</si>
  <si>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</si>
  <si>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</si>
  <si>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</si>
  <si>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</si>
  <si>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</si>
  <si>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</si>
  <si>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</si>
  <si>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</si>
  <si>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</si>
  <si>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</si>
  <si>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</si>
  <si>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</si>
  <si>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</si>
  <si>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</si>
  <si>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</si>
  <si>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</si>
  <si>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</si>
  <si>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</si>
  <si>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</si>
  <si>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</si>
  <si>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</si>
  <si>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</si>
  <si>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</si>
  <si>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</si>
  <si>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</si>
  <si>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</si>
  <si>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</si>
  <si>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</si>
  <si>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</si>
  <si>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</si>
  <si>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</si>
  <si>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</si>
  <si>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</si>
  <si>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</si>
  <si>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</si>
  <si>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</si>
  <si>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</si>
  <si>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</si>
  <si>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</si>
  <si>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</si>
  <si>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</si>
  <si>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</si>
  <si>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</si>
  <si>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</si>
  <si>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</si>
  <si>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</si>
  <si>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</si>
  <si>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</si>
  <si>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</si>
  <si>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</si>
  <si>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</si>
  <si>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</si>
  <si>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</si>
  <si>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</si>
  <si>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</si>
  <si>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</si>
  <si>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</si>
  <si>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</si>
  <si>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</si>
  <si>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</si>
  <si>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</si>
  <si>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</si>
  <si>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</si>
  <si>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</si>
  <si>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</si>
  <si>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</si>
  <si>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</si>
  <si>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</si>
  <si>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</si>
  <si>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</si>
  <si>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</si>
  <si>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</si>
  <si>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</si>
  <si>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</si>
  <si>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</si>
  <si>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</si>
  <si>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</si>
  <si>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</si>
  <si>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</si>
  <si>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</si>
  <si>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</si>
  <si>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</si>
  <si>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</si>
  <si>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</si>
  <si>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</si>
  <si>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</si>
  <si>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</si>
  <si>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</si>
  <si>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</si>
  <si>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</si>
  <si>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</si>
  <si>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</si>
  <si>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</si>
  <si>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</si>
  <si>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</si>
  <si>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</si>
  <si>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</si>
  <si>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</si>
  <si>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</si>
  <si>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</si>
  <si>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</si>
  <si>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</si>
  <si>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</si>
  <si>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</si>
  <si>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</si>
  <si>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</si>
  <si>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</si>
  <si>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</si>
  <si>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</si>
  <si>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</si>
  <si>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</si>
  <si>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</si>
  <si>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</si>
  <si>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</si>
  <si>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</si>
  <si>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</si>
  <si>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</si>
  <si>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</si>
  <si>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</si>
  <si>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</si>
  <si>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</si>
  <si>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</si>
  <si>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</si>
  <si>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</si>
  <si>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</si>
  <si>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</si>
  <si>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</si>
  <si>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</si>
  <si>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</si>
  <si>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</si>
  <si>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</si>
  <si>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</si>
  <si>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</si>
  <si>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</si>
  <si>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</si>
  <si>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</si>
  <si>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</si>
  <si>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</si>
  <si>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</si>
  <si>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</si>
  <si>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</si>
  <si>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</si>
  <si>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</si>
  <si>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</si>
  <si>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</si>
  <si>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</si>
  <si>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</si>
  <si>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</si>
  <si>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</si>
  <si>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</si>
  <si>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</si>
  <si>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</si>
  <si>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</si>
  <si>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</si>
  <si>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</si>
  <si>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</si>
  <si>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</si>
  <si>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</si>
  <si>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</si>
  <si>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</si>
  <si>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</si>
  <si>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</si>
  <si>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</si>
  <si>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</si>
  <si>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</si>
  <si>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</si>
  <si>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</si>
  <si>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</si>
  <si>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</si>
  <si>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</si>
  <si>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</si>
  <si>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</si>
  <si>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</si>
  <si>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</si>
  <si>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</si>
  <si>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</si>
  <si>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</si>
  <si>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</si>
  <si>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</si>
  <si>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</si>
  <si>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</si>
  <si>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</si>
  <si>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</si>
  <si>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</si>
  <si>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</si>
  <si>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</si>
  <si>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</si>
  <si>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</si>
  <si>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</si>
  <si>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</si>
  <si>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</si>
  <si>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</si>
  <si>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</si>
  <si>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</si>
  <si>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</si>
  <si>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</si>
  <si>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</si>
  <si>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</si>
  <si>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</si>
  <si>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</si>
  <si>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</si>
  <si>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</si>
  <si>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</si>
  <si>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</si>
  <si>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</si>
  <si>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</si>
  <si>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</si>
  <si>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</si>
  <si>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</si>
  <si>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</si>
  <si>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</si>
  <si>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</si>
  <si>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</si>
  <si>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</si>
  <si>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</si>
  <si>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</si>
  <si>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</si>
  <si>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</si>
  <si>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</si>
  <si>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</si>
  <si>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</si>
  <si>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</si>
  <si>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</si>
  <si>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</si>
  <si>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</si>
  <si>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</si>
  <si>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</si>
  <si>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</si>
  <si>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</si>
  <si>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</si>
  <si>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</si>
  <si>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</si>
  <si>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</si>
  <si>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</si>
  <si>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</si>
  <si>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</si>
  <si>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</si>
  <si>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</si>
  <si>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</si>
  <si>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</si>
  <si>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</si>
  <si>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</si>
  <si>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</si>
  <si>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</si>
  <si>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</si>
  <si>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</si>
  <si>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</si>
  <si>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</si>
  <si>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</si>
  <si>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</si>
  <si>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</si>
  <si>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</si>
  <si>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</si>
  <si>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</si>
  <si>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</si>
  <si>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</si>
  <si>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</si>
  <si>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</si>
  <si>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</si>
  <si>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</si>
  <si>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</si>
  <si>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</si>
  <si>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</si>
  <si>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</si>
  <si>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</si>
  <si>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</si>
  <si>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</si>
  <si>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</si>
  <si>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</si>
  <si>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</si>
  <si>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</si>
  <si>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</si>
  <si>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</si>
  <si>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</si>
  <si>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</si>
  <si>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</si>
  <si>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</si>
  <si>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</si>
  <si>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</si>
  <si>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</si>
  <si>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</si>
  <si>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</si>
  <si>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</si>
  <si>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</si>
  <si>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</si>
  <si>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</si>
  <si>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</si>
  <si>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</si>
  <si>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</si>
  <si>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</si>
  <si>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</si>
  <si>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</si>
  <si>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</si>
  <si>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</si>
  <si>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</si>
  <si>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</si>
  <si>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</si>
  <si>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</si>
  <si>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</si>
  <si>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</si>
  <si>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</si>
  <si>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</si>
  <si>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</si>
  <si>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</si>
  <si>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</si>
  <si>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</si>
  <si>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</si>
  <si>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</si>
  <si>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</si>
  <si>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</si>
  <si>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</si>
  <si>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</si>
  <si>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</si>
  <si>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</si>
  <si>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</si>
  <si>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</si>
  <si>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</si>
  <si>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</si>
  <si>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</si>
  <si>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</si>
  <si>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</si>
  <si>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</si>
  <si>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</si>
  <si>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</si>
  <si>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</si>
  <si>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</si>
  <si>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</si>
  <si>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</si>
  <si>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</si>
  <si>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</si>
  <si>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</si>
  <si>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</si>
  <si>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</si>
  <si>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</si>
  <si>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</si>
  <si>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</si>
  <si>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</si>
  <si>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</si>
  <si>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</si>
  <si>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</si>
  <si>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</si>
  <si>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</si>
  <si>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</si>
  <si>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</si>
  <si>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</si>
  <si>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</si>
  <si>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</si>
  <si>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</si>
  <si>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</si>
  <si>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</si>
  <si>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</si>
  <si>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</si>
  <si>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</si>
  <si>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</si>
  <si>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</si>
  <si>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</si>
  <si>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</si>
  <si>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</si>
  <si>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</si>
  <si>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</si>
  <si>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</si>
  <si>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</si>
  <si>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</si>
  <si>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</si>
  <si>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</si>
  <si>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</si>
  <si>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</si>
  <si>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</si>
  <si>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</si>
  <si>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</si>
  <si>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</si>
  <si>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</si>
  <si>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</si>
  <si>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</si>
  <si>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</si>
  <si>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</si>
  <si>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</si>
  <si>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</si>
  <si>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</si>
  <si>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</si>
  <si>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</si>
  <si>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</si>
  <si>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</si>
  <si>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</si>
  <si>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</si>
  <si>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</si>
  <si>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</si>
  <si>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</si>
  <si>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</si>
  <si>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</si>
  <si>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</si>
  <si>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</si>
  <si>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</si>
  <si>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</si>
  <si>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</si>
  <si>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</si>
  <si>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</si>
  <si>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</si>
  <si>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</si>
  <si>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</si>
  <si>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</si>
  <si>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</si>
  <si>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</si>
  <si>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</si>
  <si>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</si>
  <si>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</si>
  <si>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</si>
  <si>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</si>
  <si>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</si>
  <si>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</si>
  <si>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</si>
  <si>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</si>
  <si>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</si>
  <si>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</si>
  <si>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</si>
  <si>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</si>
  <si>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</si>
  <si>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</si>
  <si>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</si>
  <si>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</si>
  <si>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</si>
  <si>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</si>
  <si>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</si>
  <si>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</si>
  <si>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</si>
  <si>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</si>
  <si>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</si>
  <si>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</si>
  <si>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</si>
  <si>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</si>
  <si>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</si>
  <si>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</si>
  <si>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</si>
  <si>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</si>
  <si>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</si>
  <si>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</si>
  <si>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</si>
  <si>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</si>
  <si>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</si>
  <si>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</si>
  <si>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</si>
  <si>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</si>
  <si>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</si>
  <si>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</si>
  <si>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</si>
  <si>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</si>
  <si>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</si>
  <si>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</si>
  <si>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</si>
  <si>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</si>
  <si>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</si>
  <si>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</si>
  <si>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</si>
  <si>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</si>
  <si>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</si>
  <si>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</si>
  <si>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</si>
  <si>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</si>
  <si>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</si>
  <si>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</si>
  <si>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</si>
  <si>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</si>
  <si>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</si>
  <si>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</si>
  <si>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</si>
  <si>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</si>
  <si>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</si>
  <si>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</si>
  <si>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</si>
  <si>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</si>
  <si>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</si>
  <si>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</si>
  <si>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</si>
  <si>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</si>
  <si>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</si>
  <si>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</si>
  <si>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</si>
  <si>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</si>
  <si>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</si>
  <si>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</si>
  <si>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</si>
  <si>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</si>
  <si>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</si>
  <si>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</si>
  <si>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</si>
  <si>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</si>
  <si>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</si>
  <si>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</si>
  <si>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</si>
  <si>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</si>
  <si>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</si>
  <si>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</si>
  <si>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</si>
  <si>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</si>
  <si>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</si>
  <si>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</si>
  <si>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</si>
  <si>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</si>
  <si>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</si>
  <si>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</si>
  <si>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</si>
  <si>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</si>
  <si>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</si>
  <si>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</si>
  <si>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</si>
  <si>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</si>
  <si>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</si>
  <si>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</si>
  <si>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</si>
  <si>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</si>
  <si>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</si>
  <si>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</si>
  <si>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</si>
  <si>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</si>
  <si>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</si>
  <si>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</si>
  <si>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</si>
  <si>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</si>
  <si>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</si>
  <si>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</si>
  <si>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</si>
  <si>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</si>
  <si>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</si>
  <si>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</si>
  <si>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</si>
  <si>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</si>
  <si>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</si>
  <si>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</si>
  <si>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</si>
  <si>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</si>
  <si>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</si>
  <si>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</si>
  <si>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</si>
  <si>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</si>
  <si>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</si>
  <si>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</si>
  <si>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</si>
  <si>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</si>
  <si>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</si>
  <si>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</si>
  <si>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</si>
  <si>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</si>
  <si>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</si>
  <si>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</si>
  <si>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</si>
  <si>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</si>
  <si>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</si>
  <si>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</si>
  <si>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</si>
  <si>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</si>
  <si>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</si>
  <si>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</si>
  <si>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</si>
  <si>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</si>
  <si>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</si>
  <si>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</si>
  <si>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</si>
  <si>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</si>
  <si>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</si>
  <si>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</si>
  <si>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</si>
  <si>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</si>
  <si>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</si>
  <si>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</si>
  <si>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</si>
  <si>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</si>
  <si>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</si>
  <si>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</si>
  <si>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</si>
  <si>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</si>
  <si>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</si>
  <si>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</si>
  <si>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</si>
  <si>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</si>
  <si>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</si>
  <si>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</si>
  <si>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</si>
  <si>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</si>
  <si>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</si>
  <si>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</si>
  <si>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</si>
  <si>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</si>
  <si>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</si>
  <si>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</si>
  <si>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</si>
  <si>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</si>
  <si>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</si>
  <si>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</si>
  <si>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</si>
  <si>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</si>
  <si>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</si>
  <si>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</si>
  <si>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</si>
  <si>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</si>
  <si>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</si>
  <si>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</si>
  <si>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</si>
  <si>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</si>
  <si>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</si>
  <si>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</si>
  <si>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</si>
  <si>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</si>
  <si>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</si>
  <si>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</si>
  <si>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</si>
  <si>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</si>
  <si>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</si>
  <si>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</si>
  <si>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</si>
  <si>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</si>
  <si>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</si>
  <si>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</si>
  <si>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</si>
  <si>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</si>
  <si>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</si>
  <si>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</si>
  <si>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</si>
  <si>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</si>
  <si>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</si>
  <si>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</si>
  <si>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</si>
  <si>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</si>
  <si>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</si>
  <si>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</si>
  <si>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</si>
  <si>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</si>
  <si>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</si>
  <si>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</si>
  <si>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</si>
  <si>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</si>
  <si>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</si>
  <si>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</si>
  <si>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</si>
  <si>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</si>
  <si>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</si>
  <si>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</si>
  <si>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</si>
  <si>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</si>
  <si>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</si>
  <si>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</si>
  <si>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</si>
  <si>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</si>
  <si>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</si>
  <si>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</si>
  <si>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</si>
  <si>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</si>
  <si>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</si>
  <si>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</si>
  <si>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</si>
  <si>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</si>
  <si>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</si>
  <si>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</si>
  <si>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</si>
  <si>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</si>
  <si>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</si>
  <si>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</si>
  <si>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</si>
  <si>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</si>
  <si>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</si>
  <si>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</si>
  <si>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</si>
  <si>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</si>
  <si>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</si>
  <si>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</si>
  <si>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</si>
  <si>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</si>
  <si>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</si>
  <si>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</si>
  <si>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</si>
  <si>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</si>
  <si>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</si>
  <si>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</si>
  <si>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</si>
  <si>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</si>
  <si>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</si>
  <si>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</si>
  <si>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</si>
  <si>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</si>
  <si>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</si>
  <si>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</si>
  <si>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</si>
  <si>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</si>
  <si>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</si>
  <si>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</si>
  <si>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</si>
  <si>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</si>
  <si>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</si>
  <si>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</si>
  <si>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</si>
  <si>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</si>
  <si>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</si>
  <si>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</si>
  <si>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</si>
  <si>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</si>
  <si>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</si>
  <si>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</si>
  <si>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</si>
  <si>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</si>
  <si>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</si>
  <si>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</si>
  <si>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</si>
  <si>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</si>
  <si>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</si>
  <si>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</si>
  <si>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</si>
  <si>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</si>
  <si>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</si>
  <si>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</si>
  <si>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</si>
  <si>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</si>
  <si>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</si>
  <si>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</si>
  <si>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</si>
  <si>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</si>
  <si>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</si>
  <si>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</si>
  <si>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</si>
  <si>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</si>
  <si>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</si>
  <si>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</si>
  <si>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</si>
  <si>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</si>
  <si>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</si>
  <si>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</si>
  <si>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</si>
  <si>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</si>
  <si>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</si>
  <si>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</si>
  <si>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</si>
  <si>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</si>
  <si>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</si>
  <si>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</si>
  <si>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</si>
  <si>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</si>
  <si>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</si>
  <si>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</si>
  <si>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</si>
  <si>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</si>
  <si>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</si>
  <si>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</si>
  <si>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</si>
  <si>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</si>
  <si>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</si>
  <si>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</si>
  <si>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</si>
  <si>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</si>
  <si>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</si>
  <si>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</si>
  <si>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</si>
  <si>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</si>
  <si>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</si>
  <si>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</si>
  <si>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</si>
  <si>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</si>
  <si>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</si>
  <si>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</si>
  <si>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</si>
  <si>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</si>
  <si>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</si>
  <si>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</si>
  <si>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</si>
  <si>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</si>
  <si>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</si>
  <si>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</si>
  <si>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</si>
  <si>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</si>
  <si>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</si>
  <si>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</si>
  <si>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</si>
  <si>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</si>
  <si>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</si>
  <si>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</si>
  <si>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</si>
  <si>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</si>
  <si>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</si>
  <si>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</si>
  <si>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</si>
  <si>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</si>
  <si>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</si>
  <si>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</si>
  <si>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</si>
  <si>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</si>
  <si>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</si>
  <si>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</si>
  <si>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</si>
  <si>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</si>
  <si>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</si>
  <si>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</si>
  <si>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</si>
  <si>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</si>
  <si>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</si>
  <si>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</si>
  <si>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</si>
  <si>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</si>
  <si>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</si>
  <si>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</si>
  <si>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</si>
  <si>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</si>
  <si>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</si>
  <si>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</si>
  <si>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</si>
  <si>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</si>
  <si>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</si>
  <si>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</si>
  <si>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</si>
  <si>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</si>
  <si>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</si>
  <si>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</si>
  <si>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</si>
  <si>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</si>
  <si>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</si>
  <si>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</si>
  <si>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</si>
  <si>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</si>
  <si>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</si>
  <si>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</si>
  <si>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</si>
  <si>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</si>
  <si>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</si>
  <si>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</si>
  <si>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</si>
  <si>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</si>
  <si>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</si>
  <si>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</si>
  <si>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</si>
  <si>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</si>
  <si>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</si>
  <si>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</si>
  <si>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</si>
  <si>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</si>
  <si>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</si>
  <si>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</si>
  <si>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</si>
  <si>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</si>
  <si>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</si>
  <si>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</si>
  <si>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</si>
  <si>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</si>
  <si>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</si>
  <si>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</si>
  <si>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</si>
  <si>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</si>
  <si>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</si>
  <si>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</si>
  <si>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</si>
  <si>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</si>
  <si>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</si>
  <si>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</si>
  <si>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</si>
  <si>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</si>
  <si>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</si>
  <si>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</si>
  <si>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</si>
  <si>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</si>
  <si>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</si>
  <si>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</si>
  <si>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</si>
  <si>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</si>
  <si>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</si>
  <si>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</si>
  <si>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</si>
  <si>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</si>
  <si>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</si>
  <si>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</si>
  <si>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</si>
  <si>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</si>
  <si>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</si>
  <si>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</si>
  <si>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</si>
  <si>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</si>
  <si>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</si>
  <si>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</si>
  <si>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</si>
  <si>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</si>
  <si>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</si>
  <si>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</si>
  <si>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</si>
  <si>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</si>
  <si>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</si>
  <si>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</si>
  <si>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</si>
  <si>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</si>
  <si>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</si>
  <si>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</si>
  <si>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</si>
  <si>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</si>
  <si>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</si>
  <si>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</si>
  <si>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</si>
  <si>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</si>
  <si>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</si>
  <si>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</si>
  <si>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</si>
  <si>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</si>
  <si>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</si>
  <si>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</si>
  <si>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</si>
  <si>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</si>
  <si>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</si>
  <si>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</si>
  <si>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</si>
  <si>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</si>
  <si>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</si>
  <si>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</si>
  <si>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</si>
  <si>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</si>
  <si>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</si>
  <si>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</si>
  <si>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</si>
  <si>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</si>
  <si>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</si>
  <si>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</si>
  <si>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</si>
  <si>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</si>
  <si>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</si>
  <si>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</si>
  <si>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</si>
  <si>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</si>
  <si>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</si>
  <si>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</si>
  <si>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</si>
  <si>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</si>
  <si>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</si>
  <si>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</si>
  <si>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</si>
  <si>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</si>
  <si>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</si>
  <si>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</si>
  <si>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</si>
  <si>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</si>
  <si>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</si>
  <si>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</si>
  <si>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</si>
  <si>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</si>
  <si>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</si>
  <si>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</si>
  <si>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</si>
  <si>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</si>
  <si>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</si>
  <si>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</si>
  <si>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</si>
  <si>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</si>
  <si>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</si>
  <si>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</si>
  <si>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</si>
  <si>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</si>
  <si>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</si>
  <si>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</si>
  <si>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</si>
  <si>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</si>
  <si>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</si>
  <si>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</si>
  <si>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</si>
  <si>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</si>
  <si>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</si>
  <si>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</si>
  <si>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</si>
  <si>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</si>
  <si>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</si>
  <si>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</si>
  <si>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</si>
  <si>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</si>
  <si>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</si>
  <si>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</si>
  <si>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</si>
  <si>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</si>
  <si>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</si>
  <si>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</si>
  <si>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</si>
  <si>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</si>
  <si>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</si>
  <si>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</si>
  <si>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</si>
  <si>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</si>
  <si>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</si>
  <si>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</si>
  <si>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</si>
  <si>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</si>
  <si>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</si>
  <si>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</si>
  <si>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</si>
  <si>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</si>
  <si>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</si>
  <si>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</si>
  <si>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</si>
  <si>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</si>
  <si>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</si>
  <si>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</si>
  <si>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</si>
  <si>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</si>
  <si>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</si>
  <si>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</si>
  <si>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</si>
  <si>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</si>
  <si>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</si>
  <si>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</si>
  <si>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</si>
  <si>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</si>
  <si>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</si>
  <si>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</si>
  <si>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</si>
  <si>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</si>
  <si>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</si>
  <si>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</si>
  <si>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</si>
  <si>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</si>
  <si>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</si>
  <si>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</si>
  <si>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</si>
  <si>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</si>
  <si>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</si>
  <si>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</si>
  <si>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</si>
  <si>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</si>
  <si>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</si>
  <si>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</si>
  <si>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</si>
  <si>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</si>
  <si>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</si>
  <si>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</si>
  <si>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</si>
  <si>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</si>
  <si>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</si>
  <si>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</si>
  <si>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</si>
  <si>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</si>
  <si>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</si>
  <si>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</si>
  <si>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</si>
  <si>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</si>
  <si>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</si>
  <si>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</si>
  <si>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</si>
  <si>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</si>
  <si>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</si>
  <si>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</si>
  <si>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</si>
  <si>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</si>
  <si>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</si>
  <si>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</si>
  <si>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</si>
  <si>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</si>
  <si>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</si>
  <si>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</si>
  <si>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</si>
  <si>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</si>
  <si>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</si>
  <si>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</si>
  <si>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</si>
  <si>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</si>
  <si>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</si>
  <si>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</si>
  <si>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</si>
  <si>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</si>
  <si>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</si>
  <si>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</si>
  <si>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</si>
  <si>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</si>
  <si>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</si>
  <si>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</si>
  <si>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</si>
  <si>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</si>
  <si>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</si>
  <si>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</si>
  <si>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</si>
  <si>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</si>
  <si>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</si>
  <si>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</si>
  <si>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</si>
  <si>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</si>
  <si>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</si>
  <si>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</si>
  <si>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</si>
  <si>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</si>
  <si>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</si>
  <si>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</si>
  <si>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</si>
  <si>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</si>
  <si>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</si>
  <si>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</si>
  <si>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</si>
  <si>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</si>
  <si>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</si>
  <si>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</si>
  <si>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</si>
  <si>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</si>
  <si>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</si>
  <si>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</si>
  <si>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</si>
  <si>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</si>
  <si>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</si>
  <si>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</si>
  <si>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</si>
  <si>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</si>
  <si>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</si>
  <si>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</si>
  <si>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</si>
  <si>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</si>
  <si>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</si>
  <si>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</si>
  <si>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</si>
  <si>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</si>
  <si>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</si>
  <si>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</si>
  <si>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</si>
  <si>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</si>
  <si>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</si>
  <si>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</si>
  <si>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</si>
  <si>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</si>
  <si>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</si>
  <si>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</si>
  <si>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</si>
  <si>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</si>
  <si>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</si>
  <si>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</si>
  <si>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</si>
  <si>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</si>
  <si>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</si>
  <si>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</si>
  <si>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</si>
  <si>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</si>
  <si>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</si>
  <si>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</si>
  <si>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</si>
  <si>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</si>
  <si>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</si>
  <si>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</si>
  <si>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</si>
  <si>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</si>
  <si>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</si>
  <si>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</si>
  <si>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</si>
  <si>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</si>
  <si>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</si>
  <si>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</si>
  <si>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</si>
  <si>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</si>
  <si>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</si>
  <si>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</si>
  <si>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</si>
  <si>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</si>
  <si>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</si>
  <si>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</si>
  <si>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</si>
  <si>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</si>
  <si>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</si>
  <si>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</si>
  <si>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</si>
  <si>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</si>
  <si>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</si>
  <si>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</si>
  <si>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</si>
  <si>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</si>
  <si>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</si>
  <si>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</si>
  <si>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</si>
  <si>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</si>
  <si>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</si>
  <si>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</si>
  <si>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</si>
  <si>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</si>
  <si>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</si>
  <si>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</si>
  <si>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</si>
  <si>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</si>
  <si>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</si>
  <si>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</si>
  <si>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</si>
  <si>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</si>
  <si>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</si>
  <si>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</si>
  <si>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</si>
  <si>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</si>
  <si>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</si>
  <si>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</si>
  <si>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</si>
  <si>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</si>
  <si>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</si>
  <si>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</si>
  <si>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</si>
  <si>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</si>
  <si>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</si>
  <si>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</si>
  <si>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</si>
  <si>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</si>
  <si>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</si>
  <si>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</si>
  <si>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</si>
  <si>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</si>
  <si>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</si>
  <si>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</si>
  <si>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</si>
  <si>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</si>
  <si>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</si>
  <si>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</si>
  <si>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</si>
  <si>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</si>
  <si>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</si>
  <si>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</si>
  <si>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</si>
  <si>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</si>
  <si>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</si>
  <si>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</si>
  <si>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</si>
  <si>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</si>
  <si>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</si>
  <si>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</si>
  <si>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</si>
  <si>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</si>
  <si>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</si>
  <si>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</si>
  <si>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</si>
  <si>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</si>
  <si>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</si>
  <si>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</si>
  <si>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</si>
  <si>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</si>
  <si>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</si>
  <si>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</si>
  <si>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</si>
  <si>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</si>
  <si>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</si>
  <si>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</si>
  <si>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</si>
  <si>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</si>
  <si>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</si>
  <si>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</si>
  <si>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</si>
  <si>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</si>
  <si>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</si>
  <si>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</si>
  <si>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</si>
  <si>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</si>
  <si>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</si>
  <si>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</si>
  <si>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</si>
  <si>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</si>
  <si>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</si>
  <si>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</si>
  <si>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</si>
  <si>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</si>
  <si>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</si>
  <si>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</si>
  <si>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</si>
  <si>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</si>
  <si>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</si>
  <si>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</si>
  <si>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</si>
  <si>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</si>
  <si>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</si>
  <si>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</si>
  <si>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</si>
  <si>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</si>
  <si>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</si>
  <si>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</si>
  <si>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</si>
  <si>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</si>
  <si>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</si>
  <si>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</si>
  <si>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</si>
  <si>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</si>
  <si>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</si>
  <si>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</si>
  <si>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</si>
  <si>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</si>
  <si>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</si>
  <si>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</si>
  <si>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</si>
  <si>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</si>
  <si>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</si>
  <si>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</si>
  <si>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</si>
  <si>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</si>
  <si>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</si>
  <si>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</si>
  <si>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</si>
  <si>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</si>
  <si>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</si>
  <si>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</si>
  <si>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</si>
  <si>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</si>
  <si>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</si>
  <si>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</si>
  <si>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</si>
  <si>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</si>
  <si>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</si>
  <si>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</si>
  <si>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</si>
  <si>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</si>
  <si>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</si>
  <si>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</si>
  <si>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</si>
  <si>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</si>
  <si>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</si>
  <si>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</si>
  <si>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</si>
  <si>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</si>
  <si>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</si>
  <si>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</si>
  <si>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</si>
  <si>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</si>
  <si>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</si>
  <si>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</si>
  <si>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</si>
  <si>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</si>
  <si>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</si>
  <si>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</si>
  <si>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</si>
  <si>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</si>
  <si>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</si>
  <si>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</si>
  <si>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</si>
  <si>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</si>
  <si>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</si>
  <si>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</si>
  <si>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</si>
  <si>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</si>
  <si>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</si>
  <si>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</si>
  <si>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</si>
  <si>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</si>
  <si>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</si>
  <si>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</si>
  <si>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</si>
  <si>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</si>
  <si>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</si>
  <si>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</si>
  <si>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</si>
  <si>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</si>
  <si>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</si>
  <si>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</si>
  <si>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</si>
  <si>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</si>
  <si>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</si>
  <si>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</si>
  <si>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</si>
  <si>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</si>
  <si>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</si>
  <si>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</si>
  <si>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</si>
  <si>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</si>
  <si>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</si>
  <si>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</si>
  <si>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</si>
  <si>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</si>
  <si>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</si>
  <si>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</si>
  <si>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</si>
  <si>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</si>
  <si>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</si>
  <si>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</si>
  <si>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</si>
  <si>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</si>
  <si>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</si>
  <si>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</si>
  <si>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</si>
  <si>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</si>
  <si>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</si>
  <si>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</si>
  <si>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</si>
  <si>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</si>
  <si>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</si>
  <si>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</si>
  <si>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</si>
  <si>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</si>
  <si>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</si>
  <si>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</si>
  <si>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</si>
  <si>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</si>
  <si>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</si>
  <si>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</si>
  <si>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</si>
  <si>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</si>
  <si>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</si>
  <si>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</si>
  <si>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</si>
  <si>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</si>
  <si>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</si>
  <si>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</si>
  <si>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</si>
  <si>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</si>
  <si>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</si>
  <si>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</si>
  <si>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</si>
  <si>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</si>
  <si>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</si>
  <si>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</si>
  <si>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</si>
  <si>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</si>
  <si>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</si>
  <si>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</si>
  <si>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</si>
  <si>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</si>
  <si>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</si>
  <si>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</si>
  <si>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</si>
  <si>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</si>
  <si>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</si>
  <si>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</si>
  <si>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</si>
  <si>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</si>
  <si>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</si>
  <si>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</si>
  <si>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</si>
  <si>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</si>
  <si>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</si>
  <si>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</si>
  <si>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</si>
  <si>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</si>
  <si>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</si>
  <si>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</si>
  <si>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</si>
  <si>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</si>
  <si>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</si>
  <si>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</si>
  <si>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</si>
  <si>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</si>
  <si>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</si>
  <si>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</si>
  <si>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</si>
  <si>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</si>
  <si>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</si>
  <si>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</si>
  <si>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</si>
  <si>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</si>
  <si>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</si>
  <si>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</si>
  <si>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</si>
  <si>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</si>
  <si>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</si>
  <si>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</si>
  <si>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</si>
  <si>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</si>
  <si>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</si>
  <si>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</si>
  <si>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</si>
  <si>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</si>
  <si>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</si>
  <si>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</si>
  <si>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</si>
  <si>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</si>
  <si>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</si>
  <si>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</si>
  <si>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</si>
  <si>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</si>
  <si>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</si>
  <si>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</si>
  <si>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</si>
  <si>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</si>
  <si>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</si>
  <si>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</si>
  <si>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</si>
  <si>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</si>
  <si>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</si>
  <si>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</si>
  <si>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</si>
  <si>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</si>
  <si>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</si>
  <si>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</si>
  <si>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</si>
  <si>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</si>
  <si>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</si>
  <si>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</si>
  <si>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</si>
  <si>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</si>
  <si>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</si>
  <si>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</si>
  <si>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</si>
  <si>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</si>
  <si>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</si>
  <si>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</si>
  <si>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</si>
  <si>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</si>
  <si>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</si>
  <si>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</si>
  <si>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</si>
  <si>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</si>
  <si>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</si>
  <si>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</si>
  <si>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</si>
  <si>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</si>
  <si>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</si>
  <si>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</si>
  <si>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</si>
  <si>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</si>
  <si>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</si>
  <si>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</si>
  <si>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</si>
  <si>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</si>
  <si>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</si>
  <si>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</si>
  <si>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</si>
  <si>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</si>
  <si>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</si>
  <si>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</si>
  <si>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</si>
  <si>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</si>
  <si>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</si>
  <si>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</si>
  <si>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</si>
  <si>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</si>
  <si>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</si>
  <si>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</si>
  <si>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</si>
  <si>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</si>
  <si>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</si>
  <si>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</si>
  <si>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</si>
  <si>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</si>
  <si>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</si>
  <si>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</si>
  <si>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</si>
  <si>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</si>
  <si>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</si>
  <si>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</si>
  <si>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</si>
  <si>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</si>
  <si>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</si>
  <si>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</si>
  <si>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</si>
  <si>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</si>
  <si>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</si>
  <si>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</si>
  <si>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</si>
  <si>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</si>
  <si>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</si>
  <si>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</si>
  <si>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</si>
  <si>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</si>
  <si>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</si>
  <si>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</si>
  <si>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</si>
  <si>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</si>
  <si>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</si>
  <si>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</si>
  <si>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</si>
  <si>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</si>
  <si>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</si>
  <si>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</si>
  <si>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</si>
  <si>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</si>
  <si>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</si>
  <si>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</si>
  <si>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</si>
  <si>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</si>
  <si>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</si>
  <si>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</si>
  <si>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</si>
  <si>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</si>
  <si>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</si>
  <si>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</si>
  <si>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</si>
  <si>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</si>
  <si>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</si>
  <si>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</si>
  <si>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</si>
  <si>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</si>
  <si>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</si>
  <si>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</si>
  <si>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</si>
  <si>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</si>
  <si>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</si>
  <si>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</si>
  <si>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</si>
  <si>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</si>
  <si>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</si>
  <si>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</si>
  <si>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</si>
  <si>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</si>
  <si>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</si>
  <si>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</si>
  <si>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</si>
  <si>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</si>
  <si>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</si>
  <si>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</si>
  <si>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</si>
  <si>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</si>
  <si>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</si>
  <si>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</si>
  <si>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</si>
  <si>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</si>
  <si>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</si>
  <si>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</si>
  <si>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</si>
  <si>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</si>
  <si>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</si>
  <si>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</si>
  <si>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</si>
  <si>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</si>
  <si>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</si>
  <si>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</si>
  <si>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</si>
  <si>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</si>
  <si>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</si>
  <si>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</si>
  <si>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</si>
  <si>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</si>
  <si>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</si>
  <si>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</si>
  <si>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</si>
  <si>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</si>
  <si>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</si>
  <si>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</si>
  <si>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</si>
  <si>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</si>
  <si>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</si>
  <si>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</si>
  <si>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</si>
  <si>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</si>
  <si>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</si>
  <si>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</si>
  <si>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</si>
  <si>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</si>
  <si>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</si>
  <si>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</si>
  <si>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</si>
  <si>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</si>
  <si>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</si>
  <si>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</si>
  <si>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</si>
  <si>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</si>
  <si>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</si>
  <si>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</si>
  <si>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</si>
  <si>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</si>
  <si>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</si>
  <si>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</si>
  <si>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</si>
  <si>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</si>
  <si>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</si>
  <si>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</si>
  <si>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</si>
  <si>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</si>
  <si>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</si>
  <si>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</si>
  <si>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</si>
  <si>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</si>
  <si>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</si>
  <si>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</si>
  <si>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</si>
  <si>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</si>
  <si>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</si>
  <si>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</si>
  <si>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</si>
  <si>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</si>
  <si>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</si>
  <si>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</si>
  <si>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</si>
  <si>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</si>
  <si>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</si>
  <si>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</si>
  <si>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</si>
  <si>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</si>
  <si>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</si>
  <si>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</si>
  <si>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</si>
  <si>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</si>
  <si>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</si>
  <si>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</si>
  <si>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</si>
  <si>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</si>
  <si>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</si>
  <si>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</si>
  <si>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</si>
  <si>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</si>
  <si>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</si>
  <si>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</si>
  <si>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</si>
  <si>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</si>
  <si>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</si>
  <si>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</si>
  <si>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</si>
  <si>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</si>
  <si>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</si>
  <si>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</si>
  <si>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</si>
  <si>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</si>
  <si>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</si>
  <si>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</si>
  <si>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</si>
  <si>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</si>
  <si>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</si>
  <si>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</si>
  <si>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</si>
  <si>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</si>
  <si>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</si>
  <si>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</si>
  <si>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</si>
  <si>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</si>
  <si>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</si>
  <si>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</si>
  <si>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</si>
  <si>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</si>
  <si>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</si>
  <si>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</si>
  <si>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</si>
  <si>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</si>
  <si>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</si>
  <si>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</si>
  <si>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</si>
  <si>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</si>
  <si>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</si>
  <si>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</si>
  <si>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</si>
  <si>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</si>
  <si>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</si>
  <si>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</si>
  <si>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</si>
  <si>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</si>
  <si>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</si>
  <si>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</si>
  <si>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</si>
  <si>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</si>
  <si>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</si>
  <si>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</si>
  <si>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</si>
  <si>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</si>
  <si>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</si>
  <si>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</si>
  <si>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</si>
  <si>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</si>
  <si>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</si>
  <si>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</si>
  <si>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</si>
  <si>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</si>
  <si>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</si>
  <si>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</si>
  <si>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</si>
  <si>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</si>
  <si>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</si>
  <si>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</si>
  <si>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</si>
  <si>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</si>
  <si>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</si>
  <si>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</si>
  <si>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</si>
  <si>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</si>
  <si>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</si>
  <si>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</si>
  <si>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</si>
  <si>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</si>
  <si>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</si>
  <si>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</si>
  <si>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</si>
  <si>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</si>
  <si>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</si>
  <si>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</si>
  <si>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</si>
  <si>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</si>
  <si>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</si>
  <si>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</si>
  <si>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</si>
  <si>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</si>
  <si>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</si>
  <si>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</si>
  <si>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</si>
  <si>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</si>
  <si>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</si>
  <si>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</si>
  <si>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</si>
  <si>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</si>
  <si>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</si>
  <si>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</si>
  <si>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</si>
  <si>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</si>
  <si>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</si>
  <si>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</si>
  <si>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</si>
  <si>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</si>
  <si>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</si>
  <si>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</si>
  <si>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</si>
  <si>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</si>
  <si>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</si>
  <si>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</si>
  <si>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</si>
  <si>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</si>
  <si>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</si>
  <si>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</si>
  <si>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</si>
  <si>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</si>
  <si>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</si>
  <si>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</si>
  <si>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</si>
  <si>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</si>
  <si>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</si>
  <si>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</si>
  <si>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</si>
  <si>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</si>
  <si>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</si>
  <si>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</si>
  <si>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</si>
  <si>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</si>
  <si>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</si>
  <si>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</si>
  <si>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</si>
  <si>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</si>
  <si>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</si>
  <si>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</si>
  <si>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</si>
  <si>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</si>
  <si>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</si>
  <si>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</si>
  <si>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</si>
  <si>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</si>
  <si>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</si>
  <si>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</si>
  <si>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</si>
  <si>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</si>
  <si>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</si>
  <si>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</si>
  <si>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</si>
  <si>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</si>
  <si>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</si>
  <si>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</si>
  <si>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</si>
  <si>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</si>
  <si>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</si>
  <si>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</si>
  <si>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</si>
  <si>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</si>
  <si>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</si>
  <si>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</si>
  <si>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</si>
  <si>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</si>
  <si>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</si>
  <si>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</si>
  <si>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</si>
  <si>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</si>
  <si>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</si>
  <si>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</si>
  <si>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</si>
  <si>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</si>
  <si>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</si>
  <si>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</si>
  <si>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</si>
  <si>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</si>
  <si>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</si>
  <si>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</si>
  <si>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</si>
  <si>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</si>
  <si>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</si>
  <si>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</si>
  <si>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</si>
  <si>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</si>
  <si>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</si>
  <si>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</si>
  <si>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</si>
  <si>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</si>
  <si>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</si>
  <si>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</si>
  <si>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</si>
  <si>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</si>
  <si>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</si>
  <si>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</si>
  <si>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</si>
  <si>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</si>
  <si>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</si>
  <si>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</si>
  <si>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</si>
  <si>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</si>
  <si>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</si>
  <si>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</si>
  <si>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</si>
  <si>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</si>
  <si>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</si>
  <si>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</si>
  <si>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</si>
  <si>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</si>
  <si>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</si>
  <si>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</si>
  <si>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</si>
  <si>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</si>
  <si>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</si>
  <si>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</si>
  <si>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</si>
  <si>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</si>
  <si>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</si>
  <si>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</si>
  <si>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</si>
  <si>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</si>
  <si>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</si>
  <si>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</si>
  <si>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</si>
  <si>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</si>
  <si>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</si>
  <si>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</si>
  <si>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</si>
  <si>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</si>
  <si>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</si>
  <si>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</si>
  <si>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</si>
  <si>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</si>
  <si>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</si>
  <si>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</si>
  <si>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</si>
  <si>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</si>
  <si>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</si>
  <si>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</si>
  <si>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</si>
  <si>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</si>
  <si>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</si>
  <si>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</si>
  <si>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</si>
  <si>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</si>
  <si>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</si>
  <si>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</si>
  <si>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</si>
  <si>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</si>
  <si>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</si>
  <si>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</si>
  <si>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</si>
  <si>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</si>
  <si>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</si>
  <si>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</si>
  <si>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</si>
  <si>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</si>
  <si>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</si>
  <si>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</si>
  <si>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</si>
  <si>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</si>
  <si>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</si>
  <si>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</si>
  <si>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</si>
  <si>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</si>
  <si>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</si>
  <si>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</si>
  <si>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</si>
  <si>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</si>
  <si>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</si>
  <si>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</si>
  <si>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</si>
  <si>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</si>
  <si>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</si>
  <si>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</si>
  <si>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</si>
  <si>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</si>
  <si>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</si>
  <si>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</si>
  <si>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</si>
  <si>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</si>
  <si>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</si>
  <si>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</si>
  <si>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</si>
  <si>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</si>
  <si>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</si>
  <si>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</si>
  <si>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</si>
  <si>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</si>
  <si>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</si>
  <si>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</si>
  <si>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</si>
  <si>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</si>
  <si>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</si>
  <si>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</si>
  <si>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</si>
  <si>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</si>
  <si>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</si>
  <si>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</si>
  <si>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</si>
  <si>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</si>
  <si>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</si>
  <si>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</si>
  <si>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</si>
  <si>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</si>
  <si>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</si>
  <si>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</si>
  <si>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</si>
  <si>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</si>
  <si>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</si>
  <si>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</si>
  <si>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</si>
  <si>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</si>
  <si>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</si>
  <si>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</si>
  <si>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</si>
  <si>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</si>
  <si>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</si>
  <si>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</si>
  <si>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</si>
  <si>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</si>
  <si>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</si>
  <si>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</si>
  <si>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</si>
  <si>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</si>
  <si>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</si>
  <si>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</si>
  <si>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</si>
  <si>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</si>
  <si>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</si>
  <si>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</si>
  <si>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</si>
  <si>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</si>
  <si>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</si>
  <si>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</si>
  <si>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</si>
  <si>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</si>
  <si>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</si>
  <si>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</si>
  <si>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</si>
  <si>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</si>
  <si>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</si>
  <si>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</si>
  <si>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</si>
  <si>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</si>
  <si>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</si>
  <si>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</si>
  <si>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</si>
  <si>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</si>
  <si>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</si>
  <si>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</si>
  <si>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</si>
  <si>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</si>
  <si>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</si>
  <si>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</si>
  <si>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</si>
  <si>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</si>
  <si>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</si>
  <si>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</si>
  <si>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</si>
  <si>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</si>
  <si>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</si>
  <si>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</si>
  <si>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</si>
  <si>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</si>
  <si>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</si>
  <si>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</si>
  <si>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</si>
  <si>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</si>
  <si>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</si>
  <si>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</si>
  <si>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</si>
  <si>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</si>
  <si>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</si>
  <si>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</si>
  <si>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</si>
  <si>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</si>
  <si>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</si>
  <si>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</si>
  <si>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</si>
  <si>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</si>
  <si>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</si>
  <si>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</si>
  <si>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</si>
  <si>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</si>
  <si>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</si>
  <si>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</si>
  <si>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</si>
  <si>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</si>
  <si>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</si>
  <si>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</si>
  <si>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</si>
  <si>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</si>
  <si>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</si>
  <si>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</si>
  <si>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</si>
  <si>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</si>
  <si>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</si>
  <si>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</si>
  <si>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</si>
  <si>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</si>
  <si>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</si>
  <si>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</si>
  <si>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</si>
  <si>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</si>
  <si>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</si>
  <si>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</si>
  <si>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</si>
  <si>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</si>
  <si>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</si>
  <si>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</si>
  <si>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</si>
  <si>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</si>
  <si>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</si>
  <si>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</si>
  <si>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</si>
  <si>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</si>
  <si>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</si>
  <si>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</si>
  <si>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</si>
  <si>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</si>
  <si>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</si>
  <si>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</si>
  <si>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</si>
  <si>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</si>
  <si>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</si>
  <si>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</si>
  <si>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</si>
  <si>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</si>
  <si>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</si>
  <si>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</si>
  <si>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</si>
  <si>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</si>
  <si>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</si>
  <si>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</si>
  <si>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</si>
  <si>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</si>
  <si>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</si>
  <si>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</si>
  <si>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</si>
  <si>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</si>
  <si>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</si>
  <si>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</si>
  <si>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</si>
  <si>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</si>
  <si>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</si>
  <si>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</si>
  <si>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</si>
  <si>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</si>
  <si>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</si>
  <si>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</si>
  <si>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</si>
  <si>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</si>
  <si>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</si>
  <si>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</si>
  <si>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</si>
  <si>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</si>
  <si>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</si>
  <si>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</si>
  <si>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</si>
  <si>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</si>
  <si>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</si>
  <si>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</si>
  <si>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</si>
  <si>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</si>
  <si>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</si>
  <si>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</si>
  <si>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</si>
  <si>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</si>
  <si>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</si>
  <si>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</si>
  <si>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</si>
  <si>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</si>
  <si>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</si>
  <si>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</si>
  <si>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</si>
  <si>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</si>
  <si>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</si>
  <si>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</si>
  <si>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</si>
  <si>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</si>
  <si>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</si>
  <si>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</si>
  <si>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</si>
  <si>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</si>
  <si>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</si>
  <si>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</si>
  <si>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</si>
  <si>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</si>
  <si>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</si>
  <si>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</si>
  <si>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</si>
  <si>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</si>
  <si>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</si>
  <si>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</si>
  <si>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</si>
  <si>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</si>
  <si>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</si>
  <si>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</si>
  <si>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</si>
  <si>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</si>
  <si>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</si>
  <si>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</si>
  <si>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</si>
  <si>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</si>
  <si>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</si>
  <si>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</si>
  <si>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</si>
  <si>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</si>
  <si>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</si>
  <si>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</si>
  <si>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</si>
  <si>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</si>
  <si>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</si>
  <si>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</si>
  <si>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</si>
  <si>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</si>
  <si>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</si>
  <si>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</si>
  <si>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</si>
  <si>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</si>
  <si>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</si>
  <si>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</si>
  <si>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</si>
  <si>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</si>
  <si>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</si>
  <si>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</si>
  <si>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</si>
  <si>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</si>
  <si>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</si>
  <si>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</si>
  <si>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</si>
  <si>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</si>
  <si>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</si>
  <si>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</si>
  <si>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</si>
  <si>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</si>
  <si>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</si>
  <si>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</si>
  <si>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</si>
  <si>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</si>
  <si>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</si>
  <si>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</si>
  <si>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</si>
  <si>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</si>
  <si>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</si>
  <si>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</si>
  <si>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</si>
  <si>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</si>
  <si>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</si>
  <si>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</si>
  <si>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</si>
  <si>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</si>
  <si>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</si>
  <si>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</si>
  <si>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</si>
  <si>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</si>
  <si>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</si>
  <si>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</si>
  <si>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</si>
  <si>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</si>
  <si>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</si>
  <si>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</si>
  <si>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</si>
  <si>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</si>
  <si>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</si>
  <si>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</si>
  <si>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</si>
  <si>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</si>
  <si>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</si>
  <si>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</si>
  <si>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</si>
  <si>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</si>
  <si>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</si>
  <si>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</si>
  <si>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</si>
  <si>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</si>
  <si>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</si>
  <si>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</si>
  <si>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</si>
  <si>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</si>
  <si>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</si>
  <si>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</si>
  <si>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</si>
  <si>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</si>
  <si>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</si>
  <si>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</si>
  <si>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</si>
  <si>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</si>
  <si>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</si>
  <si>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</si>
  <si>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</si>
  <si>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</si>
  <si>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</si>
  <si>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</si>
  <si>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</si>
  <si>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</si>
  <si>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</si>
  <si>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</si>
  <si>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</si>
  <si>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</si>
  <si>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</si>
  <si>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</si>
  <si>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</si>
  <si>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</si>
  <si>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</si>
  <si>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</si>
  <si>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</si>
  <si>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</si>
  <si>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</si>
  <si>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</si>
  <si>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</si>
  <si>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</si>
  <si>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</si>
  <si>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</si>
  <si>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</si>
  <si>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</si>
  <si>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</si>
  <si>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</si>
  <si>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</si>
  <si>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</si>
  <si>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</si>
  <si>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</si>
  <si>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</si>
  <si>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</si>
  <si>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</si>
  <si>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</si>
  <si>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</si>
  <si>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</si>
  <si>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</si>
  <si>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</si>
  <si>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</si>
  <si>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</si>
  <si>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</si>
  <si>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</si>
  <si>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</si>
  <si>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</si>
  <si>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</si>
  <si>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</si>
  <si>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</si>
  <si>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</si>
  <si>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</si>
  <si>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</si>
  <si>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</si>
  <si>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</si>
  <si>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</si>
  <si>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</si>
  <si>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</si>
  <si>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</si>
  <si>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</si>
  <si>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</si>
  <si>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</si>
  <si>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</si>
  <si>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</si>
  <si>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</si>
  <si>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</si>
  <si>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</si>
  <si>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</si>
  <si>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</si>
  <si>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</si>
  <si>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</si>
  <si>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</si>
  <si>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</si>
  <si>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</si>
  <si>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</si>
  <si>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</si>
  <si>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</si>
  <si>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</si>
  <si>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</si>
  <si>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</si>
  <si>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</si>
  <si>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</si>
  <si>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</si>
  <si>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</si>
  <si>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</si>
  <si>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</si>
  <si>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</si>
  <si>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</si>
  <si>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</si>
  <si>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</si>
  <si>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</si>
  <si>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</si>
  <si>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</si>
  <si>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</si>
  <si>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</si>
  <si>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</si>
  <si>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</si>
  <si>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</si>
  <si>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</si>
  <si>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</si>
  <si>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</si>
  <si>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</si>
  <si>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</si>
  <si>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</si>
  <si>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</si>
  <si>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</si>
  <si>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</si>
  <si>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</si>
  <si>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</si>
  <si>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</si>
  <si>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</si>
  <si>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</si>
  <si>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</si>
  <si>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</si>
  <si>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</si>
  <si>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</si>
  <si>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</si>
  <si>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</si>
  <si>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</si>
  <si>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</si>
  <si>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</si>
  <si>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</si>
  <si>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</si>
  <si>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</si>
  <si>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</si>
  <si>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</si>
  <si>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</si>
  <si>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</si>
  <si>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</si>
  <si>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</si>
  <si>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</si>
  <si>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</si>
  <si>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</si>
  <si>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</si>
  <si>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</si>
  <si>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</si>
  <si>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</si>
  <si>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</si>
  <si>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</si>
  <si>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</si>
  <si>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</si>
  <si>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</si>
  <si>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</si>
  <si>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</si>
  <si>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</si>
  <si>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</si>
  <si>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</si>
  <si>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</si>
  <si>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</si>
  <si>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</si>
  <si>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</si>
  <si>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</si>
  <si>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</si>
  <si>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</si>
  <si>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</si>
  <si>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</si>
  <si>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</si>
  <si>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</si>
  <si>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</si>
  <si>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</si>
  <si>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</si>
  <si>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</si>
  <si>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</si>
  <si>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</si>
  <si>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</si>
  <si>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</si>
  <si>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</si>
  <si>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</si>
  <si>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</si>
  <si>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</si>
  <si>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</si>
  <si>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</si>
  <si>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</si>
  <si>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</si>
  <si>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</si>
  <si>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</si>
  <si>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</si>
  <si>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</si>
  <si>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</si>
  <si>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</si>
  <si>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</si>
  <si>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</si>
  <si>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</si>
  <si>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</si>
  <si>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</si>
  <si>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</si>
  <si>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</si>
  <si>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</si>
  <si>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</si>
  <si>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</si>
  <si>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</si>
  <si>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</si>
  <si>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</si>
  <si>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</si>
  <si>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</si>
  <si>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</si>
  <si>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</si>
  <si>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</si>
  <si>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</si>
  <si>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</si>
  <si>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</si>
  <si>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</si>
  <si>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</si>
  <si>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</si>
  <si>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</si>
  <si>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</si>
  <si>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</si>
  <si>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</si>
  <si>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</si>
  <si>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</si>
  <si>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</si>
  <si>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</si>
  <si>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</si>
  <si>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</si>
  <si>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</si>
  <si>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</si>
  <si>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</si>
  <si>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</si>
  <si>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</si>
  <si>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</si>
  <si>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</si>
  <si>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</si>
  <si>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</si>
  <si>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</si>
  <si>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</si>
  <si>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</si>
  <si>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</si>
  <si>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</si>
  <si>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</si>
  <si>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</si>
  <si>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</si>
  <si>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</si>
  <si>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</si>
  <si>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</si>
  <si>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</si>
  <si>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</si>
  <si>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</si>
  <si>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</si>
  <si>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</si>
  <si>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</si>
  <si>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</si>
  <si>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</si>
  <si>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</si>
  <si>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</si>
  <si>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</si>
  <si>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</si>
  <si>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</si>
  <si>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</si>
  <si>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</si>
  <si>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</si>
  <si>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</si>
  <si>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</si>
  <si>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</si>
  <si>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</si>
  <si>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</si>
  <si>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</si>
  <si>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</si>
  <si>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</si>
  <si>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</si>
  <si>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</si>
  <si>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</si>
  <si>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</si>
  <si>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</si>
  <si>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</si>
  <si>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</si>
  <si>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</si>
  <si>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</si>
  <si>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</si>
  <si>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</si>
  <si>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</si>
  <si>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</si>
  <si>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</si>
  <si>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</si>
  <si>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</si>
  <si>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</si>
  <si>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</si>
  <si>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</si>
  <si>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</si>
  <si>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</si>
  <si>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</si>
  <si>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</si>
  <si>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</si>
  <si>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</si>
  <si>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</si>
  <si>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</si>
  <si>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</si>
  <si>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</si>
  <si>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</si>
  <si>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</si>
  <si>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</si>
  <si>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</si>
  <si>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</si>
  <si>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</si>
  <si>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</si>
  <si>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</si>
  <si>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</si>
  <si>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</si>
  <si>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</si>
  <si>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</si>
  <si>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</si>
  <si>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</si>
  <si>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</si>
  <si>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</si>
  <si>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</si>
  <si>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</si>
  <si>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</si>
  <si>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</si>
  <si>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</si>
  <si>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</si>
  <si>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</si>
  <si>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</si>
  <si>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</si>
  <si>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</si>
  <si>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</si>
  <si>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</si>
  <si>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</si>
  <si>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</si>
  <si>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</si>
  <si>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</si>
  <si>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</si>
  <si>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</si>
  <si>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</si>
  <si>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</si>
  <si>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</si>
  <si>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</si>
  <si>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</si>
  <si>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</si>
  <si>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</si>
  <si>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</si>
  <si>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</si>
  <si>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</si>
  <si>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</si>
  <si>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</si>
  <si>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</si>
  <si>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</si>
  <si>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</si>
  <si>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</si>
  <si>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</si>
  <si>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</si>
  <si>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</si>
  <si>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</si>
  <si>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</si>
  <si>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</si>
  <si>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</si>
  <si>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</si>
  <si>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</si>
  <si>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</si>
  <si>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</si>
  <si>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</si>
  <si>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</si>
  <si>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</si>
  <si>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</si>
  <si>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</si>
  <si>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</si>
  <si>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</si>
  <si>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</si>
  <si>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</si>
  <si>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</si>
  <si>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</si>
  <si>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</si>
  <si>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</si>
  <si>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</si>
  <si>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</si>
  <si>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</si>
  <si>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</si>
  <si>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</si>
  <si>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</si>
  <si>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</si>
  <si>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</si>
  <si>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</si>
  <si>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</si>
  <si>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</si>
  <si>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</si>
  <si>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</si>
  <si>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</si>
  <si>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</si>
  <si>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</si>
  <si>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</si>
  <si>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</si>
  <si>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</si>
  <si>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</si>
  <si>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</si>
  <si>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</si>
  <si>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</si>
  <si>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</si>
  <si>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</si>
  <si>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</si>
  <si>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</si>
  <si>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</si>
  <si>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</si>
  <si>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</si>
  <si>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</si>
  <si>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</si>
  <si>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</si>
  <si>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</si>
  <si>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</si>
  <si>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</si>
  <si>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</si>
  <si>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</si>
  <si>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</si>
  <si>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</si>
  <si>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</si>
  <si>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</si>
  <si>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</si>
  <si>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</si>
  <si>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</si>
  <si>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</si>
  <si>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</si>
  <si>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</si>
  <si>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</si>
  <si>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</si>
  <si>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</si>
  <si>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</si>
  <si>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</si>
  <si>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</si>
  <si>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</si>
  <si>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</si>
  <si>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</si>
  <si>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</si>
  <si>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</si>
  <si>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</si>
  <si>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</si>
  <si>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</si>
  <si>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</si>
  <si>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</si>
  <si>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</si>
  <si>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</si>
  <si>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</si>
  <si>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</si>
  <si>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</si>
  <si>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</si>
  <si>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</si>
  <si>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</si>
  <si>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</si>
  <si>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</si>
  <si>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</si>
  <si>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</si>
  <si>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</si>
  <si>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</si>
  <si>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</si>
  <si>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</si>
  <si>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</si>
  <si>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</si>
  <si>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</si>
  <si>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</si>
  <si>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</si>
  <si>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</si>
  <si>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</si>
  <si>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</si>
  <si>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</si>
  <si>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</si>
  <si>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</si>
  <si>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</si>
  <si>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</si>
  <si>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</si>
  <si>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</si>
  <si>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</si>
  <si>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</si>
  <si>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</si>
  <si>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</si>
  <si>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</si>
  <si>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</si>
  <si>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</si>
  <si>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</si>
  <si>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</si>
  <si>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</si>
  <si>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</si>
  <si>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</si>
  <si>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</si>
  <si>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</si>
  <si>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</si>
  <si>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</si>
  <si>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</si>
  <si>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</si>
  <si>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</si>
  <si>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</si>
  <si>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</si>
  <si>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</si>
  <si>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</si>
  <si>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</si>
  <si>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</si>
  <si>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</si>
  <si>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</si>
  <si>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</si>
  <si>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</si>
  <si>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</si>
  <si>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</si>
  <si>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</si>
  <si>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</si>
  <si>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</si>
  <si>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</si>
  <si>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</si>
  <si>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</si>
  <si>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</si>
  <si>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</si>
  <si>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</si>
  <si>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</si>
  <si>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</si>
  <si>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</si>
  <si>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</si>
  <si>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</si>
  <si>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</si>
  <si>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</si>
  <si>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</si>
  <si>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</si>
  <si>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</si>
  <si>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</si>
  <si>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</si>
  <si>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</si>
  <si>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</si>
  <si>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</si>
  <si>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</si>
  <si>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</si>
  <si>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</si>
  <si>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</si>
  <si>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</si>
  <si>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</si>
  <si>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</si>
  <si>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</si>
  <si>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</si>
  <si>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</si>
  <si>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</si>
  <si>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</si>
  <si>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</si>
  <si>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</si>
  <si>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</si>
  <si>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</si>
  <si>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</si>
  <si>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</si>
  <si>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</si>
  <si>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</si>
  <si>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</si>
  <si>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</si>
  <si>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</si>
  <si>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</si>
  <si>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</si>
  <si>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</si>
  <si>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</si>
  <si>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</si>
  <si>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</si>
  <si>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</si>
  <si>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</si>
  <si>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</si>
  <si>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</si>
  <si>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</si>
  <si>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</si>
  <si>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</si>
  <si>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</si>
  <si>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</si>
  <si>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</si>
  <si>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</si>
  <si>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</si>
  <si>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</si>
  <si>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</si>
  <si>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</si>
  <si>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</si>
  <si>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</si>
  <si>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</si>
  <si>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</si>
  <si>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</si>
  <si>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</si>
  <si>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经甲、乙双方协商一致，标的房屋成交总价为：人民币（大写）陆仟伍佰万元整（小写：￥65000000.00元）。对应每套房屋价格为：</t>
  </si>
  <si>
    <t>502:人民币（大写）壹仟柒佰壹拾万元整（小写：￥17100000.00元）；</t>
  </si>
  <si>
    <t>503:人民币（大写）壹仟玖佰壹拾捌万整（小写：￥19180000.00元）；</t>
  </si>
  <si>
    <t>504:人民币（大写）壹仟肆佰柒拾捌万整（小写：￥14780000.00元）；</t>
  </si>
  <si>
    <t>056:人民币（大写）叁拾贰万元整（小写：￥320000.00元）；</t>
  </si>
  <si>
    <t>057:人民币（大写）叁拾贰万元整（小写：￥320000.00元）；</t>
  </si>
  <si>
    <t>058:人民币（大写）叁拾贰万元整（小写：￥320000.00元）；</t>
  </si>
  <si>
    <t>059:人民币（大写）叁拾贰万元整（小写：￥320000.00元）。</t>
  </si>
  <si>
    <t>权利人：张春光</t>
  </si>
  <si>
    <t>房屋面积：390.50平米</t>
  </si>
  <si>
    <t>房屋性质：商品房</t>
  </si>
  <si>
    <t>规划用途：办公用房</t>
  </si>
  <si>
    <t>2、 房屋坐落地址：海淀区首体南路9号4楼5层502（下称“502”）</t>
  </si>
  <si>
    <t>房屋面积：527.55平米</t>
  </si>
  <si>
    <t>3、 房屋坐落地址：海淀区首体南路9号4楼5层503（下称“503”）</t>
  </si>
  <si>
    <t>房屋面积：591.70平米</t>
  </si>
  <si>
    <t>4、 房屋坐落地址：海淀区首体南路9号4楼5层504（下称“504”）</t>
  </si>
  <si>
    <t>房屋面积：455.66平米</t>
  </si>
  <si>
    <t>5、 房屋坐落地址：海淀区首体南路9号11幢-1层056（下称“056”）</t>
  </si>
  <si>
    <t>房屋面积：53.53平米</t>
  </si>
  <si>
    <t>规划用途：车位</t>
  </si>
  <si>
    <t>6、 房屋坐落地址：海淀区首体南路9号11幢-1层057（下称“057”）</t>
  </si>
  <si>
    <t>7、 房屋坐落地址：海淀区首体南路9号11幢-1层058（下称“058”）</t>
  </si>
  <si>
    <t>房屋面积：52.21平米</t>
  </si>
  <si>
    <t>8、 房屋坐落地址：海淀区首体南路9号11幢-1层059（下称“059”）</t>
  </si>
  <si>
    <t>房屋面积：53.95平米</t>
  </si>
  <si>
    <t>自定义容积率</t>
  </si>
  <si>
    <t>地上</t>
  </si>
  <si>
    <t>是</t>
  </si>
  <si>
    <t>501办公</t>
  </si>
  <si>
    <t>501办公</t>
    <phoneticPr fontId="3" type="noConversion"/>
  </si>
  <si>
    <t>其他办公</t>
    <phoneticPr fontId="3" type="noConversion"/>
  </si>
  <si>
    <r>
      <t>056</t>
    </r>
    <r>
      <rPr>
        <sz val="10"/>
        <color indexed="8"/>
        <rFont val="宋体"/>
        <family val="3"/>
        <charset val="134"/>
      </rPr>
      <t>车位</t>
    </r>
    <phoneticPr fontId="3" type="noConversion"/>
  </si>
  <si>
    <t>其他车位</t>
    <phoneticPr fontId="3" type="noConversion"/>
  </si>
  <si>
    <t>房权证号：X京房权证海字第281802号</t>
    <phoneticPr fontId="134" type="noConversion"/>
  </si>
  <si>
    <t>1、 房屋坐落地址：海淀区首体南路9号4楼5层501（下称“501”）</t>
    <phoneticPr fontId="134" type="noConversion"/>
  </si>
  <si>
    <t>海淀区首体南路9号4楼5层501</t>
  </si>
  <si>
    <t>坐落</t>
    <phoneticPr fontId="134" type="noConversion"/>
  </si>
  <si>
    <t>海淀区首体南路9号4楼5层502</t>
  </si>
  <si>
    <t>海淀区首体南路9号4楼5层503</t>
  </si>
  <si>
    <t>海淀区首体南路9号4楼5层504</t>
  </si>
  <si>
    <t>海淀区首体南路9号11幢-1层056</t>
  </si>
  <si>
    <t>海淀区首体南路9号11幢-1层057</t>
  </si>
  <si>
    <t>海淀区首体南路9号11幢-1层058</t>
  </si>
  <si>
    <t>海淀区首体南路9号11幢-1层059</t>
  </si>
  <si>
    <t>建筑面积</t>
    <phoneticPr fontId="134" type="noConversion"/>
  </si>
  <si>
    <t>所在楼层</t>
    <phoneticPr fontId="134" type="noConversion"/>
  </si>
  <si>
    <t>车位</t>
  </si>
  <si>
    <t>车位</t>
    <phoneticPr fontId="134" type="noConversion"/>
  </si>
  <si>
    <t>序号</t>
    <phoneticPr fontId="134" type="noConversion"/>
  </si>
  <si>
    <t>地下</t>
  </si>
  <si>
    <t>成新度</t>
  </si>
  <si>
    <t>收益法-办公</t>
  </si>
  <si>
    <t>收益法-办公</t>
    <phoneticPr fontId="16" type="noConversion"/>
  </si>
  <si>
    <t>收益法-车位</t>
  </si>
  <si>
    <t>收益法-车位</t>
    <phoneticPr fontId="16" type="noConversion"/>
  </si>
  <si>
    <t>押一</t>
  </si>
  <si>
    <t>钢混</t>
  </si>
  <si>
    <t>非生产用房</t>
  </si>
  <si>
    <t>不临65条商业街</t>
  </si>
  <si>
    <t>与级别开发程度一致</t>
  </si>
  <si>
    <t>按公示增长率计算</t>
  </si>
  <si>
    <t>中心城区</t>
  </si>
  <si>
    <t>较好</t>
  </si>
  <si>
    <t>好</t>
  </si>
  <si>
    <t>一般</t>
  </si>
  <si>
    <t>056车位</t>
  </si>
  <si>
    <t>未包含在土地购买价格中</t>
  </si>
  <si>
    <t>已包含在土地取得成本中</t>
  </si>
  <si>
    <t>否</t>
  </si>
  <si>
    <t>总价</t>
  </si>
  <si>
    <t>成本比率</t>
  </si>
  <si>
    <t>成本法 (元)</t>
  </si>
  <si>
    <t>现房</t>
  </si>
  <si>
    <t>项目局部</t>
  </si>
  <si>
    <t>单套模式</t>
  </si>
  <si>
    <t>售价</t>
  </si>
  <si>
    <t>办公</t>
    <phoneticPr fontId="31" type="noConversion"/>
  </si>
  <si>
    <t>正常</t>
  </si>
  <si>
    <t>国兴大厦</t>
    <phoneticPr fontId="3" type="noConversion"/>
  </si>
  <si>
    <t>七通</t>
  </si>
  <si>
    <t>低区</t>
  </si>
  <si>
    <t>低区</t>
    <phoneticPr fontId="31" type="noConversion"/>
  </si>
  <si>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</si>
  <si>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</si>
  <si>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</si>
  <si>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</si>
  <si>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</si>
  <si>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标准层高</t>
    <phoneticPr fontId="31" type="noConversion"/>
  </si>
  <si>
    <t>普通装修</t>
    <phoneticPr fontId="31" type="noConversion"/>
  </si>
  <si>
    <t>较好</t>
    <phoneticPr fontId="31" type="noConversion"/>
  </si>
  <si>
    <t>20-30</t>
    <phoneticPr fontId="31" type="noConversion"/>
  </si>
  <si>
    <t>30-40</t>
    <phoneticPr fontId="31" type="noConversion"/>
  </si>
  <si>
    <t>中区</t>
    <phoneticPr fontId="31" type="noConversion"/>
  </si>
  <si>
    <t>国际财经中心</t>
    <phoneticPr fontId="3" type="noConversion"/>
  </si>
  <si>
    <t>牛顿办公区</t>
    <phoneticPr fontId="3" type="noConversion"/>
  </si>
  <si>
    <t>比较法-办公</t>
  </si>
  <si>
    <t>056</t>
    <phoneticPr fontId="134" type="noConversion"/>
  </si>
  <si>
    <t>057</t>
  </si>
  <si>
    <t>058</t>
  </si>
  <si>
    <t>059</t>
  </si>
  <si>
    <t>车位</t>
    <phoneticPr fontId="31" type="noConversion"/>
  </si>
  <si>
    <t>普通车位</t>
    <phoneticPr fontId="31" type="noConversion"/>
  </si>
  <si>
    <t>五栋大楼</t>
    <phoneticPr fontId="3" type="noConversion"/>
  </si>
  <si>
    <t>玲珑天地</t>
    <phoneticPr fontId="3" type="noConversion"/>
  </si>
  <si>
    <t>定慧福里南区</t>
    <phoneticPr fontId="3" type="noConversion"/>
  </si>
  <si>
    <t>元/车位</t>
  </si>
  <si>
    <t>住宅</t>
    <phoneticPr fontId="31" type="noConversion"/>
  </si>
  <si>
    <t>比较法-车位</t>
  </si>
  <si>
    <t>房屋所有权证证号</t>
    <phoneticPr fontId="134" type="noConversion"/>
  </si>
  <si>
    <t>X京房权证海字第281802号</t>
  </si>
  <si>
    <t>房权证号：X京房权证海字第281814号</t>
    <phoneticPr fontId="134" type="noConversion"/>
  </si>
  <si>
    <t>X京房权证海字第281814号</t>
  </si>
  <si>
    <t>房权证号：X京房权证海字第281809号</t>
    <phoneticPr fontId="134" type="noConversion"/>
  </si>
  <si>
    <t>X京房权证海字第281809号</t>
  </si>
  <si>
    <t>房权证号：X京房权证海字第281815号</t>
    <phoneticPr fontId="134" type="noConversion"/>
  </si>
  <si>
    <t>X京房权证海字第281815号</t>
  </si>
  <si>
    <t>房权证号：X京房权证海字第488331号</t>
    <phoneticPr fontId="134" type="noConversion"/>
  </si>
  <si>
    <t>X京房权证海字第488331号</t>
  </si>
  <si>
    <t>房权证号：X京房权证海字第488325号</t>
    <phoneticPr fontId="134" type="noConversion"/>
  </si>
  <si>
    <t>X京房权证海字第488325号</t>
  </si>
  <si>
    <t>房权证号：X京房权证海字第488322号</t>
    <phoneticPr fontId="134" type="noConversion"/>
  </si>
  <si>
    <t>X京房权证海字第488322号</t>
  </si>
  <si>
    <t>房权证号：X京房权证海字第488328号</t>
    <phoneticPr fontId="134" type="noConversion"/>
  </si>
  <si>
    <t>X京房权证海字第488328号</t>
  </si>
  <si>
    <t>501:人民币（大写）壹仟贰佰陆拾陆万元整（小写：￥12660000.00元）；</t>
    <phoneticPr fontId="134" type="noConversion"/>
  </si>
  <si>
    <t>挂牌</t>
  </si>
  <si>
    <t>挂牌</t>
    <phoneticPr fontId="31" type="noConversion"/>
  </si>
  <si>
    <t>挂牌</t>
    <phoneticPr fontId="31" type="noConversion"/>
  </si>
  <si>
    <t>北京市</t>
  </si>
  <si>
    <t>自然人</t>
  </si>
  <si>
    <t>核定资产</t>
  </si>
  <si>
    <t>房地产抵押价值</t>
  </si>
  <si>
    <t>房地产市场价值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</si>
</sst>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60" fillId="0" borderId="1" xfId="0" quotePrefix="1" applyFont="1" applyBorder="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128" fillId="2" borderId="37"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 fontId="53" fillId="7"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185" fontId="57" fillId="9" borderId="13" xfId="0" applyNumberFormat="1" applyFont="1" applyFill="1" applyBorder="1" applyAlignment="1">
      <alignment horizontal="right" vertical="center"/>
    </xf>
    <xf numFmtId="49" fontId="271" fillId="6" borderId="0" xfId="0" applyNumberFormat="1" applyFont="1" applyFill="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0</xdr:row>
      <xdr:rowOff>95250</xdr:rowOff>
    </xdr:from>
    <xdr:to>
      <xdr:col>14</xdr:col>
      <xdr:colOff>171173</xdr:colOff>
      <xdr:row>16</xdr:row>
      <xdr:rowOff>104431</xdr:rowOff>
    </xdr:to>
    <xdr:pic>
      <xdr:nvPicPr>
        <xdr:cNvPr id="2" name="图片 1">
          <a:extLst>
            <a:ext uri="{FF2B5EF4-FFF2-40B4-BE49-F238E27FC236}">
              <a16:creationId xmlns:a16="http://schemas.microsoft.com/office/drawing/2014/main" id="{C6D29BD5-E3E1-B250-CF21-F2F143234323}"/>
            </a:ext>
          </a:extLst>
        </xdr:cNvPr>
        <xdr:cNvPicPr>
          <a:picLocks noChangeAspect="1"/>
        </xdr:cNvPicPr>
      </xdr:nvPicPr>
      <xdr:blipFill>
        <a:blip xmlns:r="http://schemas.openxmlformats.org/officeDocument/2006/relationships" r:embed="rId1"/>
        <a:stretch>
          <a:fillRect/>
        </a:stretch>
      </xdr:blipFill>
      <xdr:spPr>
        <a:xfrm>
          <a:off x="13468350" y="95250"/>
          <a:ext cx="2219048" cy="2752381"/>
        </a:xfrm>
        <a:prstGeom prst="rect">
          <a:avLst/>
        </a:prstGeom>
      </xdr:spPr>
    </xdr:pic>
    <xdr:clientData/>
  </xdr:twoCellAnchor>
  <xdr:twoCellAnchor editAs="oneCell">
    <xdr:from>
      <xdr:col>1</xdr:col>
      <xdr:colOff>266700</xdr:colOff>
      <xdr:row>24</xdr:row>
      <xdr:rowOff>76200</xdr:rowOff>
    </xdr:from>
    <xdr:to>
      <xdr:col>8</xdr:col>
      <xdr:colOff>284940</xdr:colOff>
      <xdr:row>39</xdr:row>
      <xdr:rowOff>171117</xdr:rowOff>
    </xdr:to>
    <xdr:pic>
      <xdr:nvPicPr>
        <xdr:cNvPr id="3" name="图片 2">
          <a:extLst>
            <a:ext uri="{FF2B5EF4-FFF2-40B4-BE49-F238E27FC236}">
              <a16:creationId xmlns:a16="http://schemas.microsoft.com/office/drawing/2014/main" id="{756F088E-AF49-4AA2-EF0B-7E372EAB0CB4}"/>
            </a:ext>
          </a:extLst>
        </xdr:cNvPr>
        <xdr:cNvPicPr>
          <a:picLocks noChangeAspect="1"/>
        </xdr:cNvPicPr>
      </xdr:nvPicPr>
      <xdr:blipFill>
        <a:blip xmlns:r="http://schemas.openxmlformats.org/officeDocument/2006/relationships" r:embed="rId2"/>
        <a:stretch>
          <a:fillRect/>
        </a:stretch>
      </xdr:blipFill>
      <xdr:spPr>
        <a:xfrm>
          <a:off x="5210175" y="4191000"/>
          <a:ext cx="6476190"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551009</xdr:colOff>
      <xdr:row>33</xdr:row>
      <xdr:rowOff>56436</xdr:rowOff>
    </xdr:to>
    <xdr:pic>
      <xdr:nvPicPr>
        <xdr:cNvPr id="2" name="图片 1">
          <a:extLst>
            <a:ext uri="{FF2B5EF4-FFF2-40B4-BE49-F238E27FC236}">
              <a16:creationId xmlns:a16="http://schemas.microsoft.com/office/drawing/2014/main" id="{CAC57887-85B1-7AB8-936F-6225271E3961}"/>
            </a:ext>
          </a:extLst>
        </xdr:cNvPr>
        <xdr:cNvPicPr>
          <a:picLocks noChangeAspect="1"/>
        </xdr:cNvPicPr>
      </xdr:nvPicPr>
      <xdr:blipFill>
        <a:blip xmlns:r="http://schemas.openxmlformats.org/officeDocument/2006/relationships" r:embed="rId1"/>
        <a:stretch>
          <a:fillRect/>
        </a:stretch>
      </xdr:blipFill>
      <xdr:spPr>
        <a:xfrm>
          <a:off x="0" y="0"/>
          <a:ext cx="11523809" cy="5714286"/>
        </a:xfrm>
        <a:prstGeom prst="rect">
          <a:avLst/>
        </a:prstGeom>
      </xdr:spPr>
    </xdr:pic>
    <xdr:clientData/>
  </xdr:twoCellAnchor>
  <xdr:twoCellAnchor editAs="oneCell">
    <xdr:from>
      <xdr:col>16</xdr:col>
      <xdr:colOff>609600</xdr:colOff>
      <xdr:row>0</xdr:row>
      <xdr:rowOff>0</xdr:rowOff>
    </xdr:from>
    <xdr:to>
      <xdr:col>28</xdr:col>
      <xdr:colOff>675238</xdr:colOff>
      <xdr:row>16</xdr:row>
      <xdr:rowOff>75848</xdr:rowOff>
    </xdr:to>
    <xdr:pic>
      <xdr:nvPicPr>
        <xdr:cNvPr id="3" name="图片 2">
          <a:extLst>
            <a:ext uri="{FF2B5EF4-FFF2-40B4-BE49-F238E27FC236}">
              <a16:creationId xmlns:a16="http://schemas.microsoft.com/office/drawing/2014/main" id="{C618091C-CA34-42FA-5527-5317DFD14746}"/>
            </a:ext>
          </a:extLst>
        </xdr:cNvPr>
        <xdr:cNvPicPr>
          <a:picLocks noChangeAspect="1"/>
        </xdr:cNvPicPr>
      </xdr:nvPicPr>
      <xdr:blipFill>
        <a:blip xmlns:r="http://schemas.openxmlformats.org/officeDocument/2006/relationships" r:embed="rId2"/>
        <a:stretch>
          <a:fillRect/>
        </a:stretch>
      </xdr:blipFill>
      <xdr:spPr>
        <a:xfrm>
          <a:off x="11582400" y="0"/>
          <a:ext cx="8295238" cy="2819048"/>
        </a:xfrm>
        <a:prstGeom prst="rect">
          <a:avLst/>
        </a:prstGeom>
      </xdr:spPr>
    </xdr:pic>
    <xdr:clientData/>
  </xdr:twoCellAnchor>
  <xdr:twoCellAnchor editAs="oneCell">
    <xdr:from>
      <xdr:col>0</xdr:col>
      <xdr:colOff>0</xdr:colOff>
      <xdr:row>34</xdr:row>
      <xdr:rowOff>0</xdr:rowOff>
    </xdr:from>
    <xdr:to>
      <xdr:col>16</xdr:col>
      <xdr:colOff>523810</xdr:colOff>
      <xdr:row>67</xdr:row>
      <xdr:rowOff>19679</xdr:rowOff>
    </xdr:to>
    <xdr:pic>
      <xdr:nvPicPr>
        <xdr:cNvPr id="4" name="图片 3">
          <a:extLst>
            <a:ext uri="{FF2B5EF4-FFF2-40B4-BE49-F238E27FC236}">
              <a16:creationId xmlns:a16="http://schemas.microsoft.com/office/drawing/2014/main" id="{36E7B7A4-5648-843D-B46D-D3A95147EE39}"/>
            </a:ext>
          </a:extLst>
        </xdr:cNvPr>
        <xdr:cNvPicPr>
          <a:picLocks noChangeAspect="1"/>
        </xdr:cNvPicPr>
      </xdr:nvPicPr>
      <xdr:blipFill>
        <a:blip xmlns:r="http://schemas.openxmlformats.org/officeDocument/2006/relationships" r:embed="rId3"/>
        <a:stretch>
          <a:fillRect/>
        </a:stretch>
      </xdr:blipFill>
      <xdr:spPr>
        <a:xfrm>
          <a:off x="0" y="6014357"/>
          <a:ext cx="11409524" cy="5857143"/>
        </a:xfrm>
        <a:prstGeom prst="rect">
          <a:avLst/>
        </a:prstGeom>
      </xdr:spPr>
    </xdr:pic>
    <xdr:clientData/>
  </xdr:twoCellAnchor>
  <xdr:twoCellAnchor editAs="oneCell">
    <xdr:from>
      <xdr:col>17</xdr:col>
      <xdr:colOff>40822</xdr:colOff>
      <xdr:row>33</xdr:row>
      <xdr:rowOff>149679</xdr:rowOff>
    </xdr:from>
    <xdr:to>
      <xdr:col>26</xdr:col>
      <xdr:colOff>508083</xdr:colOff>
      <xdr:row>47</xdr:row>
      <xdr:rowOff>168417</xdr:rowOff>
    </xdr:to>
    <xdr:pic>
      <xdr:nvPicPr>
        <xdr:cNvPr id="5" name="图片 4">
          <a:extLst>
            <a:ext uri="{FF2B5EF4-FFF2-40B4-BE49-F238E27FC236}">
              <a16:creationId xmlns:a16="http://schemas.microsoft.com/office/drawing/2014/main" id="{37C7A51D-2E94-D498-22C2-3C99803EECAD}"/>
            </a:ext>
          </a:extLst>
        </xdr:cNvPr>
        <xdr:cNvPicPr>
          <a:picLocks noChangeAspect="1"/>
        </xdr:cNvPicPr>
      </xdr:nvPicPr>
      <xdr:blipFill>
        <a:blip xmlns:r="http://schemas.openxmlformats.org/officeDocument/2006/relationships" r:embed="rId4"/>
        <a:stretch>
          <a:fillRect/>
        </a:stretch>
      </xdr:blipFill>
      <xdr:spPr>
        <a:xfrm>
          <a:off x="11606893" y="5987143"/>
          <a:ext cx="6590476" cy="2495238"/>
        </a:xfrm>
        <a:prstGeom prst="rect">
          <a:avLst/>
        </a:prstGeom>
      </xdr:spPr>
    </xdr:pic>
    <xdr:clientData/>
  </xdr:twoCellAnchor>
  <xdr:twoCellAnchor editAs="oneCell">
    <xdr:from>
      <xdr:col>0</xdr:col>
      <xdr:colOff>0</xdr:colOff>
      <xdr:row>68</xdr:row>
      <xdr:rowOff>0</xdr:rowOff>
    </xdr:from>
    <xdr:to>
      <xdr:col>16</xdr:col>
      <xdr:colOff>361905</xdr:colOff>
      <xdr:row>100</xdr:row>
      <xdr:rowOff>82285</xdr:rowOff>
    </xdr:to>
    <xdr:pic>
      <xdr:nvPicPr>
        <xdr:cNvPr id="6" name="图片 5">
          <a:extLst>
            <a:ext uri="{FF2B5EF4-FFF2-40B4-BE49-F238E27FC236}">
              <a16:creationId xmlns:a16="http://schemas.microsoft.com/office/drawing/2014/main" id="{CC5F258D-7E40-9FCF-A79F-9034D91BA9C6}"/>
            </a:ext>
          </a:extLst>
        </xdr:cNvPr>
        <xdr:cNvPicPr>
          <a:picLocks noChangeAspect="1"/>
        </xdr:cNvPicPr>
      </xdr:nvPicPr>
      <xdr:blipFill>
        <a:blip xmlns:r="http://schemas.openxmlformats.org/officeDocument/2006/relationships" r:embed="rId5"/>
        <a:stretch>
          <a:fillRect/>
        </a:stretch>
      </xdr:blipFill>
      <xdr:spPr>
        <a:xfrm>
          <a:off x="0" y="12028714"/>
          <a:ext cx="11247619" cy="5742857"/>
        </a:xfrm>
        <a:prstGeom prst="rect">
          <a:avLst/>
        </a:prstGeom>
      </xdr:spPr>
    </xdr:pic>
    <xdr:clientData/>
  </xdr:twoCellAnchor>
  <xdr:twoCellAnchor editAs="oneCell">
    <xdr:from>
      <xdr:col>17</xdr:col>
      <xdr:colOff>27215</xdr:colOff>
      <xdr:row>68</xdr:row>
      <xdr:rowOff>68036</xdr:rowOff>
    </xdr:from>
    <xdr:to>
      <xdr:col>27</xdr:col>
      <xdr:colOff>156976</xdr:colOff>
      <xdr:row>83</xdr:row>
      <xdr:rowOff>52738</xdr:rowOff>
    </xdr:to>
    <xdr:pic>
      <xdr:nvPicPr>
        <xdr:cNvPr id="7" name="图片 6">
          <a:extLst>
            <a:ext uri="{FF2B5EF4-FFF2-40B4-BE49-F238E27FC236}">
              <a16:creationId xmlns:a16="http://schemas.microsoft.com/office/drawing/2014/main" id="{0A9026F4-E2BF-FF32-0D6F-D085B48F6046}"/>
            </a:ext>
          </a:extLst>
        </xdr:cNvPr>
        <xdr:cNvPicPr>
          <a:picLocks noChangeAspect="1"/>
        </xdr:cNvPicPr>
      </xdr:nvPicPr>
      <xdr:blipFill>
        <a:blip xmlns:r="http://schemas.openxmlformats.org/officeDocument/2006/relationships" r:embed="rId6"/>
        <a:stretch>
          <a:fillRect/>
        </a:stretch>
      </xdr:blipFill>
      <xdr:spPr>
        <a:xfrm>
          <a:off x="11593286" y="12096750"/>
          <a:ext cx="6933333" cy="2638095"/>
        </a:xfrm>
        <a:prstGeom prst="rect">
          <a:avLst/>
        </a:prstGeom>
      </xdr:spPr>
    </xdr:pic>
    <xdr:clientData/>
  </xdr:twoCellAnchor>
  <xdr:twoCellAnchor editAs="oneCell">
    <xdr:from>
      <xdr:col>29</xdr:col>
      <xdr:colOff>27215</xdr:colOff>
      <xdr:row>0</xdr:row>
      <xdr:rowOff>0</xdr:rowOff>
    </xdr:from>
    <xdr:to>
      <xdr:col>34</xdr:col>
      <xdr:colOff>558762</xdr:colOff>
      <xdr:row>39</xdr:row>
      <xdr:rowOff>72607</xdr:rowOff>
    </xdr:to>
    <xdr:pic>
      <xdr:nvPicPr>
        <xdr:cNvPr id="8" name="图片 7">
          <a:extLst>
            <a:ext uri="{FF2B5EF4-FFF2-40B4-BE49-F238E27FC236}">
              <a16:creationId xmlns:a16="http://schemas.microsoft.com/office/drawing/2014/main" id="{2A125DFC-83C4-8902-F365-8380CCC08156}"/>
            </a:ext>
          </a:extLst>
        </xdr:cNvPr>
        <xdr:cNvPicPr>
          <a:picLocks noChangeAspect="1"/>
        </xdr:cNvPicPr>
      </xdr:nvPicPr>
      <xdr:blipFill>
        <a:blip xmlns:r="http://schemas.openxmlformats.org/officeDocument/2006/relationships" r:embed="rId7"/>
        <a:stretch>
          <a:fillRect/>
        </a:stretch>
      </xdr:blipFill>
      <xdr:spPr>
        <a:xfrm>
          <a:off x="19757572" y="0"/>
          <a:ext cx="3933333" cy="6971428"/>
        </a:xfrm>
        <a:prstGeom prst="rect">
          <a:avLst/>
        </a:prstGeom>
      </xdr:spPr>
    </xdr:pic>
    <xdr:clientData/>
  </xdr:twoCellAnchor>
  <xdr:twoCellAnchor editAs="oneCell">
    <xdr:from>
      <xdr:col>29</xdr:col>
      <xdr:colOff>0</xdr:colOff>
      <xdr:row>40</xdr:row>
      <xdr:rowOff>0</xdr:rowOff>
    </xdr:from>
    <xdr:to>
      <xdr:col>34</xdr:col>
      <xdr:colOff>483928</xdr:colOff>
      <xdr:row>80</xdr:row>
      <xdr:rowOff>143333</xdr:rowOff>
    </xdr:to>
    <xdr:pic>
      <xdr:nvPicPr>
        <xdr:cNvPr id="9" name="图片 8">
          <a:extLst>
            <a:ext uri="{FF2B5EF4-FFF2-40B4-BE49-F238E27FC236}">
              <a16:creationId xmlns:a16="http://schemas.microsoft.com/office/drawing/2014/main" id="{316C56F1-7B5F-A68F-BD87-C381B8B54500}"/>
            </a:ext>
          </a:extLst>
        </xdr:cNvPr>
        <xdr:cNvPicPr>
          <a:picLocks noChangeAspect="1"/>
        </xdr:cNvPicPr>
      </xdr:nvPicPr>
      <xdr:blipFill>
        <a:blip xmlns:r="http://schemas.openxmlformats.org/officeDocument/2006/relationships" r:embed="rId8"/>
        <a:stretch>
          <a:fillRect/>
        </a:stretch>
      </xdr:blipFill>
      <xdr:spPr>
        <a:xfrm>
          <a:off x="19730357" y="7075714"/>
          <a:ext cx="3885714" cy="7219048"/>
        </a:xfrm>
        <a:prstGeom prst="rect">
          <a:avLst/>
        </a:prstGeom>
      </xdr:spPr>
    </xdr:pic>
    <xdr:clientData/>
  </xdr:twoCellAnchor>
  <xdr:twoCellAnchor editAs="oneCell">
    <xdr:from>
      <xdr:col>35</xdr:col>
      <xdr:colOff>13607</xdr:colOff>
      <xdr:row>0</xdr:row>
      <xdr:rowOff>1</xdr:rowOff>
    </xdr:from>
    <xdr:to>
      <xdr:col>40</xdr:col>
      <xdr:colOff>468964</xdr:colOff>
      <xdr:row>27</xdr:row>
      <xdr:rowOff>119132</xdr:rowOff>
    </xdr:to>
    <xdr:pic>
      <xdr:nvPicPr>
        <xdr:cNvPr id="10" name="图片 9">
          <a:extLst>
            <a:ext uri="{FF2B5EF4-FFF2-40B4-BE49-F238E27FC236}">
              <a16:creationId xmlns:a16="http://schemas.microsoft.com/office/drawing/2014/main" id="{84024D51-8DF7-ECC6-E1A8-3A89EF11A8E4}"/>
            </a:ext>
          </a:extLst>
        </xdr:cNvPr>
        <xdr:cNvPicPr>
          <a:picLocks noChangeAspect="1"/>
        </xdr:cNvPicPr>
      </xdr:nvPicPr>
      <xdr:blipFill>
        <a:blip xmlns:r="http://schemas.openxmlformats.org/officeDocument/2006/relationships" r:embed="rId9"/>
        <a:stretch>
          <a:fillRect/>
        </a:stretch>
      </xdr:blipFill>
      <xdr:spPr>
        <a:xfrm>
          <a:off x="23826107" y="1"/>
          <a:ext cx="3857143" cy="4895238"/>
        </a:xfrm>
        <a:prstGeom prst="rect">
          <a:avLst/>
        </a:prstGeom>
      </xdr:spPr>
    </xdr:pic>
    <xdr:clientData/>
  </xdr:twoCellAnchor>
  <xdr:twoCellAnchor editAs="oneCell">
    <xdr:from>
      <xdr:col>34</xdr:col>
      <xdr:colOff>653142</xdr:colOff>
      <xdr:row>27</xdr:row>
      <xdr:rowOff>40822</xdr:rowOff>
    </xdr:from>
    <xdr:to>
      <xdr:col>40</xdr:col>
      <xdr:colOff>494808</xdr:colOff>
      <xdr:row>68</xdr:row>
      <xdr:rowOff>26310</xdr:rowOff>
    </xdr:to>
    <xdr:pic>
      <xdr:nvPicPr>
        <xdr:cNvPr id="11" name="图片 10">
          <a:extLst>
            <a:ext uri="{FF2B5EF4-FFF2-40B4-BE49-F238E27FC236}">
              <a16:creationId xmlns:a16="http://schemas.microsoft.com/office/drawing/2014/main" id="{31F111F6-028F-D585-7B7F-1A28CE138F62}"/>
            </a:ext>
          </a:extLst>
        </xdr:cNvPr>
        <xdr:cNvPicPr>
          <a:picLocks noChangeAspect="1"/>
        </xdr:cNvPicPr>
      </xdr:nvPicPr>
      <xdr:blipFill>
        <a:blip xmlns:r="http://schemas.openxmlformats.org/officeDocument/2006/relationships" r:embed="rId10"/>
        <a:stretch>
          <a:fillRect/>
        </a:stretch>
      </xdr:blipFill>
      <xdr:spPr>
        <a:xfrm>
          <a:off x="23785285" y="4816929"/>
          <a:ext cx="3923809" cy="7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39</xdr:row>
      <xdr:rowOff>113450</xdr:rowOff>
    </xdr:to>
    <xdr:pic>
      <xdr:nvPicPr>
        <xdr:cNvPr id="2" name="图片 1">
          <a:extLst>
            <a:ext uri="{FF2B5EF4-FFF2-40B4-BE49-F238E27FC236}">
              <a16:creationId xmlns:a16="http://schemas.microsoft.com/office/drawing/2014/main" id="{987E01D5-40D9-7222-77DB-23F3E9ACF9EF}"/>
            </a:ext>
          </a:extLst>
        </xdr:cNvPr>
        <xdr:cNvPicPr>
          <a:picLocks noChangeAspect="1"/>
        </xdr:cNvPicPr>
      </xdr:nvPicPr>
      <xdr:blipFill>
        <a:blip xmlns:r="http://schemas.openxmlformats.org/officeDocument/2006/relationships" r:embed="rId1"/>
        <a:stretch>
          <a:fillRect/>
        </a:stretch>
      </xdr:blipFill>
      <xdr:spPr>
        <a:xfrm>
          <a:off x="0" y="0"/>
          <a:ext cx="11752381" cy="6800000"/>
        </a:xfrm>
        <a:prstGeom prst="rect">
          <a:avLst/>
        </a:prstGeom>
      </xdr:spPr>
    </xdr:pic>
    <xdr:clientData/>
  </xdr:twoCellAnchor>
  <xdr:twoCellAnchor editAs="oneCell">
    <xdr:from>
      <xdr:col>0</xdr:col>
      <xdr:colOff>0</xdr:colOff>
      <xdr:row>40</xdr:row>
      <xdr:rowOff>0</xdr:rowOff>
    </xdr:from>
    <xdr:to>
      <xdr:col>17</xdr:col>
      <xdr:colOff>538691</xdr:colOff>
      <xdr:row>83</xdr:row>
      <xdr:rowOff>69797</xdr:rowOff>
    </xdr:to>
    <xdr:pic>
      <xdr:nvPicPr>
        <xdr:cNvPr id="3" name="图片 2">
          <a:extLst>
            <a:ext uri="{FF2B5EF4-FFF2-40B4-BE49-F238E27FC236}">
              <a16:creationId xmlns:a16="http://schemas.microsoft.com/office/drawing/2014/main" id="{E8B7B548-6774-6B2F-974B-6450C2224CE3}"/>
            </a:ext>
          </a:extLst>
        </xdr:cNvPr>
        <xdr:cNvPicPr>
          <a:picLocks noChangeAspect="1"/>
        </xdr:cNvPicPr>
      </xdr:nvPicPr>
      <xdr:blipFill>
        <a:blip xmlns:r="http://schemas.openxmlformats.org/officeDocument/2006/relationships" r:embed="rId2"/>
        <a:stretch>
          <a:fillRect/>
        </a:stretch>
      </xdr:blipFill>
      <xdr:spPr>
        <a:xfrm>
          <a:off x="0" y="7075714"/>
          <a:ext cx="12104762" cy="7676190"/>
        </a:xfrm>
        <a:prstGeom prst="rect">
          <a:avLst/>
        </a:prstGeom>
      </xdr:spPr>
    </xdr:pic>
    <xdr:clientData/>
  </xdr:twoCellAnchor>
  <xdr:twoCellAnchor editAs="oneCell">
    <xdr:from>
      <xdr:col>0</xdr:col>
      <xdr:colOff>0</xdr:colOff>
      <xdr:row>84</xdr:row>
      <xdr:rowOff>0</xdr:rowOff>
    </xdr:from>
    <xdr:to>
      <xdr:col>18</xdr:col>
      <xdr:colOff>67857</xdr:colOff>
      <xdr:row>125</xdr:row>
      <xdr:rowOff>99774</xdr:rowOff>
    </xdr:to>
    <xdr:pic>
      <xdr:nvPicPr>
        <xdr:cNvPr id="4" name="图片 3">
          <a:extLst>
            <a:ext uri="{FF2B5EF4-FFF2-40B4-BE49-F238E27FC236}">
              <a16:creationId xmlns:a16="http://schemas.microsoft.com/office/drawing/2014/main" id="{1DC1AF3A-0B94-EBE9-DEC0-1743CAF249A0}"/>
            </a:ext>
          </a:extLst>
        </xdr:cNvPr>
        <xdr:cNvPicPr>
          <a:picLocks noChangeAspect="1"/>
        </xdr:cNvPicPr>
      </xdr:nvPicPr>
      <xdr:blipFill>
        <a:blip xmlns:r="http://schemas.openxmlformats.org/officeDocument/2006/relationships" r:embed="rId3"/>
        <a:stretch>
          <a:fillRect/>
        </a:stretch>
      </xdr:blipFill>
      <xdr:spPr>
        <a:xfrm>
          <a:off x="0" y="14859000"/>
          <a:ext cx="12314286"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估价对象为北京市房地产，为所有。根据《国有土地使用证》[]，估价对象（分摊）出让国有建设用地使用权面积为0平方米，建筑面积为2178.63平方米。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估价对象为北京市房地产,属开发建设的，该项目尚在开发建设中。根据《国有土地使用证》[]，估价对象（分摊）出让国有建设用地使用权面积为0平方米，规划建筑面积为2178.63平方米。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2025年10月13日（评估专业人员实地查勘之日）</v>
      </c>
    </row>
    <row r="13" spans="1:2">
      <c r="A13" s="1115" t="s">
        <v>529</v>
      </c>
      <c r="B13" s="1116"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33</v>
      </c>
    </row>
    <row r="21" spans="1:2">
      <c r="A21" s="1115" t="s">
        <v>537</v>
      </c>
      <c r="B21" s="1116">
        <f ca="1">'预评函-2'!D7</f>
        <v>6165</v>
      </c>
    </row>
    <row r="22" spans="1:2">
      <c r="A22" s="1115" t="s">
        <v>538</v>
      </c>
      <c r="B22" s="1116" t="str">
        <f ca="1">'预评函-2'!D6</f>
        <v>叁拾叁万元整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v>
      </c>
    </row>
    <row r="31" spans="1:2">
      <c r="A31" s="1115" t="s">
        <v>576</v>
      </c>
      <c r="B31" s="1116">
        <f ca="1">'预评函-2'!D15</f>
        <v>6165</v>
      </c>
    </row>
    <row r="32" spans="1:2">
      <c r="A32" s="1115" t="s">
        <v>543</v>
      </c>
      <c r="B32" s="1116" t="str">
        <f ca="1">'预评函-2'!D14</f>
        <v>叁拾叁万元整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2178.63</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10</v>
      </c>
    </row>
    <row r="48" spans="1:2">
      <c r="A48" s="1115" t="s">
        <v>549</v>
      </c>
      <c r="B48" s="1116">
        <f ca="1">'预评函-3'!E4</f>
        <v>1868</v>
      </c>
    </row>
    <row r="49" spans="1:2">
      <c r="A49" s="1115" t="s">
        <v>550</v>
      </c>
      <c r="B49" s="1116" t="str">
        <f ca="1">'预评函-3'!D5</f>
        <v>壹拾万元整</v>
      </c>
    </row>
    <row r="50" spans="1:2">
      <c r="A50" s="1115" t="s">
        <v>574</v>
      </c>
      <c r="B50" s="1116" t="str">
        <f>'预评函-3'!F2</f>
        <v>在建建筑物价值</v>
      </c>
    </row>
    <row r="51" spans="1:2">
      <c r="A51" s="1115" t="s">
        <v>551</v>
      </c>
      <c r="B51" s="1116">
        <f ca="1">'预评函-3'!F4</f>
        <v>23</v>
      </c>
    </row>
    <row r="52" spans="1:2">
      <c r="A52" s="1115" t="s">
        <v>552</v>
      </c>
      <c r="B52" s="1116">
        <f ca="1">'预评函-3'!G4</f>
        <v>4297</v>
      </c>
    </row>
    <row r="53" spans="1:2">
      <c r="A53" s="1115" t="s">
        <v>580</v>
      </c>
      <c r="B53" s="1116" t="str">
        <f ca="1">'预评函-3'!F5</f>
        <v>贰拾叁万元整</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969</v>
      </c>
      <c r="C1" s="1434" t="s">
        <v>314</v>
      </c>
      <c r="D1" s="1435" t="s">
        <v>3331</v>
      </c>
      <c r="E1" s="1434" t="s">
        <v>970</v>
      </c>
      <c r="F1" s="1434" t="s">
        <v>971</v>
      </c>
      <c r="G1" s="1434" t="s">
        <v>972</v>
      </c>
      <c r="H1" s="1434" t="s">
        <v>973</v>
      </c>
      <c r="I1" s="1434" t="s">
        <v>974</v>
      </c>
      <c r="J1" s="1434" t="s">
        <v>975</v>
      </c>
      <c r="K1" s="1434" t="s">
        <v>976</v>
      </c>
      <c r="L1" s="1434" t="s">
        <v>977</v>
      </c>
      <c r="M1" s="1434" t="s">
        <v>978</v>
      </c>
      <c r="N1" s="1434" t="s">
        <v>979</v>
      </c>
      <c r="O1" s="1434" t="s">
        <v>980</v>
      </c>
      <c r="P1" s="1435" t="s">
        <v>309</v>
      </c>
      <c r="Q1" s="1435" t="s">
        <v>447</v>
      </c>
      <c r="R1" s="1434" t="s">
        <v>441</v>
      </c>
      <c r="S1" s="1434" t="s">
        <v>981</v>
      </c>
      <c r="T1" s="1435" t="s">
        <v>982</v>
      </c>
      <c r="U1" s="1434" t="s">
        <v>983</v>
      </c>
      <c r="V1" s="1434" t="s">
        <v>984</v>
      </c>
      <c r="W1" s="1434" t="s">
        <v>311</v>
      </c>
      <c r="X1" s="1434" t="s">
        <v>665</v>
      </c>
      <c r="Y1" s="1434" t="s">
        <v>21</v>
      </c>
      <c r="Z1" s="1434" t="s">
        <v>3386</v>
      </c>
      <c r="AA1" s="1434" t="s">
        <v>3385</v>
      </c>
      <c r="AB1" s="1434" t="s">
        <v>3</v>
      </c>
    </row>
    <row r="2" spans="1:28">
      <c r="A2" s="1437" t="s">
        <v>19</v>
      </c>
      <c r="B2" s="1437" t="s">
        <v>985</v>
      </c>
      <c r="C2" s="1438" t="s">
        <v>315</v>
      </c>
      <c r="D2" s="1439" t="s">
        <v>986</v>
      </c>
      <c r="E2" s="1439" t="s">
        <v>987</v>
      </c>
      <c r="F2" s="1439" t="s">
        <v>988</v>
      </c>
      <c r="G2" s="1439">
        <v>20</v>
      </c>
      <c r="H2" s="1439" t="s">
        <v>988</v>
      </c>
      <c r="I2" s="1439" t="s">
        <v>3317</v>
      </c>
      <c r="J2" s="1439" t="s">
        <v>989</v>
      </c>
      <c r="K2" s="1439" t="s">
        <v>990</v>
      </c>
      <c r="L2" s="1439" t="s">
        <v>990</v>
      </c>
      <c r="M2" s="1439" t="s">
        <v>990</v>
      </c>
      <c r="N2" s="1439" t="s">
        <v>990</v>
      </c>
      <c r="O2" s="1439" t="s">
        <v>990</v>
      </c>
      <c r="P2" s="1439" t="s">
        <v>990</v>
      </c>
      <c r="Q2" s="1439" t="s">
        <v>990</v>
      </c>
      <c r="R2" s="1439" t="s">
        <v>443</v>
      </c>
      <c r="S2" s="1439" t="s">
        <v>990</v>
      </c>
      <c r="T2" s="1439" t="s">
        <v>991</v>
      </c>
      <c r="U2" s="1439" t="s">
        <v>990</v>
      </c>
      <c r="V2" s="1439" t="s">
        <v>992</v>
      </c>
      <c r="W2" s="1439" t="s">
        <v>990</v>
      </c>
      <c r="X2" s="1441" t="s">
        <v>2421</v>
      </c>
      <c r="Y2" s="1441" t="s">
        <v>3393</v>
      </c>
      <c r="Z2" s="1441" t="s">
        <v>2434</v>
      </c>
      <c r="AA2" s="1441" t="s">
        <v>3394</v>
      </c>
      <c r="AB2" s="1441" t="s">
        <v>2461</v>
      </c>
    </row>
    <row r="3" spans="1:28">
      <c r="A3" s="1437" t="s">
        <v>993</v>
      </c>
      <c r="B3" s="1440" t="s">
        <v>448</v>
      </c>
      <c r="C3" s="1438" t="s">
        <v>316</v>
      </c>
      <c r="D3" s="1439" t="s">
        <v>994</v>
      </c>
      <c r="E3" s="1439" t="s">
        <v>13</v>
      </c>
      <c r="F3" s="1439" t="s">
        <v>995</v>
      </c>
      <c r="G3" s="1439">
        <v>40</v>
      </c>
      <c r="H3" s="1439" t="s">
        <v>995</v>
      </c>
      <c r="I3" s="1439" t="s">
        <v>3318</v>
      </c>
      <c r="J3" s="1439" t="s">
        <v>996</v>
      </c>
      <c r="K3" s="1439" t="s">
        <v>997</v>
      </c>
      <c r="L3" s="1439" t="s">
        <v>997</v>
      </c>
      <c r="M3" s="1439" t="s">
        <v>997</v>
      </c>
      <c r="N3" s="1439" t="s">
        <v>997</v>
      </c>
      <c r="O3" s="1439" t="s">
        <v>997</v>
      </c>
      <c r="P3" s="1439" t="s">
        <v>997</v>
      </c>
      <c r="Q3" s="1439" t="s">
        <v>997</v>
      </c>
      <c r="R3" s="1439" t="s">
        <v>442</v>
      </c>
      <c r="S3" s="1439" t="s">
        <v>997</v>
      </c>
      <c r="T3" s="1439" t="s">
        <v>998</v>
      </c>
      <c r="U3" s="1439" t="s">
        <v>997</v>
      </c>
      <c r="V3" s="1439" t="s">
        <v>999</v>
      </c>
      <c r="W3" s="1439" t="s">
        <v>997</v>
      </c>
      <c r="X3" s="1441" t="s">
        <v>2423</v>
      </c>
      <c r="Z3" s="1441" t="s">
        <v>2436</v>
      </c>
      <c r="AB3" s="1441" t="s">
        <v>2463</v>
      </c>
    </row>
    <row r="4" spans="1:28">
      <c r="A4" s="1437" t="s">
        <v>1000</v>
      </c>
      <c r="B4" s="1437" t="s">
        <v>1001</v>
      </c>
      <c r="C4" s="1438" t="s">
        <v>317</v>
      </c>
      <c r="D4" s="1439" t="s">
        <v>389</v>
      </c>
      <c r="E4" s="1439" t="s">
        <v>1002</v>
      </c>
      <c r="F4" s="1439" t="s">
        <v>1003</v>
      </c>
      <c r="G4" s="1439">
        <v>50</v>
      </c>
      <c r="H4" s="1439" t="s">
        <v>1003</v>
      </c>
      <c r="I4" s="1439" t="s">
        <v>3319</v>
      </c>
      <c r="K4" s="1439" t="s">
        <v>1004</v>
      </c>
      <c r="L4" s="1439" t="s">
        <v>1004</v>
      </c>
      <c r="M4" s="1439" t="s">
        <v>1004</v>
      </c>
      <c r="N4" s="1439" t="s">
        <v>1004</v>
      </c>
      <c r="O4" s="1439" t="s">
        <v>1004</v>
      </c>
      <c r="P4" s="1439" t="s">
        <v>1004</v>
      </c>
      <c r="Q4" s="1439" t="s">
        <v>1004</v>
      </c>
      <c r="R4" s="1439" t="s">
        <v>444</v>
      </c>
      <c r="S4" s="1439" t="s">
        <v>1004</v>
      </c>
      <c r="T4" s="1439" t="s">
        <v>1005</v>
      </c>
      <c r="U4" s="1439" t="s">
        <v>1004</v>
      </c>
      <c r="W4" s="1439" t="s">
        <v>1004</v>
      </c>
      <c r="X4" s="1441" t="s">
        <v>2425</v>
      </c>
      <c r="Z4" s="1441" t="s">
        <v>2438</v>
      </c>
      <c r="AB4" s="1441" t="s">
        <v>2465</v>
      </c>
    </row>
    <row r="5" spans="1:28">
      <c r="A5" s="1437" t="s">
        <v>1006</v>
      </c>
      <c r="B5" s="1437" t="s">
        <v>1007</v>
      </c>
      <c r="C5" s="1438" t="s">
        <v>318</v>
      </c>
      <c r="F5" s="1439" t="s">
        <v>1008</v>
      </c>
      <c r="G5" s="1439">
        <v>70</v>
      </c>
      <c r="H5" s="1439" t="s">
        <v>1009</v>
      </c>
      <c r="I5" s="1439" t="s">
        <v>3320</v>
      </c>
      <c r="K5" s="1439" t="s">
        <v>1010</v>
      </c>
      <c r="L5" s="1439" t="s">
        <v>1010</v>
      </c>
      <c r="M5" s="1439" t="s">
        <v>1010</v>
      </c>
      <c r="N5" s="1439" t="s">
        <v>1010</v>
      </c>
      <c r="O5" s="1439" t="s">
        <v>1010</v>
      </c>
      <c r="P5" s="1439" t="s">
        <v>1010</v>
      </c>
      <c r="Q5" s="1439" t="s">
        <v>1010</v>
      </c>
      <c r="R5" s="1439" t="s">
        <v>445</v>
      </c>
      <c r="S5" s="1439" t="s">
        <v>1010</v>
      </c>
      <c r="T5" s="1439" t="s">
        <v>1011</v>
      </c>
      <c r="U5" s="1439" t="s">
        <v>1010</v>
      </c>
      <c r="W5" s="1439" t="s">
        <v>1010</v>
      </c>
      <c r="X5" s="1441" t="s">
        <v>2427</v>
      </c>
      <c r="Z5" s="1441" t="s">
        <v>2440</v>
      </c>
      <c r="AB5" s="1441" t="s">
        <v>3395</v>
      </c>
    </row>
    <row r="6" spans="1:28">
      <c r="A6" s="1437" t="s">
        <v>1012</v>
      </c>
      <c r="B6" s="1440" t="s">
        <v>449</v>
      </c>
      <c r="C6" s="1442" t="s">
        <v>24</v>
      </c>
      <c r="F6" s="1439" t="s">
        <v>1009</v>
      </c>
      <c r="H6" s="1439" t="s">
        <v>1013</v>
      </c>
      <c r="I6" s="1439" t="s">
        <v>3321</v>
      </c>
      <c r="K6" s="1439" t="s">
        <v>1014</v>
      </c>
      <c r="L6" s="1439" t="s">
        <v>1014</v>
      </c>
      <c r="M6" s="1439" t="s">
        <v>1014</v>
      </c>
      <c r="N6" s="1439" t="s">
        <v>1014</v>
      </c>
      <c r="O6" s="1439" t="s">
        <v>1014</v>
      </c>
      <c r="P6" s="1439" t="s">
        <v>1014</v>
      </c>
      <c r="Q6" s="1439" t="s">
        <v>1014</v>
      </c>
      <c r="R6" s="1439" t="s">
        <v>446</v>
      </c>
      <c r="S6" s="1439" t="s">
        <v>1014</v>
      </c>
      <c r="T6" s="1439"/>
      <c r="U6" s="1439" t="s">
        <v>1014</v>
      </c>
      <c r="W6" s="1439" t="s">
        <v>1014</v>
      </c>
      <c r="X6" s="1441" t="s">
        <v>2429</v>
      </c>
      <c r="Z6" s="1441" t="s">
        <v>2442</v>
      </c>
      <c r="AB6" s="1441" t="s">
        <v>2468</v>
      </c>
    </row>
    <row r="7" spans="1:28">
      <c r="A7" s="1437" t="s">
        <v>1015</v>
      </c>
      <c r="B7" s="1440" t="s">
        <v>450</v>
      </c>
      <c r="C7" s="1438" t="s">
        <v>25</v>
      </c>
      <c r="F7" s="1439" t="s">
        <v>1016</v>
      </c>
      <c r="H7" s="1439" t="s">
        <v>1017</v>
      </c>
      <c r="I7" s="1439" t="s">
        <v>3322</v>
      </c>
      <c r="X7" s="1441" t="s">
        <v>2431</v>
      </c>
      <c r="Z7" s="1441" t="s">
        <v>2444</v>
      </c>
      <c r="AB7" s="1441" t="s">
        <v>2470</v>
      </c>
    </row>
    <row r="8" spans="1:28">
      <c r="A8" s="1437" t="s">
        <v>1018</v>
      </c>
      <c r="B8" s="1437" t="s">
        <v>1019</v>
      </c>
      <c r="C8" s="1438" t="s">
        <v>319</v>
      </c>
      <c r="F8" s="1439" t="s">
        <v>1020</v>
      </c>
      <c r="H8" s="1439" t="s">
        <v>2559</v>
      </c>
      <c r="I8" s="1439" t="s">
        <v>3323</v>
      </c>
      <c r="X8" s="1441" t="s">
        <v>3396</v>
      </c>
      <c r="Z8" s="1441" t="s">
        <v>2446</v>
      </c>
      <c r="AB8" s="1441" t="s">
        <v>2472</v>
      </c>
    </row>
    <row r="9" spans="1:28">
      <c r="A9" s="1437" t="s">
        <v>1021</v>
      </c>
      <c r="B9" s="1437" t="s">
        <v>1022</v>
      </c>
      <c r="C9" s="1438" t="s">
        <v>320</v>
      </c>
      <c r="F9" s="1439" t="s">
        <v>1023</v>
      </c>
      <c r="H9" s="1439"/>
      <c r="I9" s="1441" t="s">
        <v>3324</v>
      </c>
      <c r="X9" s="1441" t="s">
        <v>3397</v>
      </c>
      <c r="Z9" s="1441" t="s">
        <v>2448</v>
      </c>
      <c r="AB9" s="1441" t="s">
        <v>2474</v>
      </c>
    </row>
    <row r="10" spans="1:28">
      <c r="A10" s="1437" t="s">
        <v>1024</v>
      </c>
      <c r="B10" s="1437" t="s">
        <v>1025</v>
      </c>
      <c r="C10" s="1438" t="s">
        <v>321</v>
      </c>
      <c r="F10" s="1439" t="s">
        <v>2560</v>
      </c>
      <c r="I10" s="1441" t="s">
        <v>3325</v>
      </c>
      <c r="Z10" s="1441" t="s">
        <v>2450</v>
      </c>
      <c r="AB10" s="1441" t="s">
        <v>2476</v>
      </c>
    </row>
    <row r="11" spans="1:28">
      <c r="A11" s="1437" t="s">
        <v>1026</v>
      </c>
      <c r="B11" s="1437" t="s">
        <v>1027</v>
      </c>
      <c r="C11" s="1438" t="s">
        <v>322</v>
      </c>
      <c r="F11" s="1439" t="s">
        <v>13</v>
      </c>
      <c r="I11" s="1441" t="s">
        <v>3326</v>
      </c>
      <c r="Z11" s="1441" t="s">
        <v>2452</v>
      </c>
      <c r="AB11" s="1441" t="s">
        <v>2478</v>
      </c>
    </row>
    <row r="12" spans="1:28">
      <c r="A12" s="1437" t="s">
        <v>1028</v>
      </c>
      <c r="B12" s="1437" t="s">
        <v>1029</v>
      </c>
      <c r="C12" s="1438" t="s">
        <v>323</v>
      </c>
      <c r="I12" s="1441" t="s">
        <v>3327</v>
      </c>
      <c r="Z12" s="1441" t="s">
        <v>2454</v>
      </c>
      <c r="AB12" s="1441" t="s">
        <v>2480</v>
      </c>
    </row>
    <row r="13" spans="1:28">
      <c r="A13" s="1437" t="s">
        <v>1030</v>
      </c>
      <c r="B13" s="1437" t="s">
        <v>1031</v>
      </c>
      <c r="C13" s="1438" t="s">
        <v>324</v>
      </c>
      <c r="I13" s="1441" t="s">
        <v>3328</v>
      </c>
      <c r="Z13" s="1441" t="s">
        <v>2456</v>
      </c>
    </row>
    <row r="14" spans="1:28">
      <c r="A14" s="1437" t="s">
        <v>1032</v>
      </c>
      <c r="B14" s="1437" t="s">
        <v>1033</v>
      </c>
      <c r="C14" s="1439" t="s">
        <v>13</v>
      </c>
      <c r="I14" s="1441" t="s">
        <v>3329</v>
      </c>
      <c r="Z14" s="1441" t="s">
        <v>2458</v>
      </c>
    </row>
    <row r="15" spans="1:28">
      <c r="A15" s="1437" t="s">
        <v>1034</v>
      </c>
      <c r="B15" s="1437" t="s">
        <v>1035</v>
      </c>
      <c r="C15" s="1438"/>
      <c r="I15" s="1441" t="s">
        <v>3330</v>
      </c>
    </row>
    <row r="16" spans="1:28">
      <c r="A16" s="1437" t="s">
        <v>1036</v>
      </c>
      <c r="B16" s="1437" t="s">
        <v>312</v>
      </c>
      <c r="C16" s="1438"/>
    </row>
    <row r="17" spans="1:3">
      <c r="A17" s="1437" t="s">
        <v>1037</v>
      </c>
      <c r="B17" s="1437" t="s">
        <v>2275</v>
      </c>
      <c r="C17" s="1438"/>
    </row>
    <row r="18" spans="1:3">
      <c r="A18" s="1437" t="s">
        <v>1038</v>
      </c>
      <c r="B18" s="1437" t="s">
        <v>2415</v>
      </c>
      <c r="C18" s="1438"/>
    </row>
    <row r="19" spans="1:3">
      <c r="A19" s="1437" t="s">
        <v>1039</v>
      </c>
      <c r="B19" s="1440" t="s">
        <v>3451</v>
      </c>
      <c r="C19" s="1438"/>
    </row>
    <row r="20" spans="1:3">
      <c r="A20" s="1437" t="s">
        <v>1040</v>
      </c>
      <c r="B20" s="1437" t="s">
        <v>3453</v>
      </c>
      <c r="C20" s="1438"/>
    </row>
    <row r="21" spans="1:3">
      <c r="A21" s="1437" t="s">
        <v>1041</v>
      </c>
      <c r="B21" s="1437" t="s">
        <v>313</v>
      </c>
      <c r="C21" s="1438"/>
    </row>
    <row r="22" spans="1:3">
      <c r="A22" s="1437" t="s">
        <v>1042</v>
      </c>
      <c r="B22" s="1437" t="s">
        <v>313</v>
      </c>
      <c r="C22" s="1438"/>
    </row>
    <row r="23" spans="1:3">
      <c r="A23" s="1437" t="s">
        <v>1043</v>
      </c>
      <c r="B23" s="1437" t="s">
        <v>313</v>
      </c>
      <c r="C23" s="1438"/>
    </row>
    <row r="24" spans="1:3">
      <c r="A24" s="1437" t="s">
        <v>1044</v>
      </c>
      <c r="B24" s="1437" t="s">
        <v>313</v>
      </c>
      <c r="C24" s="1438"/>
    </row>
    <row r="25" spans="1:3">
      <c r="A25" s="1437" t="s">
        <v>1045</v>
      </c>
      <c r="B25" s="1437" t="s">
        <v>313</v>
      </c>
      <c r="C25" s="1438"/>
    </row>
    <row r="26" spans="1:3">
      <c r="A26" s="1437" t="s">
        <v>1046</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1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3" t="s">
        <v>385</v>
      </c>
      <c r="C54" s="1441" t="s">
        <v>583</v>
      </c>
    </row>
    <row r="55" spans="1:4">
      <c r="A55" s="3219"/>
      <c r="B55" s="1443" t="s">
        <v>386</v>
      </c>
      <c r="C55" s="1441" t="s">
        <v>584</v>
      </c>
    </row>
    <row r="56" spans="1:4">
      <c r="A56" s="3219"/>
      <c r="B56" s="1443" t="s">
        <v>387</v>
      </c>
      <c r="C56" s="1441" t="s">
        <v>588</v>
      </c>
    </row>
    <row r="57" spans="1:4">
      <c r="A57" s="321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2482</v>
      </c>
      <c r="B1" s="2752"/>
      <c r="C1" s="2752"/>
      <c r="D1" s="2752"/>
      <c r="E1" s="2752"/>
      <c r="F1" s="2753"/>
      <c r="I1" s="3129" t="s">
        <v>2575</v>
      </c>
      <c r="J1" s="2778"/>
      <c r="K1" s="2778"/>
      <c r="L1" s="2778"/>
      <c r="M1" s="2778"/>
      <c r="N1" s="2963"/>
      <c r="O1" s="2963"/>
      <c r="P1" s="2963"/>
      <c r="Q1" s="2963"/>
      <c r="R1" s="2963"/>
    </row>
    <row r="2" spans="1:18">
      <c r="A2" s="2755"/>
      <c r="B2" s="2756"/>
      <c r="C2" s="2756"/>
      <c r="D2" s="2756"/>
      <c r="E2" s="2756"/>
      <c r="F2" s="2757"/>
      <c r="I2" s="3220" t="s">
        <v>2562</v>
      </c>
      <c r="J2" s="3220"/>
      <c r="K2" s="3220"/>
      <c r="L2" s="3220"/>
      <c r="M2" s="3220"/>
      <c r="N2" s="3220"/>
      <c r="O2" s="3220"/>
      <c r="P2" s="3220"/>
      <c r="Q2" s="3220"/>
      <c r="R2" s="3220"/>
    </row>
    <row r="3" spans="1:18">
      <c r="A3" s="2758" t="s">
        <v>2483</v>
      </c>
      <c r="B3" s="2759">
        <f>项目基本情况!D3</f>
        <v>45943</v>
      </c>
      <c r="C3" s="2761"/>
      <c r="D3" s="2761"/>
      <c r="E3" s="2761"/>
      <c r="F3" s="2757"/>
      <c r="I3" s="2773"/>
      <c r="J3" s="2773" t="s">
        <v>2566</v>
      </c>
      <c r="K3" s="2773" t="s">
        <v>2567</v>
      </c>
      <c r="L3" s="2773" t="s">
        <v>2568</v>
      </c>
      <c r="M3" s="2773" t="s">
        <v>2569</v>
      </c>
      <c r="N3" s="3130" t="s">
        <v>2570</v>
      </c>
      <c r="O3" s="3130" t="s">
        <v>2571</v>
      </c>
      <c r="P3" s="3130" t="s">
        <v>2572</v>
      </c>
      <c r="Q3" s="3130" t="s">
        <v>2573</v>
      </c>
      <c r="R3" s="3130" t="s">
        <v>2574</v>
      </c>
    </row>
    <row r="4" spans="1:18">
      <c r="A4" s="2758" t="s">
        <v>2484</v>
      </c>
      <c r="B4" s="2761" t="s">
        <v>2485</v>
      </c>
      <c r="C4" s="2761" t="s">
        <v>2486</v>
      </c>
      <c r="D4" s="2761" t="s">
        <v>2487</v>
      </c>
      <c r="E4" s="2761" t="s">
        <v>2488</v>
      </c>
      <c r="F4" s="2757"/>
      <c r="I4" s="2773" t="s">
        <v>2563</v>
      </c>
      <c r="J4" s="2773">
        <v>80</v>
      </c>
      <c r="K4" s="2773">
        <v>70</v>
      </c>
      <c r="L4" s="2773">
        <v>20</v>
      </c>
      <c r="M4" s="2773">
        <v>30</v>
      </c>
      <c r="N4" s="2761">
        <v>45</v>
      </c>
      <c r="O4" s="2761">
        <v>60</v>
      </c>
      <c r="P4" s="2761">
        <v>50</v>
      </c>
      <c r="Q4" s="2761">
        <v>20</v>
      </c>
      <c r="R4" s="2761">
        <v>375</v>
      </c>
    </row>
    <row r="5" spans="1:18">
      <c r="A5" s="2762">
        <v>40</v>
      </c>
      <c r="B5" s="2759">
        <v>46375</v>
      </c>
      <c r="C5" s="2761">
        <f>ROUNDDOWN(MIN((B5-B3)/365,A5),2)</f>
        <v>1.18</v>
      </c>
      <c r="D5" s="2763">
        <f>IF(ISERROR(ROUND(POWER(1+E5,A5-C5)*(POWER(1+E5,C5)-1)/(POWER(1+E5,A5)-1),3)),0,ROUND(POWER(1+E5,A5-C5)*(POWER(1+E5,C5)-1)/(POWER(1+E5,A5)-1),4))</f>
        <v>5.7099999999999998E-2</v>
      </c>
      <c r="E5" s="2764">
        <v>0.04</v>
      </c>
      <c r="F5" s="2757"/>
      <c r="I5" s="2773" t="s">
        <v>2564</v>
      </c>
      <c r="J5" s="2773">
        <v>70</v>
      </c>
      <c r="K5" s="2773">
        <v>60</v>
      </c>
      <c r="L5" s="2773">
        <v>15</v>
      </c>
      <c r="M5" s="2773">
        <v>25</v>
      </c>
      <c r="N5" s="2761">
        <v>40</v>
      </c>
      <c r="O5" s="2761">
        <v>50</v>
      </c>
      <c r="P5" s="2761">
        <v>40</v>
      </c>
      <c r="Q5" s="2761">
        <v>15</v>
      </c>
      <c r="R5" s="2761">
        <v>315</v>
      </c>
    </row>
    <row r="6" spans="1:18">
      <c r="A6" s="2762">
        <v>50</v>
      </c>
      <c r="B6" s="2759">
        <v>50028</v>
      </c>
      <c r="C6" s="2761">
        <f>ROUNDDOWN(MIN((B6-B3)/365,A6),2)</f>
        <v>11.19</v>
      </c>
      <c r="D6" s="2763">
        <f>IF(ISERROR(ROUND(POWER(1+E6,A6-C6)*(POWER(1+E6,C6)-1)/(POWER(1+E6,A6)-1),3)),0,ROUND(POWER(1+E6,A6-C6)*(POWER(1+E6,C6)-1)/(POWER(1+E6,A6)-1),4))</f>
        <v>0.41339999999999999</v>
      </c>
      <c r="E6" s="2764">
        <v>0.04</v>
      </c>
      <c r="F6" s="2757"/>
      <c r="I6" s="2773" t="s">
        <v>2565</v>
      </c>
      <c r="J6" s="2773">
        <v>60</v>
      </c>
      <c r="K6" s="2773">
        <v>50</v>
      </c>
      <c r="L6" s="2773">
        <v>10</v>
      </c>
      <c r="M6" s="2773">
        <v>20</v>
      </c>
      <c r="N6" s="2761">
        <v>35</v>
      </c>
      <c r="O6" s="2761">
        <v>40</v>
      </c>
      <c r="P6" s="2761">
        <v>30</v>
      </c>
      <c r="Q6" s="2761">
        <v>10</v>
      </c>
      <c r="R6" s="2761">
        <v>255</v>
      </c>
    </row>
    <row r="7" spans="1:18">
      <c r="A7" s="2762">
        <v>70</v>
      </c>
      <c r="B7" s="2759">
        <v>57333</v>
      </c>
      <c r="C7" s="2761">
        <f>ROUNDDOWN(MIN((B7-B3)/365,A7),2)</f>
        <v>31.2</v>
      </c>
      <c r="D7" s="2763">
        <f>IF(ISERROR(ROUND(POWER(1+E7,A7-C7)*(POWER(1+E7,C7)-1)/(POWER(1+E7,A7)-1),3)),0,ROUND(POWER(1+E7,A7-C7)*(POWER(1+E7,C7)-1)/(POWER(1+E7,A7)-1),4))</f>
        <v>0.75429999999999997</v>
      </c>
      <c r="E7" s="2764">
        <v>0.04</v>
      </c>
      <c r="F7" s="2757"/>
    </row>
    <row r="8" spans="1:18">
      <c r="A8" s="2755"/>
      <c r="B8" s="2756"/>
      <c r="C8" s="2756"/>
      <c r="D8" s="2756"/>
      <c r="E8" s="2756"/>
      <c r="F8" s="2757"/>
    </row>
    <row r="9" spans="1:18">
      <c r="A9" s="2758" t="s">
        <v>2489</v>
      </c>
      <c r="B9" s="2761"/>
      <c r="C9" s="2761"/>
      <c r="D9" s="2761"/>
      <c r="E9" s="2761"/>
      <c r="F9" s="2765"/>
    </row>
    <row r="10" spans="1:18">
      <c r="A10" s="2758" t="s">
        <v>2490</v>
      </c>
      <c r="B10" s="2761"/>
      <c r="C10" s="2761"/>
      <c r="D10" s="2761" t="s">
        <v>2488</v>
      </c>
      <c r="E10" s="2761"/>
      <c r="F10" s="2765" t="s">
        <v>2487</v>
      </c>
    </row>
    <row r="11" spans="1:18">
      <c r="A11" s="2758" t="s">
        <v>2491</v>
      </c>
      <c r="B11" s="2766">
        <v>70</v>
      </c>
      <c r="C11" s="2761" t="s">
        <v>2492</v>
      </c>
      <c r="D11" s="2766">
        <v>4.4999999999999998E-2</v>
      </c>
      <c r="E11" s="2761" t="s">
        <v>2493</v>
      </c>
      <c r="F11" s="2767">
        <f>ROUND(1-(1/(POWER(1+D11,B11))),4)</f>
        <v>0.95409999999999995</v>
      </c>
    </row>
    <row r="12" spans="1:18">
      <c r="A12" s="2758" t="s">
        <v>2494</v>
      </c>
      <c r="B12" s="2766">
        <v>40</v>
      </c>
      <c r="C12" s="2761" t="s">
        <v>2495</v>
      </c>
      <c r="D12" s="2766">
        <v>4.4999999999999998E-2</v>
      </c>
      <c r="E12" s="2761" t="s">
        <v>2496</v>
      </c>
      <c r="F12" s="2767">
        <f>ROUND(1-(1/(POWER(1+D12,B12))),4)</f>
        <v>0.82809999999999995</v>
      </c>
    </row>
    <row r="13" spans="1:18">
      <c r="A13" s="2758" t="s">
        <v>2497</v>
      </c>
      <c r="B13" s="2761"/>
      <c r="C13" s="2761"/>
      <c r="D13" s="2756"/>
      <c r="E13" s="2756"/>
      <c r="F13" s="2757"/>
    </row>
    <row r="14" spans="1:18">
      <c r="A14" s="2758" t="s">
        <v>2498</v>
      </c>
      <c r="B14" s="2766">
        <v>5000</v>
      </c>
      <c r="C14" s="2760"/>
      <c r="D14" s="2756"/>
      <c r="E14" s="2756"/>
      <c r="F14" s="2757"/>
    </row>
    <row r="15" spans="1:18">
      <c r="A15" s="2758" t="s">
        <v>2499</v>
      </c>
      <c r="B15" s="2761">
        <f>ROUND(B14*F12/F11,2)</f>
        <v>4339.6899999999996</v>
      </c>
      <c r="C15" s="2761">
        <f>ROUND(F12/F11,4)</f>
        <v>0.8679</v>
      </c>
      <c r="D15" s="2756"/>
      <c r="E15" s="2756"/>
      <c r="F15" s="2757"/>
    </row>
    <row r="16" spans="1:18">
      <c r="A16" s="2758" t="s">
        <v>2500</v>
      </c>
      <c r="B16" s="2761"/>
      <c r="C16" s="2761"/>
      <c r="D16" s="2756"/>
      <c r="E16" s="2756"/>
      <c r="F16" s="2757"/>
    </row>
    <row r="17" spans="1:14">
      <c r="A17" s="2758" t="s">
        <v>2499</v>
      </c>
      <c r="B17" s="2766">
        <v>4810</v>
      </c>
      <c r="C17" s="2760"/>
      <c r="D17" s="2756"/>
      <c r="E17" s="2756"/>
      <c r="F17" s="2757"/>
    </row>
    <row r="18" spans="1:14" ht="14.25" thickBot="1">
      <c r="A18" s="2768" t="s">
        <v>2498</v>
      </c>
      <c r="B18" s="2769">
        <f>ROUND(B17*F11/F12,2)</f>
        <v>5541.87</v>
      </c>
      <c r="C18" s="2769">
        <f>ROUND(F11/F12,4)</f>
        <v>1.1521999999999999</v>
      </c>
      <c r="D18" s="2770"/>
      <c r="E18" s="2770"/>
      <c r="F18" s="2771"/>
    </row>
    <row r="19" spans="1:14" ht="14.25" thickBot="1"/>
    <row r="20" spans="1:14" s="2804" customFormat="1" ht="14.25" thickTop="1">
      <c r="A20" s="2801" t="s">
        <v>2501</v>
      </c>
      <c r="B20" s="2802"/>
      <c r="C20" s="2802"/>
      <c r="D20" s="2802"/>
      <c r="E20" s="2802"/>
      <c r="F20" s="2802"/>
      <c r="G20" s="2803"/>
      <c r="I20" s="2805" t="s">
        <v>2546</v>
      </c>
      <c r="J20" s="2805" t="s">
        <v>2551</v>
      </c>
      <c r="K20" s="2805"/>
      <c r="L20" s="2805"/>
      <c r="M20" s="2805"/>
    </row>
    <row r="21" spans="1:14">
      <c r="A21" s="2772"/>
      <c r="B21" s="2773" t="s">
        <v>2502</v>
      </c>
      <c r="C21" s="2773" t="s">
        <v>2503</v>
      </c>
      <c r="D21" s="2773" t="s">
        <v>2504</v>
      </c>
      <c r="E21" s="2773" t="s">
        <v>2505</v>
      </c>
      <c r="F21" s="2773" t="s">
        <v>2506</v>
      </c>
      <c r="G21" s="2774" t="s">
        <v>2507</v>
      </c>
      <c r="I21" s="2795">
        <v>5</v>
      </c>
      <c r="J21" s="2795">
        <v>54.2</v>
      </c>
    </row>
    <row r="22" spans="1:14">
      <c r="A22" s="2772" t="s">
        <v>2508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2509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2549</v>
      </c>
      <c r="N23" s="3147" t="s">
        <v>2550</v>
      </c>
    </row>
    <row r="24" spans="1:14">
      <c r="A24" s="2772" t="s">
        <v>2510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2548</v>
      </c>
      <c r="N24" s="3147">
        <v>10</v>
      </c>
    </row>
    <row r="25" spans="1:14">
      <c r="A25" s="2772" t="s">
        <v>2511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2552</v>
      </c>
      <c r="N25" s="3147">
        <v>8</v>
      </c>
    </row>
    <row r="26" spans="1:14">
      <c r="A26" s="2777"/>
      <c r="B26" s="2778"/>
      <c r="C26" s="2778"/>
      <c r="D26" s="2778"/>
      <c r="E26" s="2778"/>
      <c r="F26" s="2778"/>
      <c r="G26" s="2779"/>
      <c r="I26" s="2795">
        <v>30</v>
      </c>
      <c r="J26" s="2795">
        <v>90.5</v>
      </c>
      <c r="K26" s="2795">
        <f t="shared" si="2"/>
        <v>4.2000000000000028</v>
      </c>
      <c r="L26" s="2795" t="s">
        <v>2553</v>
      </c>
      <c r="N26" s="3147">
        <v>5</v>
      </c>
    </row>
    <row r="27" spans="1:14">
      <c r="A27" s="2777" t="s">
        <v>2512</v>
      </c>
      <c r="B27" s="2778"/>
      <c r="C27" s="2778"/>
      <c r="D27" s="2778"/>
      <c r="E27" s="2778"/>
      <c r="F27" s="2778"/>
      <c r="G27" s="2779"/>
      <c r="I27" s="2795">
        <v>35</v>
      </c>
      <c r="J27" s="2795">
        <v>93.8</v>
      </c>
      <c r="K27" s="2795">
        <f t="shared" si="2"/>
        <v>3.2999999999999972</v>
      </c>
      <c r="L27" s="2795" t="s">
        <v>2554</v>
      </c>
      <c r="N27" s="3147">
        <v>3</v>
      </c>
    </row>
    <row r="28" spans="1:14">
      <c r="A28" s="2777" t="s">
        <v>2513</v>
      </c>
      <c r="B28" s="2778"/>
      <c r="C28" s="2778"/>
      <c r="D28" s="2778"/>
      <c r="E28" s="2778"/>
      <c r="F28" s="2778"/>
      <c r="G28" s="2779"/>
      <c r="I28" s="2795">
        <v>40</v>
      </c>
      <c r="J28" s="2795">
        <v>96.4</v>
      </c>
      <c r="K28" s="2795">
        <f t="shared" si="2"/>
        <v>2.6000000000000085</v>
      </c>
      <c r="L28" s="2795" t="s">
        <v>2555</v>
      </c>
      <c r="N28" s="3147">
        <v>2</v>
      </c>
    </row>
    <row r="29" spans="1:14">
      <c r="A29" s="2777" t="s">
        <v>2514</v>
      </c>
      <c r="B29" s="2778"/>
      <c r="C29" s="2778"/>
      <c r="D29" s="2778"/>
      <c r="E29" s="2778"/>
      <c r="F29" s="2778"/>
      <c r="G29" s="2779"/>
      <c r="I29" s="2795">
        <v>45</v>
      </c>
      <c r="J29" s="2795">
        <v>98.4</v>
      </c>
      <c r="K29" s="2795">
        <f t="shared" si="2"/>
        <v>2</v>
      </c>
    </row>
    <row r="30" spans="1:14">
      <c r="A30" s="2777" t="s">
        <v>2515</v>
      </c>
      <c r="B30" s="2778"/>
      <c r="C30" s="2778"/>
      <c r="D30" s="2778"/>
      <c r="E30" s="2778"/>
      <c r="F30" s="2778"/>
      <c r="G30" s="2779"/>
      <c r="I30" s="2795">
        <v>50</v>
      </c>
      <c r="J30" s="2795">
        <v>100</v>
      </c>
      <c r="K30" s="2795">
        <f t="shared" si="2"/>
        <v>1.5999999999999943</v>
      </c>
    </row>
    <row r="31" spans="1:14">
      <c r="A31" s="2777" t="s">
        <v>2516</v>
      </c>
      <c r="B31" s="2778"/>
      <c r="C31" s="2778"/>
      <c r="D31" s="2778"/>
      <c r="E31" s="2778"/>
      <c r="F31" s="2778"/>
      <c r="G31" s="2779"/>
      <c r="I31" s="2795" t="s">
        <v>2547</v>
      </c>
    </row>
    <row r="32" spans="1:14">
      <c r="A32" s="2777" t="s">
        <v>2517</v>
      </c>
      <c r="B32" s="2778"/>
      <c r="C32" s="2778"/>
      <c r="D32" s="2778"/>
      <c r="E32" s="2778"/>
      <c r="F32" s="2778"/>
      <c r="G32" s="2779"/>
    </row>
    <row r="33" spans="1:14">
      <c r="A33" s="2777" t="s">
        <v>2518</v>
      </c>
      <c r="B33" s="2778"/>
      <c r="C33" s="2778"/>
      <c r="D33" s="2778"/>
      <c r="E33" s="2778"/>
      <c r="F33" s="2778"/>
      <c r="G33" s="2779"/>
      <c r="I33" s="2795" t="s">
        <v>2546</v>
      </c>
      <c r="J33" s="2795" t="s">
        <v>2556</v>
      </c>
    </row>
    <row r="34" spans="1:14">
      <c r="A34" s="2777" t="s">
        <v>2519</v>
      </c>
      <c r="B34" s="2778"/>
      <c r="C34" s="2778"/>
      <c r="D34" s="2778"/>
      <c r="E34" s="2778"/>
      <c r="F34" s="2778"/>
      <c r="G34" s="2779"/>
      <c r="I34" s="2795">
        <v>5</v>
      </c>
      <c r="J34" s="2795">
        <v>55.1</v>
      </c>
    </row>
    <row r="35" spans="1:14">
      <c r="A35" s="2777" t="s">
        <v>2520</v>
      </c>
      <c r="B35" s="2778"/>
      <c r="C35" s="2778"/>
      <c r="D35" s="2778"/>
      <c r="E35" s="2778"/>
      <c r="F35" s="2778"/>
      <c r="G35" s="2779"/>
      <c r="I35" s="2795">
        <v>10</v>
      </c>
      <c r="J35" s="2795">
        <v>67</v>
      </c>
      <c r="K35" s="2795">
        <f>J35-J34</f>
        <v>11.899999999999999</v>
      </c>
    </row>
    <row r="36" spans="1:14">
      <c r="A36" s="2777" t="s">
        <v>2521</v>
      </c>
      <c r="B36" s="2778"/>
      <c r="C36" s="2778"/>
      <c r="D36" s="2778"/>
      <c r="E36" s="2778"/>
      <c r="F36" s="2778"/>
      <c r="G36" s="2779"/>
      <c r="I36" s="2795">
        <v>15</v>
      </c>
      <c r="J36" s="2795">
        <v>76.3</v>
      </c>
      <c r="K36" s="2795">
        <f t="shared" ref="K36:K41" si="3">J36-J35</f>
        <v>9.2999999999999972</v>
      </c>
      <c r="L36" s="2795" t="s">
        <v>2549</v>
      </c>
      <c r="N36" s="3147" t="s">
        <v>2550</v>
      </c>
    </row>
    <row r="37" spans="1:14">
      <c r="A37" s="2777" t="s">
        <v>2522</v>
      </c>
      <c r="B37" s="2778"/>
      <c r="C37" s="2778"/>
      <c r="D37" s="2778"/>
      <c r="E37" s="2778"/>
      <c r="F37" s="2778"/>
      <c r="G37" s="2779"/>
      <c r="I37" s="2795">
        <v>20</v>
      </c>
      <c r="J37" s="2795">
        <v>83.6</v>
      </c>
      <c r="K37" s="2795">
        <f t="shared" si="3"/>
        <v>7.2999999999999972</v>
      </c>
      <c r="L37" s="2795" t="s">
        <v>2548</v>
      </c>
      <c r="N37" s="3147">
        <v>10</v>
      </c>
    </row>
    <row r="38" spans="1:14">
      <c r="A38" s="2777" t="s">
        <v>2523</v>
      </c>
      <c r="B38" s="2778"/>
      <c r="C38" s="2778"/>
      <c r="D38" s="2778"/>
      <c r="E38" s="2778"/>
      <c r="F38" s="2778"/>
      <c r="G38" s="2779"/>
      <c r="I38" s="2795">
        <v>25</v>
      </c>
      <c r="J38" s="2795">
        <v>89.3</v>
      </c>
      <c r="K38" s="2795">
        <f t="shared" si="3"/>
        <v>5.7000000000000028</v>
      </c>
      <c r="L38" s="2795" t="s">
        <v>2552</v>
      </c>
      <c r="N38" s="3147">
        <v>8</v>
      </c>
    </row>
    <row r="39" spans="1:14">
      <c r="A39" s="2777"/>
      <c r="B39" s="2778"/>
      <c r="C39" s="2778"/>
      <c r="D39" s="2778"/>
      <c r="E39" s="2778"/>
      <c r="F39" s="2778"/>
      <c r="G39" s="2779"/>
      <c r="I39" s="2795">
        <v>30</v>
      </c>
      <c r="J39" s="2795">
        <v>93.8</v>
      </c>
      <c r="K39" s="2795">
        <f t="shared" si="3"/>
        <v>4.5</v>
      </c>
      <c r="L39" s="2795" t="s">
        <v>2553</v>
      </c>
      <c r="N39" s="3147">
        <v>6</v>
      </c>
    </row>
    <row r="40" spans="1:14">
      <c r="A40" s="2780" t="s">
        <v>2524</v>
      </c>
      <c r="B40" s="2781"/>
      <c r="C40" s="2781"/>
      <c r="D40" s="2781"/>
      <c r="E40" s="2781"/>
      <c r="F40" s="2781"/>
      <c r="G40" s="2782"/>
      <c r="I40" s="2795">
        <v>35</v>
      </c>
      <c r="J40" s="2795">
        <v>97.2</v>
      </c>
      <c r="K40" s="2795">
        <f t="shared" si="3"/>
        <v>3.4000000000000057</v>
      </c>
      <c r="L40" s="2795" t="s">
        <v>2554</v>
      </c>
      <c r="N40" s="3147">
        <v>3</v>
      </c>
    </row>
    <row r="41" spans="1:14">
      <c r="A41" s="2783" t="s">
        <v>2525</v>
      </c>
      <c r="B41" s="2784" t="s">
        <v>2526</v>
      </c>
      <c r="C41" s="2785" t="s">
        <v>2527</v>
      </c>
      <c r="D41" s="2785" t="s">
        <v>2528</v>
      </c>
      <c r="E41" s="2786"/>
      <c r="F41" s="2787"/>
      <c r="G41" s="2788"/>
      <c r="I41" s="2795">
        <v>40</v>
      </c>
      <c r="J41" s="2795">
        <v>100</v>
      </c>
      <c r="K41" s="2795">
        <f t="shared" si="3"/>
        <v>2.7999999999999972</v>
      </c>
    </row>
    <row r="42" spans="1:14">
      <c r="A42" s="2783" t="s">
        <v>2529</v>
      </c>
      <c r="B42" s="2784" t="s">
        <v>2530</v>
      </c>
      <c r="C42" s="2785" t="s">
        <v>2531</v>
      </c>
      <c r="D42" s="2789" t="s">
        <v>2532</v>
      </c>
      <c r="E42" s="2781" t="s">
        <v>2533</v>
      </c>
      <c r="F42" s="2781"/>
      <c r="G42" s="2782"/>
    </row>
    <row r="43" spans="1:14">
      <c r="A43" s="2783" t="s">
        <v>2534</v>
      </c>
      <c r="B43" s="2784" t="s">
        <v>2535</v>
      </c>
      <c r="C43" s="2785" t="s">
        <v>2536</v>
      </c>
      <c r="D43" s="2785" t="s">
        <v>2537</v>
      </c>
      <c r="E43" s="2786" t="s">
        <v>2538</v>
      </c>
      <c r="F43" s="2787"/>
      <c r="G43" s="2788"/>
      <c r="I43" s="2795" t="s">
        <v>2546</v>
      </c>
      <c r="J43" s="2795" t="s">
        <v>2557</v>
      </c>
    </row>
    <row r="44" spans="1:14">
      <c r="A44" s="2783" t="s">
        <v>2539</v>
      </c>
      <c r="B44" s="2784" t="s">
        <v>2540</v>
      </c>
      <c r="C44" s="2785" t="s">
        <v>2541</v>
      </c>
      <c r="D44" s="2789">
        <v>0.5</v>
      </c>
      <c r="E44" s="2786" t="s">
        <v>2542</v>
      </c>
      <c r="F44" s="2787"/>
      <c r="G44" s="2788"/>
      <c r="I44" s="2795">
        <v>30</v>
      </c>
      <c r="J44" s="2795">
        <v>81.7</v>
      </c>
    </row>
    <row r="45" spans="1:14" ht="14.25" thickBot="1">
      <c r="A45" s="2790" t="s">
        <v>2543</v>
      </c>
      <c r="B45" s="2791" t="s">
        <v>2530</v>
      </c>
      <c r="C45" s="2792" t="s">
        <v>2530</v>
      </c>
      <c r="D45" s="2792" t="s">
        <v>2544</v>
      </c>
      <c r="E45" s="2793" t="s">
        <v>2545</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3366</v>
      </c>
    </row>
    <row r="50" spans="1:4">
      <c r="A50" s="3139" t="s">
        <v>3367</v>
      </c>
      <c r="B50" s="3139" t="s">
        <v>3368</v>
      </c>
      <c r="C50" s="3139" t="s">
        <v>3369</v>
      </c>
      <c r="D50" s="3139" t="s">
        <v>3370</v>
      </c>
    </row>
    <row r="51" spans="1:4">
      <c r="A51" s="3139" t="s">
        <v>3371</v>
      </c>
      <c r="B51" s="2760">
        <f>B52+B53</f>
        <v>15000</v>
      </c>
      <c r="C51" s="3140">
        <f>D51/B51</f>
        <v>2666.6666666666665</v>
      </c>
      <c r="D51" s="2760">
        <f>D52+D53</f>
        <v>40000000</v>
      </c>
    </row>
    <row r="52" spans="1:4">
      <c r="A52" s="3141" t="s">
        <v>3372</v>
      </c>
      <c r="B52" s="3142">
        <v>10000</v>
      </c>
      <c r="C52" s="3142">
        <v>1500</v>
      </c>
      <c r="D52" s="3143">
        <f>C52*B52</f>
        <v>15000000</v>
      </c>
    </row>
    <row r="53" spans="1:4">
      <c r="A53" s="3141" t="s">
        <v>3373</v>
      </c>
      <c r="B53" s="3142">
        <v>5000</v>
      </c>
      <c r="C53" s="3142">
        <v>5000</v>
      </c>
      <c r="D53" s="3143">
        <f>C53*B53</f>
        <v>25000000</v>
      </c>
    </row>
    <row r="54" spans="1:4">
      <c r="A54" s="3139" t="s">
        <v>3374</v>
      </c>
      <c r="B54" s="2760">
        <f>B51</f>
        <v>15000</v>
      </c>
      <c r="C54" s="2766">
        <v>700</v>
      </c>
      <c r="D54" s="2760">
        <f t="shared" ref="D54:D55" si="5">C54*B54</f>
        <v>10500000</v>
      </c>
    </row>
    <row r="55" spans="1:4">
      <c r="A55" s="3139" t="s">
        <v>3375</v>
      </c>
      <c r="B55" s="2760">
        <f>B51</f>
        <v>15000</v>
      </c>
      <c r="C55" s="2766">
        <v>1500</v>
      </c>
      <c r="D55" s="2760">
        <f t="shared" si="5"/>
        <v>22500000</v>
      </c>
    </row>
    <row r="56" spans="1:4">
      <c r="A56" s="3139" t="s">
        <v>3376</v>
      </c>
      <c r="B56" s="2760">
        <f>B51</f>
        <v>15000</v>
      </c>
      <c r="C56" s="3144">
        <f>C51+C54+C55</f>
        <v>4866.6666666666661</v>
      </c>
      <c r="D56" s="2760">
        <f>D51+D54+D55</f>
        <v>73000000</v>
      </c>
    </row>
    <row r="58" spans="1:4">
      <c r="A58" s="3139" t="s">
        <v>3377</v>
      </c>
      <c r="B58" s="3145">
        <v>0.05</v>
      </c>
      <c r="C58" s="2760">
        <f>C56*(1+B58)</f>
        <v>5110</v>
      </c>
      <c r="D58" s="2760">
        <f>D56*B58</f>
        <v>3650000</v>
      </c>
    </row>
    <row r="60" spans="1:4">
      <c r="A60" s="3139" t="s">
        <v>3378</v>
      </c>
      <c r="B60" s="2766">
        <v>3500</v>
      </c>
      <c r="C60" s="2766">
        <f>C53</f>
        <v>5000</v>
      </c>
      <c r="D60" s="2760">
        <f>C60*B60</f>
        <v>17500000</v>
      </c>
    </row>
    <row r="62" spans="1:4">
      <c r="A62" s="3139" t="s">
        <v>3379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2159</v>
      </c>
      <c r="B1" s="3221" t="str">
        <f>IF(B10="北京市","北京市",C10)&amp;F10&amp;IF('结果表-车位'!G1="在建","出让国有建设用地使用权及在建建筑物",IF('结果表-车位'!G1="土地","出让国有建设用地使用权",))&amp;B9&amp;"预评估"</f>
        <v>北京市房地产市场价值预评估</v>
      </c>
      <c r="C1" s="3222"/>
      <c r="D1" s="3222"/>
      <c r="E1" s="3222"/>
      <c r="F1" s="3222"/>
      <c r="G1" s="3222"/>
      <c r="H1" s="3222"/>
      <c r="I1" s="3223"/>
      <c r="J1" s="2240"/>
      <c r="K1" s="2178"/>
      <c r="L1" s="2179"/>
      <c r="M1" s="2179"/>
      <c r="N1" s="2177"/>
      <c r="O1" s="1462"/>
      <c r="P1" s="2177"/>
      <c r="Q1" s="2177"/>
      <c r="R1" s="2177"/>
      <c r="S1" s="1557" t="str">
        <f>IF(B10="北京市","北京市",C10)&amp;F10&amp;IF('结果表-车位'!G1="在建","出让国有建设用地使用权及在建建筑物房地产抵押价值",IF('结果表-车位'!G1="土地","出让国有建设用地使用权抵押价值",B9))</f>
        <v>北京市房地产市场价值</v>
      </c>
      <c r="T1" s="1614"/>
      <c r="U1" s="1614"/>
      <c r="V1" s="1614"/>
      <c r="W1" s="1614"/>
      <c r="X1" s="1614"/>
      <c r="Y1" s="1614"/>
      <c r="Z1" s="1614"/>
      <c r="AA1" s="1614"/>
      <c r="AB1" s="1614"/>
    </row>
    <row r="2" spans="1:30">
      <c r="A2" s="2177" t="s">
        <v>2160</v>
      </c>
      <c r="B2" s="122"/>
      <c r="D2" s="2443"/>
      <c r="E2" s="2436"/>
      <c r="F2" s="2436"/>
      <c r="G2" s="2437"/>
      <c r="H2" s="2437"/>
      <c r="I2" s="2437"/>
      <c r="J2" s="2240"/>
      <c r="K2" s="2178"/>
      <c r="L2" s="2179"/>
      <c r="M2" s="2179"/>
      <c r="N2" s="2177"/>
      <c r="O2" s="1462"/>
      <c r="P2" s="2177"/>
      <c r="Q2" s="2177"/>
      <c r="R2" s="2177"/>
      <c r="S2" s="1557" t="str">
        <f>IF(B10="北京市","北京市",C10)&amp;F10&amp;IF('结果表-车位'!G1="在建","出让国有建设用地使用权及在建建筑物房地产",IF('结果表-车位'!G1="土地","出让国有建设用地使用权","房地产"))</f>
        <v>北京市房地产</v>
      </c>
      <c r="T2" s="1614"/>
      <c r="U2" s="1614"/>
      <c r="V2" s="1614"/>
      <c r="W2" s="1614"/>
      <c r="X2" s="1614"/>
      <c r="Y2" s="1614"/>
      <c r="Z2" s="1614"/>
      <c r="AA2" s="1614"/>
      <c r="AB2" s="1614"/>
    </row>
    <row r="3" spans="1:30">
      <c r="A3" s="294" t="s">
        <v>2161</v>
      </c>
      <c r="B3" s="2180">
        <v>45943</v>
      </c>
      <c r="C3" s="2181" t="s">
        <v>2162</v>
      </c>
      <c r="D3" s="2180">
        <v>45943</v>
      </c>
      <c r="E3" s="2437"/>
      <c r="F3" s="2437"/>
      <c r="G3" s="2437"/>
      <c r="H3" s="2437"/>
      <c r="I3" s="2437"/>
      <c r="J3" s="2240"/>
      <c r="K3" s="2178"/>
      <c r="L3" s="2179"/>
      <c r="M3" s="2179"/>
      <c r="N3" s="2177"/>
      <c r="O3" s="1462"/>
      <c r="P3" s="2177"/>
      <c r="Q3" s="2177"/>
      <c r="R3" s="2177"/>
      <c r="S3" s="1557"/>
      <c r="T3" s="1614"/>
      <c r="U3" s="1614"/>
      <c r="V3" s="1614"/>
      <c r="W3" s="1614"/>
      <c r="X3" s="1614"/>
      <c r="Y3" s="1614"/>
      <c r="Z3" s="1614"/>
      <c r="AA3" s="1614"/>
      <c r="AB3" s="1614"/>
    </row>
    <row r="4" spans="1:30" ht="13.5" thickBot="1">
      <c r="A4" s="1023" t="s">
        <v>2163</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2"/>
      <c r="P4" s="2177"/>
      <c r="Q4" s="2177"/>
      <c r="R4" s="2177"/>
      <c r="S4" s="1557"/>
      <c r="T4" s="1614"/>
      <c r="U4" s="1614"/>
      <c r="V4" s="1614"/>
      <c r="W4" s="1614"/>
      <c r="X4" s="1614"/>
      <c r="Y4" s="1614"/>
      <c r="Z4" s="1614"/>
      <c r="AA4" s="1614"/>
      <c r="AB4" s="1614"/>
    </row>
    <row r="5" spans="1:30" ht="13.5" thickTop="1">
      <c r="A5" s="2185" t="s">
        <v>2164</v>
      </c>
      <c r="B5" s="2186"/>
      <c r="C5" s="2187"/>
      <c r="D5" s="2188"/>
      <c r="E5" s="2437"/>
      <c r="F5" s="2437"/>
      <c r="G5" s="2437"/>
      <c r="H5" s="2437"/>
      <c r="I5" s="2437"/>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2165</v>
      </c>
      <c r="B6" s="2190"/>
      <c r="C6" s="2191"/>
      <c r="D6" s="2192"/>
      <c r="E6" s="2436"/>
      <c r="F6" s="2437"/>
      <c r="G6" s="2437"/>
      <c r="H6" s="2437"/>
      <c r="I6" s="2437"/>
      <c r="J6" s="2240"/>
      <c r="K6" s="2396" t="str">
        <f>IF(COUNTIF(B6,"*上海银行*"),"上海银行","")</f>
        <v/>
      </c>
      <c r="L6" s="2394"/>
      <c r="M6" s="2394"/>
      <c r="N6" s="2240"/>
      <c r="O6" s="1665"/>
      <c r="P6" s="2240"/>
      <c r="Q6" s="2240"/>
      <c r="R6" s="2240"/>
    </row>
    <row r="7" spans="1:30">
      <c r="A7" s="2189" t="s">
        <v>2166</v>
      </c>
      <c r="B7" s="2193"/>
      <c r="C7" s="2191"/>
      <c r="D7" s="2192"/>
      <c r="E7" s="2436"/>
      <c r="F7" s="2437"/>
      <c r="G7" s="2437"/>
      <c r="H7" s="2437"/>
      <c r="I7" s="2437"/>
      <c r="J7" s="2240"/>
      <c r="K7" s="2397"/>
      <c r="L7" s="2394"/>
      <c r="M7" s="2394"/>
      <c r="N7" s="2240"/>
      <c r="O7" s="1665"/>
      <c r="P7" s="2240"/>
      <c r="Q7" s="2240"/>
      <c r="R7" s="2240"/>
    </row>
    <row r="8" spans="1:30">
      <c r="A8" s="2194" t="s">
        <v>2167</v>
      </c>
      <c r="B8" s="2195" t="s">
        <v>3529</v>
      </c>
      <c r="C8" s="2196"/>
      <c r="D8" s="3224" t="s">
        <v>2168</v>
      </c>
      <c r="E8" s="2197" t="s">
        <v>3530</v>
      </c>
      <c r="F8" s="2198"/>
      <c r="G8" s="2437"/>
      <c r="H8" s="2437"/>
      <c r="I8" s="2437"/>
      <c r="J8" s="2240"/>
      <c r="K8" s="2395"/>
      <c r="L8" s="2394"/>
      <c r="M8" s="2394"/>
      <c r="N8" s="2240"/>
      <c r="O8" s="1665"/>
      <c r="P8" s="2240"/>
      <c r="Q8" s="2240"/>
      <c r="R8" s="2240"/>
    </row>
    <row r="9" spans="1:30" ht="13.5" thickBot="1">
      <c r="A9" s="2199" t="s">
        <v>2169</v>
      </c>
      <c r="B9" s="2200" t="s">
        <v>3531</v>
      </c>
      <c r="C9" s="2201"/>
      <c r="D9" s="3225"/>
      <c r="E9" s="2200" t="s">
        <v>43</v>
      </c>
      <c r="F9" s="2202"/>
      <c r="G9" s="2438"/>
      <c r="H9" s="2438"/>
      <c r="I9" s="2438"/>
      <c r="J9" s="2240"/>
      <c r="K9" s="2397"/>
      <c r="L9" s="2394"/>
      <c r="M9" s="2394"/>
      <c r="N9" s="2240"/>
      <c r="O9" s="1665"/>
      <c r="P9" s="2240"/>
      <c r="Q9" s="2240"/>
      <c r="R9" s="2240"/>
    </row>
    <row r="10" spans="1:30" ht="13.5" thickTop="1">
      <c r="A10" s="2203" t="s">
        <v>2170</v>
      </c>
      <c r="B10" s="2204" t="s">
        <v>3527</v>
      </c>
      <c r="C10" s="2205"/>
      <c r="D10" s="2188"/>
      <c r="E10" s="2206" t="s">
        <v>2171</v>
      </c>
      <c r="F10" s="2439"/>
      <c r="G10" s="2440"/>
      <c r="H10" s="2441"/>
      <c r="I10" s="2442"/>
      <c r="J10" s="2240"/>
      <c r="K10" s="2397"/>
      <c r="L10" s="2394"/>
      <c r="M10" s="2394"/>
      <c r="N10" s="2240"/>
      <c r="O10" s="1665"/>
      <c r="P10" s="2240"/>
      <c r="Q10" s="2240"/>
      <c r="R10" s="2240"/>
    </row>
    <row r="11" spans="1:30">
      <c r="A11" s="2207" t="s">
        <v>2172</v>
      </c>
      <c r="B11" s="2208" t="s">
        <v>3528</v>
      </c>
      <c r="C11" s="2209"/>
      <c r="D11" s="2210"/>
      <c r="E11" s="2177"/>
      <c r="F11" s="2177"/>
      <c r="G11" s="2177"/>
      <c r="H11" s="2177"/>
      <c r="I11" s="2177"/>
      <c r="J11" s="2797"/>
      <c r="K11" s="2394"/>
      <c r="L11" s="2394"/>
      <c r="M11" s="2394"/>
      <c r="N11" s="2240"/>
      <c r="O11" s="1665"/>
      <c r="P11" s="2240"/>
      <c r="Q11" s="2240"/>
      <c r="R11" s="2240"/>
    </row>
    <row r="12" spans="1:30">
      <c r="A12" s="2211" t="s">
        <v>2173</v>
      </c>
      <c r="B12" s="315" t="s">
        <v>2174</v>
      </c>
      <c r="C12" s="2212" t="s">
        <v>2175</v>
      </c>
      <c r="D12" s="2212" t="s">
        <v>2176</v>
      </c>
      <c r="E12" s="2212" t="s">
        <v>2177</v>
      </c>
      <c r="F12" s="2212" t="s">
        <v>2178</v>
      </c>
      <c r="G12" s="2212" t="s">
        <v>2179</v>
      </c>
      <c r="H12" s="2212" t="s">
        <v>2180</v>
      </c>
      <c r="I12" s="2796" t="s">
        <v>2558</v>
      </c>
      <c r="J12" s="2798"/>
      <c r="K12" s="2394"/>
      <c r="L12" s="2394"/>
      <c r="M12" s="2240"/>
      <c r="N12" s="1665"/>
      <c r="O12" s="2240"/>
      <c r="P12" s="2240"/>
      <c r="Q12" s="2240"/>
      <c r="AD12" s="1614"/>
    </row>
    <row r="13" spans="1:30">
      <c r="A13" s="3117" t="s">
        <v>3312</v>
      </c>
      <c r="B13" s="2213" t="s">
        <v>2181</v>
      </c>
      <c r="C13" s="800"/>
      <c r="D13" s="800"/>
      <c r="E13" s="800">
        <v>56491</v>
      </c>
      <c r="F13" s="800">
        <v>56491</v>
      </c>
      <c r="G13" s="800"/>
      <c r="H13" s="800"/>
      <c r="I13" s="800"/>
      <c r="J13" s="2798"/>
      <c r="K13" s="2394"/>
      <c r="L13" s="2394"/>
      <c r="M13" s="2240"/>
      <c r="N13" s="1665"/>
      <c r="O13" s="2240"/>
      <c r="P13" s="2240"/>
      <c r="Q13" s="2240"/>
      <c r="AD13" s="1614"/>
    </row>
    <row r="14" spans="1:30">
      <c r="A14" s="1014"/>
      <c r="B14" s="2213" t="s">
        <v>2182</v>
      </c>
      <c r="C14" s="2214"/>
      <c r="D14" s="2214"/>
      <c r="E14" s="2214">
        <v>50</v>
      </c>
      <c r="F14" s="2214">
        <v>50</v>
      </c>
      <c r="G14" s="2214"/>
      <c r="H14" s="2214"/>
      <c r="I14" s="2214"/>
      <c r="J14" s="2799"/>
      <c r="K14" s="2394"/>
      <c r="L14" s="2394"/>
      <c r="M14" s="2240"/>
      <c r="N14" s="1665"/>
      <c r="O14" s="2240"/>
      <c r="P14" s="2240"/>
      <c r="Q14" s="2240"/>
      <c r="AD14" s="1614"/>
    </row>
    <row r="15" spans="1:30">
      <c r="A15" s="312"/>
      <c r="B15" s="2215" t="s">
        <v>2183</v>
      </c>
      <c r="C15" s="2216" t="str">
        <f>IF(A13="出让",IF(C13="","",ROUNDDOWN(MIN((C13-$D$3)/365,C14),2)),C14)</f>
        <v/>
      </c>
      <c r="D15" s="2216" t="str">
        <f>IF(A13="出让",IF(D13="","",ROUNDDOWN(MIN((D13-$D$3)/365,D14),2)),D14)</f>
        <v/>
      </c>
      <c r="E15" s="2216">
        <f>IF(A13="出让",IF(E13="","",ROUNDDOWN(MIN((E13-$D$3)/365,E14),2)),E14)</f>
        <v>28.89</v>
      </c>
      <c r="F15" s="2216">
        <f>IF(A13="出让",IF(F13="","",ROUNDDOWN(MIN((F13-$D$3)/365,F14),2)),F14)</f>
        <v>28.89</v>
      </c>
      <c r="G15" s="2216" t="str">
        <f>IF(A13="出让",IF(G13="","",ROUNDDOWN(MIN((G13-$D$3)/365,G14),2)),G14)</f>
        <v/>
      </c>
      <c r="H15" s="2216" t="str">
        <f>IF(A13="出让",IF(H13="","",ROUNDDOWN(MIN((H13-$D$3)/365,H14),2)),H14)</f>
        <v/>
      </c>
      <c r="I15" s="2216" t="str">
        <f>IF(A13="出让",IF(I13="","",ROUNDDOWN(MIN((I13-$D$3)/365,I14),2)),I14)</f>
        <v/>
      </c>
      <c r="J15" s="2800"/>
      <c r="K15" s="1665"/>
      <c r="L15" s="1665"/>
      <c r="M15" s="2240"/>
      <c r="N15" s="1665"/>
      <c r="O15" s="2240"/>
      <c r="P15" s="2240"/>
      <c r="Q15" s="2240"/>
      <c r="AD15" s="1614"/>
    </row>
    <row r="16" spans="1:30">
      <c r="A16" s="2206" t="s">
        <v>2184</v>
      </c>
      <c r="B16" s="3231"/>
      <c r="C16" s="3232"/>
      <c r="D16" s="3233"/>
      <c r="E16" s="2217" t="s">
        <v>2185</v>
      </c>
      <c r="F16" s="3234"/>
      <c r="G16" s="3235"/>
      <c r="H16" s="3235"/>
      <c r="I16" s="3236"/>
      <c r="J16" s="2240"/>
      <c r="K16" s="2398"/>
      <c r="L16" s="1665"/>
      <c r="M16" s="1665"/>
      <c r="N16" s="2240"/>
      <c r="O16" s="1665"/>
      <c r="P16" s="2240"/>
      <c r="Q16" s="2240"/>
      <c r="R16" s="2240"/>
    </row>
    <row r="17" spans="1:28">
      <c r="A17" s="305" t="s">
        <v>2186</v>
      </c>
      <c r="B17" s="294" t="s">
        <v>2187</v>
      </c>
      <c r="C17" s="8">
        <f>'数据-汇总表'!E3</f>
        <v>2178.63</v>
      </c>
      <c r="D17" s="1252" t="s">
        <v>2188</v>
      </c>
      <c r="E17" s="3237" t="s">
        <v>2189</v>
      </c>
      <c r="F17" s="3238"/>
      <c r="G17" s="3238"/>
      <c r="H17" s="3238"/>
      <c r="I17" s="3239"/>
      <c r="J17" s="2240"/>
      <c r="K17" s="2399"/>
      <c r="L17" s="1665"/>
      <c r="M17" s="1665"/>
      <c r="N17" s="2240"/>
      <c r="O17" s="1665"/>
      <c r="P17" s="2240"/>
      <c r="Q17" s="2240"/>
      <c r="R17" s="2240"/>
      <c r="S17" s="2240"/>
      <c r="T17" s="2240"/>
      <c r="U17" s="2240"/>
      <c r="V17" s="2240"/>
    </row>
    <row r="18" spans="1:28" ht="24.75" thickBot="1">
      <c r="A18" s="2218" t="s">
        <v>2190</v>
      </c>
      <c r="B18" s="1023" t="s">
        <v>2191</v>
      </c>
      <c r="C18" s="2219">
        <f>'数据-汇总表'!D3</f>
        <v>0</v>
      </c>
      <c r="D18" s="1025" t="s">
        <v>2192</v>
      </c>
      <c r="E18" s="3240" t="s">
        <v>2193</v>
      </c>
      <c r="F18" s="3241"/>
      <c r="G18" s="3241"/>
      <c r="H18" s="3241"/>
      <c r="I18" s="3242"/>
      <c r="J18" s="2240"/>
      <c r="K18" s="2399"/>
      <c r="L18" s="1665"/>
      <c r="M18" s="1665"/>
      <c r="N18" s="2240"/>
      <c r="O18" s="1665"/>
      <c r="P18" s="2240"/>
      <c r="Q18" s="2240"/>
      <c r="R18" s="2240"/>
      <c r="S18" s="2240"/>
      <c r="T18" s="2240"/>
      <c r="U18" s="2240"/>
      <c r="V18" s="2240"/>
    </row>
    <row r="19" spans="1:28" ht="37.5" thickTop="1" thickBot="1">
      <c r="A19" s="319" t="s">
        <v>1047</v>
      </c>
      <c r="B19" s="299" t="s">
        <v>2194</v>
      </c>
      <c r="C19" s="1451"/>
      <c r="D19" s="1452" t="s">
        <v>2195</v>
      </c>
      <c r="E19" s="1453"/>
      <c r="F19" s="1454" t="str">
        <f>IF(AND(C19="是",E19="否"),"是否提供他项权证或相关说明","")</f>
        <v/>
      </c>
      <c r="G19" s="1455"/>
      <c r="H19" s="2437"/>
      <c r="I19" s="2437"/>
      <c r="J19" s="2240"/>
      <c r="K19" s="2397"/>
      <c r="L19" s="2394"/>
      <c r="M19" s="2394"/>
      <c r="N19" s="2240"/>
      <c r="O19" s="1665"/>
      <c r="P19" s="2240"/>
      <c r="Q19" s="2240"/>
      <c r="R19" s="2240"/>
      <c r="S19" s="2240"/>
      <c r="T19" s="2240"/>
      <c r="U19" s="2240"/>
      <c r="V19" s="2240"/>
    </row>
    <row r="20" spans="1:28">
      <c r="A20" s="2412" t="s">
        <v>2196</v>
      </c>
      <c r="B20" s="3227" t="s">
        <v>2197</v>
      </c>
      <c r="C20" s="3228"/>
      <c r="D20" s="3229" t="s">
        <v>2198</v>
      </c>
      <c r="E20" s="3230"/>
      <c r="F20" s="2425" t="s">
        <v>1048</v>
      </c>
      <c r="G20" s="2437"/>
      <c r="H20" s="2437"/>
      <c r="I20" s="2437"/>
      <c r="J20" s="2240"/>
      <c r="K20" s="3226" t="s">
        <v>2199</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12"/>
      <c r="B21" s="2413" t="s">
        <v>2200</v>
      </c>
      <c r="C21" s="2291" t="s">
        <v>1049</v>
      </c>
      <c r="D21" s="1456" t="s">
        <v>2201</v>
      </c>
      <c r="E21" s="2414" t="s">
        <v>1049</v>
      </c>
      <c r="F21" s="2426"/>
      <c r="G21" s="2437"/>
      <c r="H21" s="2437"/>
      <c r="I21" s="2437"/>
      <c r="J21" s="2240"/>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12"/>
      <c r="B22" s="2415" t="s">
        <v>2202</v>
      </c>
      <c r="C22" s="2291" t="s">
        <v>1050</v>
      </c>
      <c r="D22" s="2437"/>
      <c r="E22" s="2437"/>
      <c r="F22" s="2437"/>
      <c r="G22" s="2437"/>
      <c r="H22" s="2437"/>
      <c r="I22" s="2437"/>
      <c r="J22" s="2240"/>
      <c r="K22" s="3226"/>
      <c r="L22" s="64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6" t="s">
        <v>2203</v>
      </c>
      <c r="B23" s="2288" t="s">
        <v>2204</v>
      </c>
      <c r="C23" s="2417"/>
      <c r="D23" s="2418" t="s">
        <v>2204</v>
      </c>
      <c r="E23" s="2419"/>
      <c r="F23" s="2437"/>
      <c r="G23" s="2437"/>
      <c r="H23" s="2437"/>
      <c r="I23" s="2437"/>
      <c r="J23" s="2240"/>
      <c r="K23" s="2396"/>
      <c r="L23" s="121"/>
      <c r="M23" s="2394"/>
      <c r="N23" s="2240"/>
      <c r="O23" s="1665"/>
      <c r="P23" s="2240"/>
      <c r="Q23" s="2240"/>
      <c r="R23" s="2240"/>
      <c r="S23" s="2240"/>
      <c r="T23" s="2240"/>
      <c r="U23" s="2240"/>
      <c r="V23" s="2240"/>
    </row>
    <row r="24" spans="1:28">
      <c r="A24" s="2416"/>
      <c r="B24" s="2288" t="s">
        <v>1051</v>
      </c>
      <c r="C24" s="2266"/>
      <c r="D24" s="2416" t="s">
        <v>1051</v>
      </c>
      <c r="E24" s="2420"/>
      <c r="F24" s="2437"/>
      <c r="G24" s="2437"/>
      <c r="H24" s="2437"/>
      <c r="I24" s="2437"/>
      <c r="J24" s="2240"/>
      <c r="K24" s="2396"/>
      <c r="L24" s="121"/>
      <c r="M24" s="2394"/>
      <c r="N24" s="2240"/>
      <c r="O24" s="1665"/>
      <c r="P24" s="2240"/>
      <c r="Q24" s="2240"/>
      <c r="R24" s="2240"/>
      <c r="S24" s="2240"/>
      <c r="T24" s="2240"/>
      <c r="U24" s="2240"/>
      <c r="V24" s="2240"/>
    </row>
    <row r="25" spans="1:28">
      <c r="A25" s="2416"/>
      <c r="B25" s="2288" t="s">
        <v>1052</v>
      </c>
      <c r="C25" s="2266"/>
      <c r="D25" s="2416" t="s">
        <v>1052</v>
      </c>
      <c r="E25" s="2420"/>
      <c r="F25" s="2437"/>
      <c r="G25" s="2437"/>
      <c r="H25" s="2437"/>
      <c r="I25" s="2437"/>
      <c r="J25" s="2240"/>
      <c r="K25" s="2397"/>
      <c r="L25" s="2394"/>
      <c r="M25" s="2394"/>
      <c r="N25" s="2240"/>
      <c r="O25" s="1665"/>
      <c r="P25" s="2240"/>
      <c r="Q25" s="2240"/>
      <c r="R25" s="2240"/>
      <c r="S25" s="2240"/>
      <c r="T25" s="2240"/>
      <c r="U25" s="2240"/>
      <c r="V25" s="2240"/>
    </row>
    <row r="26" spans="1:28" ht="13.5" thickBot="1">
      <c r="A26" s="2421"/>
      <c r="B26" s="2422" t="s">
        <v>1053</v>
      </c>
      <c r="C26" s="2423"/>
      <c r="D26" s="2421" t="s">
        <v>1053</v>
      </c>
      <c r="E26" s="2424"/>
      <c r="F26" s="2438"/>
      <c r="G26" s="2438"/>
      <c r="H26" s="2438"/>
      <c r="I26" s="2438"/>
      <c r="J26" s="2240"/>
      <c r="K26" s="2397"/>
      <c r="L26" s="2394"/>
      <c r="M26" s="2394"/>
      <c r="N26" s="2240"/>
      <c r="O26" s="1665"/>
      <c r="P26" s="2240"/>
      <c r="Q26" s="2240"/>
      <c r="R26" s="2240"/>
      <c r="S26" s="2240"/>
      <c r="T26" s="2240"/>
      <c r="U26" s="2240"/>
      <c r="V26" s="2240"/>
    </row>
    <row r="27" spans="1:28" ht="13.5" thickTop="1">
      <c r="A27" s="3244" t="s">
        <v>2205</v>
      </c>
      <c r="B27" s="312" t="s">
        <v>2206</v>
      </c>
      <c r="C27" s="2220"/>
      <c r="D27" s="2221"/>
      <c r="E27" s="2437"/>
      <c r="F27" s="2437"/>
      <c r="G27" s="2437"/>
      <c r="H27" s="2437"/>
      <c r="I27" s="2437"/>
      <c r="J27" s="2240"/>
      <c r="K27" s="2398"/>
      <c r="L27" s="1665"/>
      <c r="M27" s="1665"/>
      <c r="N27" s="2240"/>
      <c r="O27" s="1665"/>
      <c r="P27" s="2240"/>
      <c r="Q27" s="2240"/>
      <c r="R27" s="2240"/>
      <c r="S27" s="2240"/>
      <c r="T27" s="2240"/>
      <c r="U27" s="2240"/>
      <c r="V27" s="2240"/>
    </row>
    <row r="28" spans="1:28">
      <c r="A28" s="3244"/>
      <c r="B28" s="294" t="s">
        <v>2207</v>
      </c>
      <c r="C28" s="2222"/>
      <c r="D28" s="2223"/>
      <c r="E28" s="2437"/>
      <c r="F28" s="2437"/>
      <c r="G28" s="2437"/>
      <c r="H28" s="2437"/>
      <c r="I28" s="2437"/>
      <c r="J28" s="2240"/>
      <c r="K28" s="2397"/>
      <c r="L28" s="2394"/>
      <c r="M28" s="2394"/>
      <c r="N28" s="2240"/>
      <c r="O28" s="1665"/>
      <c r="P28" s="2240"/>
      <c r="Q28" s="2240"/>
      <c r="R28" s="2240"/>
      <c r="S28" s="2240"/>
      <c r="T28" s="2240"/>
      <c r="U28" s="2240"/>
      <c r="V28" s="2240"/>
    </row>
    <row r="29" spans="1:28">
      <c r="A29" s="3244"/>
      <c r="B29" s="294" t="s">
        <v>2208</v>
      </c>
      <c r="C29" s="2224"/>
      <c r="D29" s="2225"/>
      <c r="E29" s="2437"/>
      <c r="F29" s="2437"/>
      <c r="G29" s="2437"/>
      <c r="H29" s="2437"/>
      <c r="I29" s="2437"/>
      <c r="J29" s="2240"/>
      <c r="K29" s="2397"/>
      <c r="L29" s="2394"/>
      <c r="M29" s="2394"/>
      <c r="N29" s="2240"/>
      <c r="O29" s="1665"/>
      <c r="P29" s="2240"/>
      <c r="Q29" s="2240"/>
      <c r="R29" s="2240"/>
      <c r="S29" s="2240"/>
      <c r="T29" s="2240"/>
      <c r="U29" s="2240"/>
      <c r="V29" s="2240"/>
    </row>
    <row r="30" spans="1:28">
      <c r="A30" s="3245"/>
      <c r="B30" s="294" t="s">
        <v>2209</v>
      </c>
      <c r="C30" s="3246"/>
      <c r="D30" s="3247"/>
      <c r="E30" s="2437"/>
      <c r="F30" s="2437"/>
      <c r="G30" s="2437"/>
      <c r="H30" s="2437"/>
      <c r="I30" s="2437"/>
      <c r="J30" s="2240"/>
      <c r="K30" s="2397"/>
      <c r="L30" s="2394"/>
      <c r="M30" s="2394"/>
      <c r="N30" s="2240"/>
      <c r="O30" s="1665"/>
      <c r="P30" s="2240"/>
      <c r="Q30" s="2240"/>
      <c r="R30" s="2240"/>
      <c r="S30" s="2240"/>
      <c r="T30" s="2240"/>
      <c r="U30" s="2240"/>
      <c r="V30" s="2240"/>
    </row>
    <row r="31" spans="1:28">
      <c r="A31" s="3248" t="s">
        <v>2210</v>
      </c>
      <c r="B31" s="2226"/>
      <c r="C31" s="12" t="str">
        <f>IF(B31="现房","成新及维护状况正常否",IF(B31="在建","工程状态是否正常",IF(B31="土地","是否闲置","-")))</f>
        <v>-</v>
      </c>
      <c r="D31" s="1277"/>
      <c r="E31" s="2227"/>
      <c r="F31" s="2437"/>
      <c r="G31" s="2437"/>
      <c r="H31" s="2437"/>
      <c r="I31" s="2437"/>
      <c r="J31" s="2240"/>
      <c r="K31" s="2396"/>
      <c r="L31" s="2394"/>
      <c r="M31" s="2394"/>
      <c r="N31" s="2240"/>
      <c r="O31" s="1665"/>
      <c r="P31" s="2240"/>
      <c r="Q31" s="2240"/>
      <c r="R31" s="2240"/>
      <c r="S31" s="2240"/>
      <c r="T31" s="2240"/>
      <c r="U31" s="2240"/>
      <c r="V31" s="2240"/>
    </row>
    <row r="32" spans="1:28">
      <c r="A32" s="3249"/>
      <c r="B32" s="2226"/>
      <c r="C32" s="12" t="str">
        <f>IF(B32="现房","成新及维护状况是否正常",IF(B32="在建","工程状态是否正常",IF(B32="土地","是否闲置","-")))</f>
        <v>-</v>
      </c>
      <c r="D32" s="1277"/>
      <c r="E32" s="2227"/>
      <c r="F32" s="2437"/>
      <c r="G32" s="2437"/>
      <c r="H32" s="2437"/>
      <c r="I32" s="2437"/>
      <c r="J32" s="2240"/>
      <c r="K32" s="2397"/>
      <c r="L32" s="2394"/>
      <c r="M32" s="2394"/>
      <c r="N32" s="2240"/>
      <c r="O32" s="1665"/>
      <c r="P32" s="2240"/>
      <c r="Q32" s="2240"/>
      <c r="R32" s="2240"/>
      <c r="S32" s="2240"/>
      <c r="T32" s="2240"/>
      <c r="U32" s="2240"/>
      <c r="V32" s="2240"/>
    </row>
    <row r="33" spans="1:30">
      <c r="A33" s="3249"/>
      <c r="B33" s="2229"/>
      <c r="C33" s="1474" t="str">
        <f>IF(B33="现房","成新及维护状况是否正常",IF(B33="在建","工程状态是否正常",IF(B33="土地","是否闲置","-")))</f>
        <v>-</v>
      </c>
      <c r="D33" s="1270"/>
      <c r="E33" s="2230"/>
      <c r="F33" s="2437"/>
      <c r="G33" s="2437"/>
      <c r="H33" s="2437"/>
      <c r="I33" s="2437"/>
      <c r="J33" s="2240"/>
      <c r="K33" s="2397"/>
      <c r="L33" s="2394"/>
      <c r="M33" s="2394"/>
      <c r="N33" s="2240"/>
      <c r="O33" s="1665"/>
      <c r="P33" s="2240"/>
      <c r="Q33" s="2240"/>
      <c r="R33" s="2240"/>
      <c r="S33" s="2240"/>
      <c r="T33" s="2240"/>
      <c r="U33" s="2240"/>
      <c r="V33" s="2240"/>
    </row>
    <row r="34" spans="1:30">
      <c r="A34" s="294" t="s">
        <v>2211</v>
      </c>
      <c r="B34" s="1865"/>
      <c r="C34" s="1865"/>
      <c r="D34" s="1865"/>
      <c r="E34" s="1865"/>
      <c r="F34" s="1865"/>
      <c r="G34" s="1865"/>
      <c r="H34" s="1865"/>
      <c r="I34" s="2437"/>
      <c r="J34" s="2240"/>
      <c r="K34" s="8">
        <f>COUNTIF(B34:H34,"——")</f>
        <v>0</v>
      </c>
      <c r="L34" s="315" t="s">
        <v>2212</v>
      </c>
      <c r="M34" s="315" t="s">
        <v>2213</v>
      </c>
      <c r="N34" s="315" t="s">
        <v>2214</v>
      </c>
      <c r="O34" s="315" t="s">
        <v>2215</v>
      </c>
      <c r="P34" s="315" t="s">
        <v>2216</v>
      </c>
      <c r="Q34" s="315" t="s">
        <v>2217</v>
      </c>
      <c r="R34" s="315" t="s">
        <v>2218</v>
      </c>
      <c r="S34" s="3243" t="s">
        <v>2219</v>
      </c>
      <c r="T34" s="315" t="str">
        <f>NUMBERSTRING(7-K34,1)&amp;"通"</f>
        <v>七通</v>
      </c>
      <c r="U34" s="2240"/>
      <c r="V34" s="2240"/>
    </row>
    <row r="35" spans="1:30">
      <c r="A35" s="2231"/>
      <c r="B35" s="3243" t="s">
        <v>2220</v>
      </c>
      <c r="C35" s="3243"/>
      <c r="D35" s="3243"/>
      <c r="E35" s="3243"/>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0"/>
      <c r="V35" s="2240"/>
    </row>
    <row r="36" spans="1:30">
      <c r="A36" s="2178"/>
      <c r="B36" s="8" t="s">
        <v>2176</v>
      </c>
      <c r="C36" s="8" t="s">
        <v>2177</v>
      </c>
      <c r="D36" s="8" t="s">
        <v>2175</v>
      </c>
      <c r="E36" s="8" t="s">
        <v>2180</v>
      </c>
      <c r="F36" s="2796" t="s">
        <v>2561</v>
      </c>
      <c r="G36" s="2437"/>
      <c r="H36" s="2437"/>
      <c r="I36" s="2437"/>
      <c r="J36" s="2240"/>
      <c r="K36" s="2397"/>
      <c r="L36" s="2394"/>
      <c r="M36" s="2394"/>
      <c r="N36" s="2240"/>
      <c r="O36" s="1665"/>
      <c r="P36" s="2240"/>
      <c r="Q36" s="2240"/>
      <c r="R36" s="2240"/>
      <c r="S36" s="2240"/>
      <c r="T36" s="2240"/>
      <c r="U36" s="2240"/>
      <c r="V36" s="2240"/>
    </row>
    <row r="37" spans="1:30">
      <c r="A37" s="2410" t="s">
        <v>2221</v>
      </c>
      <c r="B37" s="2232"/>
      <c r="C37" s="2232" t="s">
        <v>184</v>
      </c>
      <c r="D37" s="2232"/>
      <c r="E37" s="2232"/>
      <c r="F37" s="2232"/>
      <c r="G37" s="2437"/>
      <c r="H37" s="2437"/>
      <c r="I37" s="2437"/>
      <c r="J37" s="2240"/>
      <c r="K37" s="2397"/>
      <c r="L37" s="2394"/>
      <c r="M37" s="2394"/>
      <c r="N37" s="2240"/>
      <c r="O37" s="1665"/>
      <c r="P37" s="2240"/>
      <c r="Q37" s="2240"/>
      <c r="R37" s="2240"/>
      <c r="S37" s="2240"/>
      <c r="T37" s="2240"/>
      <c r="U37" s="2240"/>
      <c r="V37" s="2240"/>
    </row>
    <row r="38" spans="1:30" ht="13.5" thickBot="1">
      <c r="A38" s="2411" t="s">
        <v>2222</v>
      </c>
      <c r="B38" s="2233"/>
      <c r="C38" s="2233" t="s">
        <v>162</v>
      </c>
      <c r="D38" s="2233"/>
      <c r="E38" s="2233"/>
      <c r="F38" s="2233"/>
      <c r="G38" s="2438"/>
      <c r="H38" s="2438"/>
      <c r="I38" s="2438"/>
      <c r="J38" s="2240"/>
      <c r="K38" s="2397"/>
      <c r="L38" s="2394"/>
      <c r="M38" s="2394"/>
      <c r="N38" s="2240"/>
      <c r="O38" s="1665"/>
      <c r="P38" s="2240"/>
      <c r="Q38" s="2240"/>
      <c r="R38" s="2240"/>
      <c r="S38" s="2240"/>
      <c r="T38" s="2240"/>
      <c r="U38" s="2240"/>
      <c r="V38" s="2240"/>
    </row>
    <row r="39" spans="1:30" s="2236" customFormat="1" ht="14.25" thickTop="1" thickBot="1">
      <c r="A39" s="2234" t="s">
        <v>2223</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2"/>
      <c r="J40" s="2240"/>
      <c r="K40" s="2396"/>
      <c r="L40" s="1665"/>
      <c r="M40" s="1665"/>
      <c r="N40" s="2240"/>
      <c r="O40" s="1665"/>
      <c r="P40" s="2240"/>
      <c r="Q40" s="2240"/>
      <c r="R40" s="2240"/>
      <c r="S40" s="2240"/>
      <c r="T40" s="2240"/>
      <c r="U40" s="2240"/>
      <c r="V40" s="2240"/>
    </row>
    <row r="41" spans="1:30">
      <c r="A41" s="2237" t="s">
        <v>2224</v>
      </c>
      <c r="B41" s="1622"/>
      <c r="C41" s="1277"/>
      <c r="D41" s="2177"/>
      <c r="E41" s="2177"/>
      <c r="F41" s="2177"/>
      <c r="G41" s="2177"/>
      <c r="H41" s="2177"/>
      <c r="I41" s="1462"/>
      <c r="J41" s="2240"/>
      <c r="K41" s="2397"/>
      <c r="L41" s="2394"/>
      <c r="M41" s="2394"/>
      <c r="N41" s="2240"/>
      <c r="O41" s="1665"/>
      <c r="P41" s="2240"/>
      <c r="Q41" s="2240"/>
      <c r="R41" s="2240"/>
      <c r="S41" s="2240"/>
      <c r="T41" s="2240"/>
      <c r="U41" s="2240"/>
      <c r="V41" s="2240"/>
    </row>
    <row r="42" spans="1:30" ht="25.5">
      <c r="A42" s="315" t="s">
        <v>2225</v>
      </c>
      <c r="B42" s="8" t="s">
        <v>2226</v>
      </c>
      <c r="C42" s="8" t="s">
        <v>2227</v>
      </c>
      <c r="D42" s="8" t="s">
        <v>2228</v>
      </c>
      <c r="E42" s="8" t="s">
        <v>2229</v>
      </c>
      <c r="F42" s="8" t="s">
        <v>2230</v>
      </c>
      <c r="G42" s="8" t="s">
        <v>2231</v>
      </c>
      <c r="H42" s="8" t="s">
        <v>2232</v>
      </c>
      <c r="I42" s="8" t="s">
        <v>2233</v>
      </c>
      <c r="J42" s="2406" t="s">
        <v>2234</v>
      </c>
      <c r="K42" s="2407" t="s">
        <v>2235</v>
      </c>
      <c r="L42" s="2407" t="s">
        <v>2236</v>
      </c>
      <c r="M42" s="2407" t="s">
        <v>2237</v>
      </c>
      <c r="N42" s="2400" t="s">
        <v>2238</v>
      </c>
      <c r="O42" s="2400" t="s">
        <v>2239</v>
      </c>
      <c r="P42" s="2400" t="s">
        <v>2240</v>
      </c>
      <c r="Q42" s="2401" t="s">
        <v>2241</v>
      </c>
      <c r="R42" s="2401" t="s">
        <v>2242</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1054</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1055</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1056</v>
      </c>
      <c r="B2" s="8" t="s">
        <v>1057</v>
      </c>
      <c r="C2" s="8" t="s">
        <v>1058</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1059</v>
      </c>
      <c r="AZ2" s="983" t="s">
        <v>1060</v>
      </c>
      <c r="BA2" s="8" t="s">
        <v>1061</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2178.63</v>
      </c>
      <c r="C3" s="1465" t="s">
        <v>1062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1063</v>
      </c>
      <c r="B5" s="1255"/>
      <c r="C5" s="1255"/>
      <c r="D5" s="1256"/>
      <c r="E5" s="13" t="s">
        <v>0</v>
      </c>
      <c r="F5" s="13">
        <f>SUM(F13:F587)</f>
        <v>0</v>
      </c>
      <c r="G5" s="13">
        <f>SUM(G13:G587)</f>
        <v>2178.63</v>
      </c>
      <c r="H5" s="13">
        <f t="shared" ref="H5:AT5" si="0">SUM(H13:H656)</f>
        <v>2178.63</v>
      </c>
      <c r="I5" s="13">
        <f t="shared" si="0"/>
        <v>1965.41</v>
      </c>
      <c r="J5" s="13">
        <f t="shared" si="0"/>
        <v>0</v>
      </c>
      <c r="K5" s="13">
        <f t="shared" si="0"/>
        <v>213.22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1063</v>
      </c>
      <c r="AW5" s="1255"/>
      <c r="AX5" s="1255"/>
      <c r="AY5" s="14" t="s">
        <v>2</v>
      </c>
      <c r="AZ5" s="15">
        <f t="shared" ref="AZ5:BT5" si="1">SUM(AZ13:AZ656)</f>
        <v>2178.63</v>
      </c>
      <c r="BA5" s="15">
        <f t="shared" si="1"/>
        <v>2178.63</v>
      </c>
      <c r="BB5" s="15">
        <f t="shared" si="1"/>
        <v>1965.41</v>
      </c>
      <c r="BC5" s="15">
        <f t="shared" si="1"/>
        <v>213.22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1064</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1064</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1065</v>
      </c>
      <c r="B7" s="1457" t="s">
        <v>1066</v>
      </c>
      <c r="C7" s="1457" t="s">
        <v>1067</v>
      </c>
      <c r="D7" s="1457" t="s">
        <v>1068</v>
      </c>
      <c r="E7" s="1457" t="s">
        <v>1069</v>
      </c>
      <c r="F7" s="1457" t="s">
        <v>1070</v>
      </c>
      <c r="G7" s="1474" t="s">
        <v>1071</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1072</v>
      </c>
      <c r="AV7" s="20" t="s">
        <v>1073</v>
      </c>
      <c r="AW7" s="1462" t="s">
        <v>1074</v>
      </c>
      <c r="AX7" s="20" t="s">
        <v>1067</v>
      </c>
      <c r="AY7" s="1255" t="s">
        <v>1075</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1076</v>
      </c>
      <c r="H8" s="1480" t="s">
        <v>1077</v>
      </c>
      <c r="I8" s="1481"/>
      <c r="J8" s="1265"/>
      <c r="K8" s="1265"/>
      <c r="L8" s="1265"/>
      <c r="M8" s="1265"/>
      <c r="N8" s="1265"/>
      <c r="O8" s="1265"/>
      <c r="P8" s="1265"/>
      <c r="Q8" s="1265"/>
      <c r="R8" s="1265"/>
      <c r="S8" s="1265"/>
      <c r="T8" s="1265"/>
      <c r="U8" s="1265"/>
      <c r="V8" s="1482"/>
      <c r="W8" s="1265"/>
      <c r="X8" s="1265"/>
      <c r="Y8" s="1265"/>
      <c r="Z8" s="1265"/>
      <c r="AA8" s="1482"/>
      <c r="AB8" s="1483"/>
      <c r="AC8" s="758" t="s">
        <v>1078</v>
      </c>
      <c r="AD8" s="1484"/>
      <c r="AE8" s="1476"/>
      <c r="AF8" s="1265"/>
      <c r="AG8" s="1265"/>
      <c r="AH8" s="1265"/>
      <c r="AI8" s="1265"/>
      <c r="AJ8" s="1265"/>
      <c r="AK8" s="1265"/>
      <c r="AL8" s="1265"/>
      <c r="AM8" s="1265"/>
      <c r="AN8" s="1265"/>
      <c r="AO8" s="1265"/>
      <c r="AP8" s="1265"/>
      <c r="AQ8" s="1265"/>
      <c r="AR8" s="1265"/>
      <c r="AS8" s="1265"/>
      <c r="AT8" s="1003" t="s">
        <v>1079</v>
      </c>
      <c r="AU8" s="1478" t="s">
        <v>1080</v>
      </c>
      <c r="AV8" s="1003"/>
      <c r="AW8" s="1463"/>
      <c r="AX8" s="1003"/>
      <c r="AY8" s="1462" t="s">
        <v>1081</v>
      </c>
      <c r="AZ8" s="1264" t="s">
        <v>1082</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1083</v>
      </c>
      <c r="I9" s="1487" t="s">
        <v>3425</v>
      </c>
      <c r="J9" s="758"/>
      <c r="K9" s="1487" t="s">
        <v>3448</v>
      </c>
      <c r="L9" s="758"/>
      <c r="M9" s="1487"/>
      <c r="N9" s="758"/>
      <c r="O9" s="1487"/>
      <c r="P9" s="758"/>
      <c r="Q9" s="1487"/>
      <c r="R9" s="758"/>
      <c r="S9" s="1487"/>
      <c r="T9" s="758"/>
      <c r="U9" s="1487"/>
      <c r="V9" s="758"/>
      <c r="W9" s="1487"/>
      <c r="X9" s="1488"/>
      <c r="Y9" s="1487"/>
      <c r="Z9" s="758"/>
      <c r="AA9" s="1487"/>
      <c r="AB9" s="758"/>
      <c r="AC9" s="1479" t="s">
        <v>1083</v>
      </c>
      <c r="AD9" s="12" t="s">
        <v>1084</v>
      </c>
      <c r="AE9" s="1009"/>
      <c r="AF9" s="12" t="s">
        <v>1085</v>
      </c>
      <c r="AG9" s="1009"/>
      <c r="AH9" s="12" t="s">
        <v>1084</v>
      </c>
      <c r="AI9" s="1009"/>
      <c r="AJ9" s="12" t="s">
        <v>1085</v>
      </c>
      <c r="AK9" s="1009"/>
      <c r="AL9" s="12" t="s">
        <v>1084</v>
      </c>
      <c r="AM9" s="1009"/>
      <c r="AN9" s="12" t="s">
        <v>1085</v>
      </c>
      <c r="AO9" s="1009"/>
      <c r="AP9" s="12" t="s">
        <v>1084</v>
      </c>
      <c r="AQ9" s="1009"/>
      <c r="AR9" s="12" t="s">
        <v>1085</v>
      </c>
      <c r="AS9" s="1489"/>
      <c r="AT9" s="1478"/>
      <c r="AU9" s="1478" t="s">
        <v>1086</v>
      </c>
      <c r="AV9" s="1003"/>
      <c r="AW9" s="1463"/>
      <c r="AX9" s="1003"/>
      <c r="AY9" s="25"/>
      <c r="AZ9" s="25" t="s">
        <v>1076</v>
      </c>
      <c r="BA9" s="1490" t="s">
        <v>1087</v>
      </c>
      <c r="BB9" s="1491"/>
      <c r="BC9" s="1021"/>
      <c r="BD9" s="1021"/>
      <c r="BE9" s="1021"/>
      <c r="BF9" s="1021"/>
      <c r="BG9" s="1021"/>
      <c r="BH9" s="1021"/>
      <c r="BI9" s="1021"/>
      <c r="BJ9" s="1021"/>
      <c r="BK9" s="1492"/>
      <c r="BL9" s="12" t="s">
        <v>1088</v>
      </c>
      <c r="BM9" s="1265"/>
      <c r="BN9" s="1481"/>
      <c r="BO9" s="1265"/>
      <c r="BP9" s="1265"/>
      <c r="BQ9" s="1265"/>
      <c r="BR9" s="1265"/>
      <c r="BS9" s="1265"/>
      <c r="BT9" s="23"/>
    </row>
    <row r="10" spans="1:72" s="1485" customFormat="1" ht="12.75">
      <c r="A10" s="1478"/>
      <c r="B10" s="1478"/>
      <c r="C10" s="1478"/>
      <c r="D10" s="1478"/>
      <c r="E10" s="1478"/>
      <c r="F10" s="1478"/>
      <c r="G10" s="1003"/>
      <c r="H10" s="25"/>
      <c r="I10" s="1487" t="s">
        <v>21</v>
      </c>
      <c r="J10" s="758"/>
      <c r="K10" s="1493" t="s">
        <v>3313</v>
      </c>
      <c r="L10" s="758"/>
      <c r="M10" s="1493"/>
      <c r="N10" s="758"/>
      <c r="O10" s="1493"/>
      <c r="P10" s="758"/>
      <c r="Q10" s="1493"/>
      <c r="R10" s="758"/>
      <c r="S10" s="1493"/>
      <c r="T10" s="758"/>
      <c r="U10" s="1493"/>
      <c r="V10" s="758"/>
      <c r="W10" s="1493"/>
      <c r="X10" s="758"/>
      <c r="Y10" s="1493"/>
      <c r="Z10" s="758"/>
      <c r="AA10" s="1493"/>
      <c r="AB10" s="758"/>
      <c r="AC10" s="1003"/>
      <c r="AD10" s="12" t="s">
        <v>1089</v>
      </c>
      <c r="AE10" s="1494"/>
      <c r="AF10" s="12" t="s">
        <v>1089</v>
      </c>
      <c r="AG10" s="1494"/>
      <c r="AH10" s="12" t="s">
        <v>1090</v>
      </c>
      <c r="AI10" s="1494"/>
      <c r="AJ10" s="12" t="s">
        <v>1090</v>
      </c>
      <c r="AK10" s="1494"/>
      <c r="AL10" s="12" t="s">
        <v>1091</v>
      </c>
      <c r="AM10" s="1009"/>
      <c r="AN10" s="12" t="s">
        <v>1091</v>
      </c>
      <c r="AO10" s="1009"/>
      <c r="AP10" s="12" t="s">
        <v>1092</v>
      </c>
      <c r="AQ10" s="1009"/>
      <c r="AR10" s="12" t="s">
        <v>1092</v>
      </c>
      <c r="AS10" s="1009"/>
      <c r="AT10" s="1478"/>
      <c r="AU10" s="1478"/>
      <c r="AV10" s="1003"/>
      <c r="AW10" s="1463"/>
      <c r="AX10" s="1003"/>
      <c r="AY10" s="25"/>
      <c r="AZ10" s="25"/>
      <c r="BA10" s="1495" t="s">
        <v>1083</v>
      </c>
      <c r="BB10" s="1496" t="str">
        <f>I9</f>
        <v>地上</v>
      </c>
      <c r="BC10" s="26" t="str">
        <f>K9</f>
        <v>地下</v>
      </c>
      <c r="BD10" s="26">
        <f>M9</f>
        <v>0</v>
      </c>
      <c r="BE10" s="26">
        <f>O9</f>
        <v>0</v>
      </c>
      <c r="BF10" s="26">
        <f>Q9</f>
        <v>0</v>
      </c>
      <c r="BG10" s="26">
        <f>S9</f>
        <v>0</v>
      </c>
      <c r="BH10" s="26">
        <f>U9</f>
        <v>0</v>
      </c>
      <c r="BI10" s="26">
        <f>W9</f>
        <v>0</v>
      </c>
      <c r="BJ10" s="26">
        <f>Y9</f>
        <v>0</v>
      </c>
      <c r="BK10" s="26">
        <f>AA9</f>
        <v>0</v>
      </c>
      <c r="BL10" s="22" t="s">
        <v>1083</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1093</v>
      </c>
      <c r="AE11" s="1266"/>
      <c r="AF11" s="1500" t="s">
        <v>1093</v>
      </c>
      <c r="AG11" s="1266"/>
      <c r="AH11" s="1500" t="s">
        <v>1094</v>
      </c>
      <c r="AI11" s="1501"/>
      <c r="AJ11" s="1500" t="s">
        <v>1094</v>
      </c>
      <c r="AK11" s="1266"/>
      <c r="AL11" s="1264"/>
      <c r="AM11" s="1266"/>
      <c r="AN11" s="1264"/>
      <c r="AO11" s="1266"/>
      <c r="AP11" s="1264"/>
      <c r="AQ11" s="1266"/>
      <c r="AR11" s="1264"/>
      <c r="AS11" s="1266"/>
      <c r="AT11" s="1463"/>
      <c r="AU11" s="1478"/>
      <c r="AV11" s="1003"/>
      <c r="AW11" s="1463"/>
      <c r="AX11" s="1003"/>
      <c r="AY11" s="25"/>
      <c r="AZ11" s="25"/>
      <c r="BA11" s="25"/>
      <c r="BB11" s="1483" t="str">
        <f>I10</f>
        <v>办公</v>
      </c>
      <c r="BC11" s="1483" t="str">
        <f>K10</f>
        <v>车库</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1095</v>
      </c>
      <c r="J12" s="8" t="s">
        <v>1096</v>
      </c>
      <c r="K12" s="8" t="s">
        <v>1095</v>
      </c>
      <c r="L12" s="8" t="s">
        <v>1096</v>
      </c>
      <c r="M12" s="8" t="s">
        <v>1095</v>
      </c>
      <c r="N12" s="8" t="s">
        <v>1096</v>
      </c>
      <c r="O12" s="8" t="s">
        <v>1095</v>
      </c>
      <c r="P12" s="8" t="s">
        <v>1096</v>
      </c>
      <c r="Q12" s="8" t="s">
        <v>1095</v>
      </c>
      <c r="R12" s="8" t="s">
        <v>1096</v>
      </c>
      <c r="S12" s="8" t="s">
        <v>1095</v>
      </c>
      <c r="T12" s="8" t="s">
        <v>1096</v>
      </c>
      <c r="U12" s="8" t="s">
        <v>1095</v>
      </c>
      <c r="V12" s="1254" t="s">
        <v>1096</v>
      </c>
      <c r="W12" s="8" t="s">
        <v>1095</v>
      </c>
      <c r="X12" s="8" t="s">
        <v>1096</v>
      </c>
      <c r="Y12" s="8" t="s">
        <v>1095</v>
      </c>
      <c r="Z12" s="8" t="s">
        <v>1096</v>
      </c>
      <c r="AA12" s="8" t="s">
        <v>1095</v>
      </c>
      <c r="AB12" s="8" t="s">
        <v>1096</v>
      </c>
      <c r="AC12" s="1505"/>
      <c r="AD12" s="1256" t="s">
        <v>1095</v>
      </c>
      <c r="AE12" s="8" t="s">
        <v>1096</v>
      </c>
      <c r="AF12" s="8" t="s">
        <v>1095</v>
      </c>
      <c r="AG12" s="8" t="s">
        <v>1096</v>
      </c>
      <c r="AH12" s="8" t="s">
        <v>1095</v>
      </c>
      <c r="AI12" s="8" t="s">
        <v>1096</v>
      </c>
      <c r="AJ12" s="8" t="s">
        <v>1095</v>
      </c>
      <c r="AK12" s="8" t="s">
        <v>1096</v>
      </c>
      <c r="AL12" s="8" t="s">
        <v>1095</v>
      </c>
      <c r="AM12" s="8" t="s">
        <v>1096</v>
      </c>
      <c r="AN12" s="8" t="s">
        <v>1095</v>
      </c>
      <c r="AO12" s="8" t="s">
        <v>1096</v>
      </c>
      <c r="AP12" s="8" t="s">
        <v>1095</v>
      </c>
      <c r="AQ12" s="8" t="s">
        <v>1096</v>
      </c>
      <c r="AR12" s="27" t="s">
        <v>1095</v>
      </c>
      <c r="AS12" s="1503" t="s">
        <v>1096</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3164" t="s">
        <v>3428</v>
      </c>
      <c r="D13" s="1509" t="s">
        <v>3426</v>
      </c>
      <c r="E13" s="13">
        <f>IF($C$3="是",ROUND($A$3*G13/$B$3,2),ROUND($A$3*(G13-AT13)/$B$3,2))</f>
        <v>0</v>
      </c>
      <c r="F13" s="29"/>
      <c r="G13" s="30">
        <f>H13+AC13+AT13</f>
        <v>390.5</v>
      </c>
      <c r="H13" s="17">
        <f>SUMIF(I$12:AB$12,"总值",I13:AB13)</f>
        <v>390.5</v>
      </c>
      <c r="I13" s="1510">
        <f>面积位置!D14</f>
        <v>390.5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501办公</v>
      </c>
      <c r="AY13" s="1256">
        <f>ROUND($AY$6*AZ13/$AZ$5,2)</f>
        <v>0</v>
      </c>
      <c r="AZ13" s="13">
        <f>BA13+BL13</f>
        <v>390.5</v>
      </c>
      <c r="BA13" s="13">
        <f>SUM(BB13:BK13)</f>
        <v>390.5</v>
      </c>
      <c r="BB13" s="13">
        <f>IF($D13="是",I13-J13,0)</f>
        <v>390.5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3164" t="s">
        <v>3429</v>
      </c>
      <c r="D14" s="1509" t="s">
        <v>3426</v>
      </c>
      <c r="E14" s="13">
        <f>IF($C$3="是",ROUND($A$3*G14/$B$3,2),ROUND($A$3*(G14-AT14)/$B$3,2))</f>
        <v>0</v>
      </c>
      <c r="F14" s="29"/>
      <c r="G14" s="30">
        <f>H14+AC14+AT14</f>
        <v>1574.91</v>
      </c>
      <c r="H14" s="17">
        <f>SUMIF(I$12:AB$12,"总值",I14:AB14)</f>
        <v>1574.91</v>
      </c>
      <c r="I14" s="1510">
        <f>面积位置!D15+面积位置!D16+面积位置!D17</f>
        <v>1574.91</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其他办公</v>
      </c>
      <c r="AY14" s="1256">
        <f>ROUND($AY$6*AZ14/$AZ$5,2)</f>
        <v>0</v>
      </c>
      <c r="AZ14" s="13">
        <f>BA14+BL14</f>
        <v>1574.91</v>
      </c>
      <c r="BA14" s="13">
        <f>SUM(BB14:BK14)</f>
        <v>1574.91</v>
      </c>
      <c r="BB14" s="13">
        <f>IF($D14="是",I14-J14,0)</f>
        <v>1574.91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3164" t="s">
        <v>3430</v>
      </c>
      <c r="D15" s="1509" t="s">
        <v>3426</v>
      </c>
      <c r="E15" s="13">
        <f>IF($C$3="是",ROUND($A$3*G15/$B$3,2),ROUND($A$3*(G15-AT15)/$B$3,2))</f>
        <v>0</v>
      </c>
      <c r="F15" s="29"/>
      <c r="G15" s="30">
        <f>H15+AC15+AT15</f>
        <v>53.53</v>
      </c>
      <c r="H15" s="17">
        <f>SUMIF(I$12:AB$12,"总值",I15:AB15)</f>
        <v>53.53</v>
      </c>
      <c r="I15" s="1510"/>
      <c r="J15" s="1510"/>
      <c r="K15" s="1510">
        <f>面积位置!D18</f>
        <v>53.53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056车位</v>
      </c>
      <c r="AY15" s="1256">
        <f>ROUND($AY$6*AZ15/$AZ$5,2)</f>
        <v>0</v>
      </c>
      <c r="AZ15" s="13">
        <f>BA15+BL15</f>
        <v>53.53</v>
      </c>
      <c r="BA15" s="13">
        <f>SUM(BB15:BK15)</f>
        <v>53.53</v>
      </c>
      <c r="BB15" s="13">
        <f>IF($D15="是",I15-J15,0)</f>
        <v>0</v>
      </c>
      <c r="BC15" s="13">
        <f>IF($D15="是",K15-L15,0)</f>
        <v>53.53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3164" t="s">
        <v>3431</v>
      </c>
      <c r="D16" s="1509" t="s">
        <v>3426</v>
      </c>
      <c r="E16" s="13">
        <f>IF($C$3="是",ROUND($A$3*G16/$B$3,2),ROUND($A$3*(G16-AT16)/$B$3,2))</f>
        <v>0</v>
      </c>
      <c r="F16" s="29"/>
      <c r="G16" s="30">
        <f>H16+AC16+AT16</f>
        <v>159.69</v>
      </c>
      <c r="H16" s="17">
        <f>SUMIF(I$12:AB$12,"总值",I16:AB16)</f>
        <v>159.69</v>
      </c>
      <c r="I16" s="1510"/>
      <c r="J16" s="1510"/>
      <c r="K16" s="1510">
        <f>面积位置!D19+面积位置!D20+面积位置!D21</f>
        <v>159.69</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其他车位</v>
      </c>
      <c r="AY16" s="1256">
        <f>ROUND($AY$6*AZ16/$AZ$5,2)</f>
        <v>0</v>
      </c>
      <c r="AZ16" s="13">
        <f>BA16+BL16</f>
        <v>159.69</v>
      </c>
      <c r="BA16" s="13">
        <f>SUM(BB16:BK16)</f>
        <v>159.69</v>
      </c>
      <c r="BB16" s="13">
        <f>IF($D16="是",I16-J16,0)</f>
        <v>0</v>
      </c>
      <c r="BC16" s="13">
        <f>IF($D16="是",K16-L16,0)</f>
        <v>159.69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FA8E-CB64-40B1-A39B-6DCF6B843E57}">
  <dimension ref="A1:G48"/>
  <sheetViews>
    <sheetView workbookViewId="0">
      <selection activeCell="I8" sqref="I8"/>
    </sheetView>
  </sheetViews>
  <sheetFormatPr defaultRowHeight="13.5"/>
  <cols>
    <col min="1" max="1" width="64.875" bestFit="1" customWidth="1"/>
    <col min="2" max="2" width="9" customWidth="1"/>
    <col min="3" max="3" width="30.25" bestFit="1" customWidth="1"/>
    <col min="4" max="4" width="9.5" customWidth="1"/>
  </cols>
  <sheetData>
    <row r="1" spans="1:7">
      <c r="A1" s="1401" t="s">
        <v>3433</v>
      </c>
      <c r="B1" t="s">
        <v>3398</v>
      </c>
    </row>
    <row r="2" spans="1:7">
      <c r="A2" s="1401" t="s">
        <v>3432</v>
      </c>
      <c r="B2" s="1401" t="s">
        <v>3523</v>
      </c>
    </row>
    <row r="3" spans="1:7">
      <c r="A3" t="s">
        <v>3406</v>
      </c>
      <c r="B3" t="s">
        <v>3399</v>
      </c>
    </row>
    <row r="4" spans="1:7">
      <c r="A4" t="s">
        <v>3407</v>
      </c>
      <c r="B4" t="s">
        <v>3400</v>
      </c>
    </row>
    <row r="5" spans="1:7">
      <c r="A5" t="s">
        <v>3408</v>
      </c>
      <c r="B5" t="s">
        <v>3401</v>
      </c>
    </row>
    <row r="6" spans="1:7">
      <c r="A6" t="s">
        <v>3409</v>
      </c>
      <c r="B6" t="s">
        <v>3402</v>
      </c>
    </row>
    <row r="7" spans="1:7">
      <c r="A7" t="s">
        <v>3410</v>
      </c>
      <c r="B7" t="s">
        <v>3403</v>
      </c>
    </row>
    <row r="8" spans="1:7">
      <c r="A8" s="1401" t="s">
        <v>3509</v>
      </c>
      <c r="B8" t="s">
        <v>3404</v>
      </c>
    </row>
    <row r="9" spans="1:7">
      <c r="A9" t="s">
        <v>3406</v>
      </c>
      <c r="B9" t="s">
        <v>3405</v>
      </c>
    </row>
    <row r="10" spans="1:7">
      <c r="A10" t="s">
        <v>3411</v>
      </c>
    </row>
    <row r="11" spans="1:7">
      <c r="A11" t="s">
        <v>3408</v>
      </c>
    </row>
    <row r="12" spans="1:7">
      <c r="A12" t="s">
        <v>3409</v>
      </c>
    </row>
    <row r="13" spans="1:7">
      <c r="A13" t="s">
        <v>3412</v>
      </c>
      <c r="B13" s="3177" t="s">
        <v>3447</v>
      </c>
      <c r="C13" s="3177" t="s">
        <v>3435</v>
      </c>
      <c r="D13" s="3177" t="s">
        <v>3443</v>
      </c>
      <c r="E13" s="3177" t="s">
        <v>3444</v>
      </c>
      <c r="F13" s="3177" t="s">
        <v>2525</v>
      </c>
      <c r="G13" s="3177" t="s">
        <v>3507</v>
      </c>
    </row>
    <row r="14" spans="1:7">
      <c r="A14" s="1401" t="s">
        <v>3511</v>
      </c>
      <c r="B14" s="3178">
        <v>1</v>
      </c>
      <c r="C14" s="3178" t="s">
        <v>3434</v>
      </c>
      <c r="D14" s="3178">
        <v>390.5</v>
      </c>
      <c r="E14" s="3178">
        <v>5</v>
      </c>
      <c r="F14" s="3177" t="s">
        <v>2794</v>
      </c>
      <c r="G14" s="3178" t="s">
        <v>3508</v>
      </c>
    </row>
    <row r="15" spans="1:7">
      <c r="A15" t="s">
        <v>3406</v>
      </c>
      <c r="B15" s="3178">
        <v>2</v>
      </c>
      <c r="C15" s="3178" t="s">
        <v>3436</v>
      </c>
      <c r="D15" s="3178">
        <v>527.54999999999995</v>
      </c>
      <c r="E15" s="3178">
        <v>5</v>
      </c>
      <c r="F15" s="3177" t="s">
        <v>2794</v>
      </c>
      <c r="G15" s="3178" t="s">
        <v>3510</v>
      </c>
    </row>
    <row r="16" spans="1:7">
      <c r="A16" t="s">
        <v>3413</v>
      </c>
      <c r="B16" s="3178">
        <v>3</v>
      </c>
      <c r="C16" s="3178" t="s">
        <v>3437</v>
      </c>
      <c r="D16" s="3178">
        <v>591.70000000000005</v>
      </c>
      <c r="E16" s="3178">
        <v>5</v>
      </c>
      <c r="F16" s="3177" t="s">
        <v>2794</v>
      </c>
      <c r="G16" s="3178" t="s">
        <v>3512</v>
      </c>
    </row>
    <row r="17" spans="1:7">
      <c r="A17" t="s">
        <v>3408</v>
      </c>
      <c r="B17" s="3178">
        <v>4</v>
      </c>
      <c r="C17" s="3178" t="s">
        <v>3438</v>
      </c>
      <c r="D17" s="3178">
        <v>455.66</v>
      </c>
      <c r="E17" s="3178">
        <v>5</v>
      </c>
      <c r="F17" s="3177" t="s">
        <v>2794</v>
      </c>
      <c r="G17" s="3178" t="s">
        <v>3514</v>
      </c>
    </row>
    <row r="18" spans="1:7">
      <c r="A18" t="s">
        <v>3409</v>
      </c>
      <c r="B18" s="3178">
        <v>5</v>
      </c>
      <c r="C18" s="3178" t="s">
        <v>3439</v>
      </c>
      <c r="D18" s="3178">
        <v>53.53</v>
      </c>
      <c r="E18" s="3178">
        <v>-1</v>
      </c>
      <c r="F18" s="3177" t="s">
        <v>3446</v>
      </c>
      <c r="G18" s="3178" t="s">
        <v>3516</v>
      </c>
    </row>
    <row r="19" spans="1:7">
      <c r="A19" t="s">
        <v>3414</v>
      </c>
      <c r="B19" s="3178">
        <v>6</v>
      </c>
      <c r="C19" s="3178" t="s">
        <v>3440</v>
      </c>
      <c r="D19" s="3178">
        <v>53.53</v>
      </c>
      <c r="E19" s="3178">
        <v>-1</v>
      </c>
      <c r="F19" s="3177" t="s">
        <v>3446</v>
      </c>
      <c r="G19" s="3178" t="s">
        <v>3518</v>
      </c>
    </row>
    <row r="20" spans="1:7">
      <c r="A20" s="1401" t="s">
        <v>3513</v>
      </c>
      <c r="B20" s="3178">
        <v>7</v>
      </c>
      <c r="C20" s="3178" t="s">
        <v>3441</v>
      </c>
      <c r="D20" s="3178">
        <v>52.21</v>
      </c>
      <c r="E20" s="3178">
        <v>-1</v>
      </c>
      <c r="F20" s="3177" t="s">
        <v>3446</v>
      </c>
      <c r="G20" s="3178" t="s">
        <v>3520</v>
      </c>
    </row>
    <row r="21" spans="1:7">
      <c r="A21" t="s">
        <v>3406</v>
      </c>
      <c r="B21" s="3178">
        <v>8</v>
      </c>
      <c r="C21" s="3178" t="s">
        <v>3442</v>
      </c>
      <c r="D21" s="3178">
        <v>53.95</v>
      </c>
      <c r="E21" s="3178">
        <v>-1</v>
      </c>
      <c r="F21" s="3177" t="s">
        <v>3446</v>
      </c>
      <c r="G21" s="3178" t="s">
        <v>3522</v>
      </c>
    </row>
    <row r="22" spans="1:7">
      <c r="A22" t="s">
        <v>3415</v>
      </c>
      <c r="D22">
        <f>SUM(D14:D21)</f>
        <v>2178.63</v>
      </c>
    </row>
    <row r="23" spans="1:7">
      <c r="A23" t="s">
        <v>3408</v>
      </c>
    </row>
    <row r="24" spans="1:7">
      <c r="A24" t="s">
        <v>3409</v>
      </c>
    </row>
    <row r="25" spans="1:7">
      <c r="A25" t="s">
        <v>3416</v>
      </c>
    </row>
    <row r="26" spans="1:7">
      <c r="A26" s="1401" t="s">
        <v>3515</v>
      </c>
    </row>
    <row r="27" spans="1:7">
      <c r="A27" t="s">
        <v>3406</v>
      </c>
    </row>
    <row r="28" spans="1:7">
      <c r="A28" t="s">
        <v>3417</v>
      </c>
    </row>
    <row r="29" spans="1:7">
      <c r="A29" t="s">
        <v>3408</v>
      </c>
    </row>
    <row r="30" spans="1:7">
      <c r="A30" t="s">
        <v>3418</v>
      </c>
    </row>
    <row r="31" spans="1:7">
      <c r="A31" t="s">
        <v>3419</v>
      </c>
    </row>
    <row r="32" spans="1:7">
      <c r="A32" s="1401" t="s">
        <v>3517</v>
      </c>
    </row>
    <row r="33" spans="1:1">
      <c r="A33" t="s">
        <v>3406</v>
      </c>
    </row>
    <row r="34" spans="1:1">
      <c r="A34" t="s">
        <v>3417</v>
      </c>
    </row>
    <row r="35" spans="1:1">
      <c r="A35" t="s">
        <v>3408</v>
      </c>
    </row>
    <row r="36" spans="1:1">
      <c r="A36" t="s">
        <v>3418</v>
      </c>
    </row>
    <row r="37" spans="1:1">
      <c r="A37" t="s">
        <v>3420</v>
      </c>
    </row>
    <row r="38" spans="1:1">
      <c r="A38" s="1401" t="s">
        <v>3519</v>
      </c>
    </row>
    <row r="39" spans="1:1">
      <c r="A39" t="s">
        <v>3406</v>
      </c>
    </row>
    <row r="40" spans="1:1">
      <c r="A40" t="s">
        <v>3421</v>
      </c>
    </row>
    <row r="41" spans="1:1">
      <c r="A41" t="s">
        <v>3408</v>
      </c>
    </row>
    <row r="42" spans="1:1">
      <c r="A42" t="s">
        <v>3418</v>
      </c>
    </row>
    <row r="43" spans="1:1">
      <c r="A43" t="s">
        <v>3422</v>
      </c>
    </row>
    <row r="44" spans="1:1">
      <c r="A44" s="1401" t="s">
        <v>3521</v>
      </c>
    </row>
    <row r="45" spans="1:1">
      <c r="A45" t="s">
        <v>3406</v>
      </c>
    </row>
    <row r="46" spans="1:1">
      <c r="A46" t="s">
        <v>3423</v>
      </c>
    </row>
    <row r="47" spans="1:1">
      <c r="A47" t="s">
        <v>3408</v>
      </c>
    </row>
    <row r="48" spans="1:1">
      <c r="A48" t="s">
        <v>3418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4" sqref="H24"/>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1122</v>
      </c>
      <c r="B1" s="1067"/>
      <c r="C1" s="1067"/>
      <c r="D1" s="1067"/>
      <c r="E1" s="1067"/>
      <c r="F1" s="1067"/>
      <c r="G1" s="1067"/>
      <c r="H1" s="1067"/>
      <c r="I1" s="1067"/>
      <c r="J1" s="1067"/>
      <c r="K1" s="1067"/>
      <c r="L1" s="1067"/>
      <c r="M1" s="1067"/>
      <c r="N1" s="1067"/>
      <c r="O1" s="1067"/>
      <c r="P1" s="1067"/>
    </row>
    <row r="2" spans="1:16" ht="15">
      <c r="A2" s="3259" t="s">
        <v>1123</v>
      </c>
      <c r="B2" s="3259"/>
      <c r="C2" s="3259"/>
      <c r="D2" s="745" t="s">
        <v>1099</v>
      </c>
      <c r="E2" s="1519" t="s">
        <v>1100</v>
      </c>
      <c r="F2" s="2434"/>
      <c r="G2" s="2427"/>
      <c r="H2" s="2428"/>
      <c r="I2" s="2141" t="s">
        <v>1124</v>
      </c>
      <c r="J2" s="2434"/>
      <c r="K2" s="2434"/>
      <c r="L2" s="2434"/>
      <c r="M2" s="2434"/>
      <c r="N2" s="2435"/>
      <c r="O2" s="2434"/>
      <c r="P2" s="2434"/>
    </row>
    <row r="3" spans="1:16" ht="15.75" thickBot="1">
      <c r="A3" s="3260" t="s">
        <v>1097</v>
      </c>
      <c r="B3" s="3260"/>
      <c r="C3" s="3260"/>
      <c r="D3" s="41">
        <f>'数据-基础表'!AY6</f>
        <v>0</v>
      </c>
      <c r="E3" s="41">
        <f>'数据-基础表'!AZ5</f>
        <v>2178.63</v>
      </c>
      <c r="F3" s="2434"/>
      <c r="G3" s="42"/>
      <c r="H3" s="43" t="s">
        <v>1098</v>
      </c>
      <c r="I3" s="799" t="e">
        <f>ROUND('数据-基础表'!B3/'数据-基础表'!A3,2)</f>
        <v>#DIV/0!</v>
      </c>
      <c r="J3" s="2434"/>
      <c r="K3" s="2434"/>
      <c r="L3" s="2434"/>
      <c r="M3" s="2434"/>
      <c r="N3" s="2435"/>
      <c r="O3" s="2434"/>
      <c r="P3" s="2434"/>
    </row>
    <row r="4" spans="1:16" ht="15">
      <c r="A4" s="3261"/>
      <c r="B4" s="3262"/>
      <c r="C4" s="3263"/>
      <c r="D4" s="1520" t="s">
        <v>1099</v>
      </c>
      <c r="E4" s="1521" t="s">
        <v>1100</v>
      </c>
      <c r="F4" s="2434"/>
      <c r="G4" s="2429" t="s">
        <v>1125</v>
      </c>
      <c r="H4" s="43" t="s">
        <v>1105</v>
      </c>
      <c r="I4" s="799" t="e">
        <f>ROUND(SUMIF('数据-基础表'!I9:AS9,"地上",'数据-基础表'!I5:AS5)/'数据-基础表'!A3,2)</f>
        <v>#DIV/0!</v>
      </c>
      <c r="J4" s="2434"/>
      <c r="K4" s="2434"/>
      <c r="L4" s="2434"/>
      <c r="M4" s="2434"/>
      <c r="N4" s="2435"/>
      <c r="O4" s="2434"/>
      <c r="P4" s="2434"/>
    </row>
    <row r="5" spans="1:16">
      <c r="A5" s="42" t="s">
        <v>1101</v>
      </c>
      <c r="B5" s="3264" t="s">
        <v>1102</v>
      </c>
      <c r="C5" s="3264"/>
      <c r="D5" s="43">
        <f>ROUND($D$3*E5/$E$3,2)</f>
        <v>0</v>
      </c>
      <c r="E5" s="44">
        <f>SUMIF('数据-基础表'!$11:$11,"住宅",'数据-基础表'!$5:$5)</f>
        <v>0</v>
      </c>
      <c r="F5" s="2434"/>
      <c r="G5" s="42"/>
      <c r="H5" s="43" t="s">
        <v>1098</v>
      </c>
      <c r="I5" s="799" t="e">
        <f>ROUND(E31/D31,2)</f>
        <v>#DIV/0!</v>
      </c>
      <c r="J5" s="2434"/>
      <c r="K5" s="2434"/>
      <c r="L5" s="2434"/>
      <c r="M5" s="2434"/>
      <c r="N5" s="2434"/>
      <c r="O5" s="2434"/>
      <c r="P5" s="2434"/>
    </row>
    <row r="6" spans="1:16" ht="15" thickBot="1">
      <c r="A6" s="1523"/>
      <c r="B6" s="3264" t="s">
        <v>1103</v>
      </c>
      <c r="C6" s="3264"/>
      <c r="D6" s="43">
        <f>ROUND($D$3*E6/$E$3,2)</f>
        <v>0</v>
      </c>
      <c r="E6" s="44">
        <f>E3-E5</f>
        <v>2178.63</v>
      </c>
      <c r="F6" s="2434"/>
      <c r="G6" s="1525" t="s">
        <v>1104</v>
      </c>
      <c r="H6" s="45" t="s">
        <v>1105</v>
      </c>
      <c r="I6" s="2430" t="e">
        <f>ROUND(F31/D31,2)</f>
        <v>#DIV/0!</v>
      </c>
      <c r="J6" s="2434"/>
      <c r="K6" s="2434"/>
      <c r="L6" s="2434"/>
      <c r="M6" s="2434"/>
      <c r="N6" s="2434"/>
      <c r="O6" s="2434"/>
      <c r="P6" s="2434"/>
    </row>
    <row r="7" spans="1:16" ht="15.75" thickBot="1">
      <c r="A7" s="3256"/>
      <c r="B7" s="3257"/>
      <c r="C7" s="3258"/>
      <c r="D7" s="1520" t="s">
        <v>1099</v>
      </c>
      <c r="E7" s="1524" t="s">
        <v>1106</v>
      </c>
      <c r="F7" s="2434"/>
      <c r="G7" s="2431" t="s">
        <v>1107</v>
      </c>
      <c r="H7" s="95"/>
      <c r="I7" s="2432">
        <v>3.5</v>
      </c>
      <c r="J7" s="2434"/>
      <c r="K7" s="2434"/>
      <c r="L7" s="2434"/>
      <c r="M7" s="2434"/>
      <c r="N7" s="2434"/>
      <c r="O7" s="2434"/>
      <c r="P7" s="2434"/>
    </row>
    <row r="8" spans="1:16">
      <c r="A8" s="42" t="s">
        <v>1108</v>
      </c>
      <c r="B8" s="45" t="s">
        <v>1109</v>
      </c>
      <c r="C8" s="43" t="s">
        <v>1110</v>
      </c>
      <c r="D8" s="43">
        <f t="shared" ref="D8:D15" si="0">ROUND($D$3*E8/$E$3,2)</f>
        <v>0</v>
      </c>
      <c r="E8" s="46">
        <f>SUMIF('数据-基础表'!BB10:BK10,"地上",'数据-基础表'!BB5:BK5)</f>
        <v>1965.41</v>
      </c>
      <c r="F8" s="2434"/>
      <c r="G8" s="2434"/>
      <c r="H8" s="2434"/>
      <c r="I8" s="2434"/>
      <c r="J8" s="2434"/>
      <c r="K8" s="2434"/>
      <c r="L8" s="2434"/>
      <c r="M8" s="2434"/>
      <c r="N8" s="2434"/>
      <c r="O8" s="2434"/>
      <c r="P8" s="2434"/>
    </row>
    <row r="9" spans="1:16">
      <c r="A9" s="1525"/>
      <c r="B9" s="1526"/>
      <c r="C9" s="43" t="s">
        <v>1111</v>
      </c>
      <c r="D9" s="43">
        <f t="shared" si="0"/>
        <v>0</v>
      </c>
      <c r="E9" s="47">
        <v>0</v>
      </c>
      <c r="F9" s="2434"/>
      <c r="G9" s="2434"/>
      <c r="H9" s="2434"/>
      <c r="I9" s="2434"/>
      <c r="J9" s="2434"/>
      <c r="K9" s="2434"/>
      <c r="L9" s="2434"/>
      <c r="M9" s="2434"/>
      <c r="N9" s="2434"/>
      <c r="O9" s="2434"/>
      <c r="P9" s="2434"/>
    </row>
    <row r="10" spans="1:16">
      <c r="A10" s="1525"/>
      <c r="B10" s="1526"/>
      <c r="C10" s="43" t="s">
        <v>1120</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5"/>
      <c r="B11" s="1526"/>
      <c r="C11" s="43" t="s">
        <v>1112</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5"/>
      <c r="B12" s="1526"/>
      <c r="C12" s="43" t="s">
        <v>1113</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5"/>
      <c r="B13" s="1526"/>
      <c r="C13" s="43" t="s">
        <v>1114</v>
      </c>
      <c r="D13" s="43">
        <f t="shared" si="0"/>
        <v>0</v>
      </c>
      <c r="E13" s="46">
        <f>SUMPRODUCT(('数据-基础表'!BB10:BK10="地下")*('数据-基础表'!BB11:BK11="车库")*('数据-基础表'!BB5:BK5))</f>
        <v>213.22</v>
      </c>
      <c r="F13" s="2434"/>
      <c r="G13" s="2434"/>
      <c r="H13" s="2434"/>
      <c r="I13" s="2434"/>
      <c r="J13" s="2434"/>
      <c r="K13" s="2434"/>
      <c r="L13" s="2434"/>
      <c r="M13" s="2434"/>
      <c r="N13" s="2434"/>
      <c r="O13" s="2434"/>
      <c r="P13" s="2434"/>
    </row>
    <row r="14" spans="1:16">
      <c r="A14" s="1525"/>
      <c r="B14" s="1526"/>
      <c r="C14" s="43" t="s">
        <v>1126</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1121</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3"/>
      <c r="B16" s="1526"/>
      <c r="C16" s="45" t="s">
        <v>1115</v>
      </c>
      <c r="D16" s="45">
        <f>SUM(D8:D15)</f>
        <v>0</v>
      </c>
      <c r="E16" s="48">
        <f>SUM(E8:E15)</f>
        <v>2178.63</v>
      </c>
      <c r="F16" s="2434"/>
      <c r="G16" s="2434"/>
      <c r="H16" s="1527" t="s">
        <v>1127</v>
      </c>
      <c r="I16" s="1528"/>
      <c r="J16" s="1067"/>
      <c r="K16" s="3253" t="s">
        <v>1127</v>
      </c>
      <c r="L16" s="3254"/>
      <c r="M16" s="3254"/>
      <c r="N16" s="3254"/>
      <c r="O16" s="3254"/>
      <c r="P16" s="3255"/>
    </row>
    <row r="17" spans="1:19" ht="15">
      <c r="A17" s="1529" t="s">
        <v>1128</v>
      </c>
      <c r="B17" s="1530" t="s">
        <v>1129</v>
      </c>
      <c r="C17" s="1531" t="s">
        <v>1130</v>
      </c>
      <c r="D17" s="1532" t="s">
        <v>1118</v>
      </c>
      <c r="E17" s="1533" t="s">
        <v>1119</v>
      </c>
      <c r="F17" s="1534"/>
      <c r="G17" s="1535"/>
      <c r="H17" s="1536" t="s">
        <v>1131</v>
      </c>
      <c r="I17" s="1537" t="s">
        <v>1116</v>
      </c>
      <c r="J17" s="1067"/>
      <c r="K17" s="3250" t="s">
        <v>1132</v>
      </c>
      <c r="L17" s="3251"/>
      <c r="M17" s="3252"/>
      <c r="N17" s="3250" t="s">
        <v>1133</v>
      </c>
      <c r="O17" s="3251"/>
      <c r="P17" s="3252"/>
      <c r="R17" s="766" t="s">
        <v>1134</v>
      </c>
      <c r="S17" s="54"/>
    </row>
    <row r="18" spans="1:19" ht="15">
      <c r="A18" s="1525"/>
      <c r="B18" s="1522"/>
      <c r="C18" s="1538"/>
      <c r="D18" s="1539"/>
      <c r="E18" s="1540" t="s">
        <v>1135</v>
      </c>
      <c r="F18" s="1541" t="s">
        <v>1136</v>
      </c>
      <c r="G18" s="1542" t="s">
        <v>1137</v>
      </c>
      <c r="H18" s="976" t="s">
        <v>1138</v>
      </c>
      <c r="I18" s="1543" t="s">
        <v>1139</v>
      </c>
      <c r="J18" s="1067"/>
      <c r="K18" s="976" t="s">
        <v>1140</v>
      </c>
      <c r="L18" s="1544" t="s">
        <v>1141</v>
      </c>
      <c r="M18" s="799" t="s">
        <v>1142</v>
      </c>
      <c r="N18" s="976" t="s">
        <v>1140</v>
      </c>
      <c r="O18" s="1544" t="s">
        <v>1141</v>
      </c>
      <c r="P18" s="799" t="s">
        <v>1142</v>
      </c>
      <c r="R18" s="43" t="s">
        <v>1143</v>
      </c>
      <c r="S18" s="43" t="s">
        <v>1144</v>
      </c>
    </row>
    <row r="19" spans="1:19">
      <c r="A19" s="1545"/>
      <c r="B19" s="45" t="s">
        <v>1117</v>
      </c>
      <c r="C19" s="3111" t="str">
        <f>'数据-基础表'!C13</f>
        <v>501办公</v>
      </c>
      <c r="D19" s="43">
        <f>ROUND($D$3*E19/$E$3,2)</f>
        <v>0</v>
      </c>
      <c r="E19" s="51">
        <f t="shared" ref="E19:E26" si="1">SUM(F19:G19)</f>
        <v>390.5</v>
      </c>
      <c r="F19" s="2553">
        <f>'数据-基础表'!I13</f>
        <v>390.5</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390.5</v>
      </c>
    </row>
    <row r="20" spans="1:19">
      <c r="A20" s="1545"/>
      <c r="B20" s="45" t="s">
        <v>1145</v>
      </c>
      <c r="C20" s="3111" t="str">
        <f>'数据-基础表'!C14</f>
        <v>其他办公</v>
      </c>
      <c r="D20" s="43">
        <f t="shared" ref="D20:D26" si="6">ROUND($D$3*E20/$E$3,2)</f>
        <v>0</v>
      </c>
      <c r="E20" s="51">
        <f t="shared" si="1"/>
        <v>1574.91</v>
      </c>
      <c r="F20" s="2553">
        <f>'数据-基础表'!I14</f>
        <v>1574.91</v>
      </c>
      <c r="G20" s="1239"/>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1574.91</v>
      </c>
    </row>
    <row r="21" spans="1:19">
      <c r="A21" s="1545"/>
      <c r="B21" s="45" t="s">
        <v>1145</v>
      </c>
      <c r="C21" s="3111" t="str">
        <f>'数据-基础表'!C15</f>
        <v>056车位</v>
      </c>
      <c r="D21" s="43">
        <f t="shared" si="6"/>
        <v>0</v>
      </c>
      <c r="E21" s="51">
        <f t="shared" si="1"/>
        <v>53.53</v>
      </c>
      <c r="F21" s="2553"/>
      <c r="G21" s="1239">
        <f>'数据-基础表'!K15</f>
        <v>53.53</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53.53</v>
      </c>
    </row>
    <row r="22" spans="1:19">
      <c r="A22" s="1545"/>
      <c r="B22" s="45" t="s">
        <v>1145</v>
      </c>
      <c r="C22" s="3112" t="str">
        <f>'数据-基础表'!C16</f>
        <v>其他车位</v>
      </c>
      <c r="D22" s="43">
        <f t="shared" si="6"/>
        <v>0</v>
      </c>
      <c r="E22" s="51">
        <f t="shared" si="1"/>
        <v>159.69</v>
      </c>
      <c r="F22" s="2554"/>
      <c r="G22" s="2555">
        <f>'数据-基础表'!K16</f>
        <v>159.69</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159.69</v>
      </c>
    </row>
    <row r="23" spans="1:19">
      <c r="A23" s="1545"/>
      <c r="B23" s="45" t="s">
        <v>1145</v>
      </c>
      <c r="C23" s="3112"/>
      <c r="D23" s="43">
        <f>ROUND($D$3*E23/$E$3,2)</f>
        <v>0</v>
      </c>
      <c r="E23" s="51">
        <f>SUM(F23:G23)</f>
        <v>0</v>
      </c>
      <c r="F23" s="2554"/>
      <c r="G23" s="2555"/>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1145</v>
      </c>
      <c r="C24" s="3112"/>
      <c r="D24" s="43">
        <f>ROUND($D$3*E24/$E$3,2)</f>
        <v>0</v>
      </c>
      <c r="E24" s="51">
        <f>SUM(F24:G24)</f>
        <v>0</v>
      </c>
      <c r="F24" s="2554"/>
      <c r="G24" s="2555"/>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1145</v>
      </c>
      <c r="C25" s="3112"/>
      <c r="D25" s="43">
        <f t="shared" si="6"/>
        <v>0</v>
      </c>
      <c r="E25" s="51">
        <f t="shared" si="1"/>
        <v>0</v>
      </c>
      <c r="F25" s="2554"/>
      <c r="G25" s="2555"/>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1145</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1146</v>
      </c>
      <c r="D27" s="1068">
        <f>SUM(D19:D26)</f>
        <v>0</v>
      </c>
      <c r="E27" s="1069">
        <f>IF(SUM(E19:E26)='数据-基础表'!BA5,SUM(E19:E26),IF(F27="地上面积有误","面积有误","地下面积有误"))</f>
        <v>2178.63</v>
      </c>
      <c r="F27" s="1068">
        <f>IF(SUM(F19:F26)=E8,SUM(F19:F26),"地上面积有误")</f>
        <v>1965.41</v>
      </c>
      <c r="G27" s="1070">
        <f>SUM(G19:G26)</f>
        <v>213.22</v>
      </c>
      <c r="H27" s="1071">
        <f>SUM(H19:H26)</f>
        <v>0</v>
      </c>
      <c r="I27" s="1072">
        <f>SUM(I19:I26)</f>
        <v>0</v>
      </c>
      <c r="J27" s="1067"/>
      <c r="K27" s="1073">
        <f>SUM(K19:K26)</f>
        <v>0</v>
      </c>
      <c r="L27" s="782">
        <f>SUM(L19:L26)</f>
        <v>0</v>
      </c>
      <c r="M27" s="1074">
        <f>SUM(M19:M26)</f>
        <v>0</v>
      </c>
      <c r="N27" s="1073">
        <f t="shared" ref="N27:O27" si="10">SUM(N19:N26)</f>
        <v>0</v>
      </c>
      <c r="O27" s="782">
        <f t="shared" si="10"/>
        <v>0</v>
      </c>
      <c r="P27" s="94">
        <f>SUM(P19:P26)</f>
        <v>0</v>
      </c>
      <c r="R27" s="964">
        <f>IF(SUM(R19:R26)=$D$3,SUM(R19:R26),SUM(R19:R26)&amp;"误差"&amp;ROUND(SUM(R19:R26)-$D$3,2))</f>
        <v>0</v>
      </c>
      <c r="S27" s="43">
        <f>IF(SUM(S19:S26)=$E$3,SUM(S19:S26),SUM(S19:S26)&amp;"误差"&amp;ROUND(SUM(S19:S26)-E3,2))</f>
        <v>2178.63</v>
      </c>
    </row>
    <row r="28" spans="1:19">
      <c r="A28" s="1545"/>
      <c r="B28" s="45" t="s">
        <v>1147</v>
      </c>
      <c r="C28" s="54" t="s">
        <v>1148</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5"/>
      <c r="B29" s="45" t="s">
        <v>1147</v>
      </c>
      <c r="C29" s="1551" t="s">
        <v>1149</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5"/>
      <c r="B30" s="45"/>
      <c r="C30" s="1552" t="s">
        <v>1146</v>
      </c>
      <c r="D30" s="1068">
        <f>SUM(D28:D29)</f>
        <v>0</v>
      </c>
      <c r="E30" s="1068">
        <f>SUM(E28:E29)</f>
        <v>0</v>
      </c>
      <c r="F30" s="1068">
        <f>SUM(F28:F29)</f>
        <v>0</v>
      </c>
      <c r="G30" s="1070">
        <f>SUM(G28:G29)</f>
        <v>0</v>
      </c>
      <c r="H30" s="2434"/>
      <c r="I30" s="2434"/>
      <c r="J30" s="2434"/>
      <c r="K30" s="2434"/>
      <c r="L30" s="2434"/>
      <c r="M30" s="2434"/>
      <c r="N30" s="2434"/>
      <c r="O30" s="2434"/>
      <c r="P30" s="2434"/>
    </row>
    <row r="31" spans="1:19" ht="15.75" thickBot="1">
      <c r="A31" s="1553"/>
      <c r="B31" s="96"/>
      <c r="C31" s="782" t="s">
        <v>1150</v>
      </c>
      <c r="D31" s="643">
        <f>D27+D30</f>
        <v>0</v>
      </c>
      <c r="E31" s="643">
        <f>E27+E30</f>
        <v>2178.63</v>
      </c>
      <c r="F31" s="644">
        <f>F27+F30</f>
        <v>1965.41</v>
      </c>
      <c r="G31" s="645">
        <f>G27+G30</f>
        <v>213.22</v>
      </c>
      <c r="H31" s="2434"/>
      <c r="I31" s="2434"/>
      <c r="J31" s="2434"/>
      <c r="K31" s="2434"/>
      <c r="L31" s="2434"/>
      <c r="M31" s="2434"/>
      <c r="N31" s="2434"/>
      <c r="O31" s="2434"/>
      <c r="P31" s="2434"/>
    </row>
    <row r="32" spans="1:19">
      <c r="A32" s="1522"/>
      <c r="B32" s="1522" t="s">
        <v>1151</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32"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8.6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1152</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75" thickBot="1">
      <c r="A2" s="1558" t="s">
        <v>1153</v>
      </c>
      <c r="B2" s="980">
        <f>项目基本情况!D3</f>
        <v>45943</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1154</v>
      </c>
      <c r="B4" s="1560"/>
      <c r="C4" s="1561"/>
      <c r="D4" s="1562"/>
      <c r="E4" s="1561" t="s">
        <v>1155</v>
      </c>
      <c r="F4" s="1561"/>
      <c r="G4" s="1561"/>
      <c r="H4" s="1561"/>
      <c r="I4" s="1561"/>
      <c r="J4" s="1563"/>
      <c r="K4" s="1564"/>
      <c r="L4" s="1565"/>
      <c r="M4" s="1561"/>
      <c r="N4" s="1561" t="s">
        <v>1156</v>
      </c>
      <c r="O4" s="1561"/>
      <c r="P4" s="1561"/>
      <c r="Q4" s="1561"/>
      <c r="R4" s="1561"/>
      <c r="S4" s="1563"/>
      <c r="T4" s="2433" t="str">
        <f>'数据-汇总表'!I17</f>
        <v>按面积比例</v>
      </c>
      <c r="U4" s="1560" t="s">
        <v>1157</v>
      </c>
      <c r="V4" s="1561"/>
      <c r="W4" s="1561"/>
      <c r="X4" s="1561"/>
      <c r="Y4" s="1563"/>
      <c r="Z4" s="1531" t="s">
        <v>1158</v>
      </c>
      <c r="AA4" s="1531"/>
      <c r="AB4" s="1531"/>
      <c r="AC4" s="1531"/>
      <c r="AD4" s="1531"/>
      <c r="AE4" s="1529" t="s">
        <v>1159</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1160</v>
      </c>
      <c r="B5" s="1568" t="s">
        <v>1161</v>
      </c>
      <c r="C5" s="1569" t="s">
        <v>1162</v>
      </c>
      <c r="D5" s="1570" t="s">
        <v>1163</v>
      </c>
      <c r="E5" s="504" t="s">
        <v>1164</v>
      </c>
      <c r="F5" s="1571" t="s">
        <v>1165</v>
      </c>
      <c r="G5" s="504" t="s">
        <v>1166</v>
      </c>
      <c r="H5" s="504" t="s">
        <v>1167</v>
      </c>
      <c r="I5" s="504" t="s">
        <v>1168</v>
      </c>
      <c r="J5" s="1243" t="s">
        <v>1169</v>
      </c>
      <c r="K5" s="1572" t="s">
        <v>1170</v>
      </c>
      <c r="L5" s="1573" t="s">
        <v>1171</v>
      </c>
      <c r="M5" s="1574" t="s">
        <v>1172</v>
      </c>
      <c r="N5" s="1575" t="s">
        <v>3449</v>
      </c>
      <c r="O5" s="1573" t="s">
        <v>1173</v>
      </c>
      <c r="P5" s="1576" t="s">
        <v>1174</v>
      </c>
      <c r="Q5" s="58" t="s">
        <v>1175</v>
      </c>
      <c r="R5" s="1577" t="s">
        <v>1176</v>
      </c>
      <c r="S5" s="1578" t="s">
        <v>1177</v>
      </c>
      <c r="T5" s="1579" t="s">
        <v>1178</v>
      </c>
      <c r="U5" s="981" t="s">
        <v>1179</v>
      </c>
      <c r="V5" s="504" t="s">
        <v>1180</v>
      </c>
      <c r="W5" s="504" t="s">
        <v>1181</v>
      </c>
      <c r="X5" s="60"/>
      <c r="Y5" s="59" t="s">
        <v>1182</v>
      </c>
      <c r="Z5" s="1097" t="s">
        <v>1179</v>
      </c>
      <c r="AA5" s="504" t="s">
        <v>1180</v>
      </c>
      <c r="AB5" s="504" t="s">
        <v>1181</v>
      </c>
      <c r="AC5" s="60"/>
      <c r="AD5" s="60" t="s">
        <v>1182</v>
      </c>
      <c r="AE5" s="981" t="s">
        <v>1183</v>
      </c>
      <c r="AF5" s="504" t="s">
        <v>1184</v>
      </c>
      <c r="AG5" s="59" t="s">
        <v>1185</v>
      </c>
      <c r="AH5" s="981" t="s">
        <v>1186</v>
      </c>
      <c r="AI5" s="1097" t="s">
        <v>1187</v>
      </c>
      <c r="AJ5" s="1097" t="s">
        <v>1188</v>
      </c>
      <c r="AK5" s="504" t="s">
        <v>1189</v>
      </c>
      <c r="AL5" s="504" t="s">
        <v>1190</v>
      </c>
      <c r="AM5" s="59" t="s">
        <v>1191</v>
      </c>
      <c r="AN5" s="1580" t="s">
        <v>1192</v>
      </c>
      <c r="AO5" s="1450" t="s">
        <v>1193</v>
      </c>
      <c r="AP5" s="964" t="s">
        <v>1194</v>
      </c>
      <c r="AQ5" s="1581" t="s">
        <v>1195</v>
      </c>
      <c r="AR5" s="1581" t="s">
        <v>1196</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501办公</v>
      </c>
      <c r="B6" s="1583" t="str">
        <f>IF(A6=0,"","经营性")</f>
        <v>经营性</v>
      </c>
      <c r="C6" s="1584" t="s">
        <v>21</v>
      </c>
      <c r="D6" s="802">
        <f>SUMIF(项目基本情况!C$12:I$12,C6,项目基本情况!C$14:I$14)</f>
        <v>50</v>
      </c>
      <c r="E6" s="801">
        <f>IF(B6="","",SUMIF(项目基本情况!C$12:I$12,C6,项目基本情况!C$13:I$13))</f>
        <v>56491</v>
      </c>
      <c r="F6" s="61">
        <f>SUMIF(项目基本情况!C$12:I$12,C6,项目基本情况!C$15:I$15)</f>
        <v>28.89</v>
      </c>
      <c r="G6" s="62">
        <f>IF(ISERROR(ROUND(POWER(1+H6,D6-F6)*(POWER(1+H6,F6)-1)/(POWER(1+H6,D6)-1),3)),0,ROUND(POWER(1+H6,D6-F6)*(POWER(1+H6,F6)-1)/(POWER(1+H6,D6)-1),3))</f>
        <v>0.82799999999999996</v>
      </c>
      <c r="H6" s="691">
        <v>0.05</v>
      </c>
      <c r="I6" s="691">
        <v>5.5E-2</v>
      </c>
      <c r="J6" s="63">
        <v>7.0000000000000007E-2</v>
      </c>
      <c r="K6" s="966">
        <f>SUMIF('数据-汇总表'!C$19:C$33,A6,'数据-汇总表'!E$19:E$33)</f>
        <v>390.5</v>
      </c>
      <c r="L6" s="692">
        <v>4500</v>
      </c>
      <c r="M6" s="64">
        <f t="shared" ref="M6:M14" si="0">ROUND(K6*L6/10000,0)</f>
        <v>176</v>
      </c>
      <c r="N6" s="690">
        <f>N22</f>
        <v>0.81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6</v>
      </c>
      <c r="V6" s="67">
        <v>0.02</v>
      </c>
      <c r="W6" s="67">
        <v>0.1</v>
      </c>
      <c r="X6" s="975"/>
      <c r="Y6" s="68">
        <f>N6</f>
        <v>0.81</v>
      </c>
      <c r="Z6" s="69"/>
      <c r="AA6" s="63"/>
      <c r="AB6" s="63"/>
      <c r="AC6" s="975"/>
      <c r="AD6" s="70"/>
      <c r="AE6" s="976">
        <f ca="1">IF(AN6="",0,SUMIF(INDIRECT("'"&amp;AN6&amp;"'"&amp;"!E:E"),$AE$5,INDIRECT("'"&amp;AN6&amp;"'"&amp;"!F:F")))</f>
        <v>28.89</v>
      </c>
      <c r="AF6" s="74"/>
      <c r="AG6" s="130">
        <f>IF(AF6="",0,AE6-AF6)</f>
        <v>0</v>
      </c>
      <c r="AH6" s="71"/>
      <c r="AI6" s="73">
        <v>365</v>
      </c>
      <c r="AJ6" s="74"/>
      <c r="AK6" s="75">
        <v>2E-3</v>
      </c>
      <c r="AL6" s="76">
        <v>1E-3</v>
      </c>
      <c r="AM6" s="77">
        <v>0.01</v>
      </c>
      <c r="AN6" s="1585" t="s">
        <v>3450</v>
      </c>
      <c r="AO6" s="50">
        <f ca="1">SUMIF(INDIRECT("'"&amp;AN6&amp;"'"&amp;"!A:A"),"总价",INDIRECT("'"&amp;AN6&amp;"'"&amp;"!B:B"))</f>
        <v>1265.9275</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其他办公</v>
      </c>
      <c r="B7" s="1583" t="str">
        <f t="shared" ref="B7:B13" si="1">IF(A7=0,"","经营性")</f>
        <v>经营性</v>
      </c>
      <c r="C7" s="1584" t="s">
        <v>21</v>
      </c>
      <c r="D7" s="802">
        <f>SUMIF(项目基本情况!C$12:I$12,C7,项目基本情况!C$14:I$14)</f>
        <v>50</v>
      </c>
      <c r="E7" s="801">
        <f>IF(B7="","",SUMIF(项目基本情况!C$12:I$12,C7,项目基本情况!C$13:I$13))</f>
        <v>56491</v>
      </c>
      <c r="F7" s="61">
        <f>SUMIF(项目基本情况!C$12:I$12,C7,项目基本情况!C$15:I$15)</f>
        <v>28.89</v>
      </c>
      <c r="G7" s="62">
        <f t="shared" ref="G7:G11" si="2">IF(ISERROR(ROUND(POWER(1+H7,D7-F7)*(POWER(1+H7,F7)-1)/(POWER(1+H7,D7)-1),3)),0,ROUND(POWER(1+H7,D7-F7)*(POWER(1+H7,F7)-1)/(POWER(1+H7,D7)-1),3))</f>
        <v>0.82799999999999996</v>
      </c>
      <c r="H7" s="691">
        <v>0.05</v>
      </c>
      <c r="I7" s="691">
        <v>5.5E-2</v>
      </c>
      <c r="J7" s="63">
        <v>7.0000000000000007E-2</v>
      </c>
      <c r="K7" s="966">
        <f>SUMIF('数据-汇总表'!C$19:C$33,A7,'数据-汇总表'!E$19:E$33)</f>
        <v>1574.91</v>
      </c>
      <c r="L7" s="692">
        <v>4500</v>
      </c>
      <c r="M7" s="64">
        <f t="shared" si="0"/>
        <v>709</v>
      </c>
      <c r="N7" s="690">
        <f>N6</f>
        <v>0.81</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c r="V7" s="67"/>
      <c r="W7" s="67"/>
      <c r="X7" s="975"/>
      <c r="Y7" s="68">
        <f t="shared" ref="Y7:Y9" si="6">N7</f>
        <v>0.81</v>
      </c>
      <c r="Z7" s="69"/>
      <c r="AA7" s="63"/>
      <c r="AB7" s="63"/>
      <c r="AC7" s="975"/>
      <c r="AD7" s="70"/>
      <c r="AE7" s="976">
        <f t="shared" ref="AE7:AE13" ca="1" si="7">IF(AN7="",0,SUMIF(INDIRECT("'"&amp;AN7&amp;"'"&amp;"!E:E"),$AE$5,INDIRECT("'"&amp;AN7&amp;"'"&amp;"!F:F")))</f>
        <v>0</v>
      </c>
      <c r="AF7" s="74"/>
      <c r="AG7" s="130">
        <f t="shared" ref="AG7:AG13" si="8">IF(AF7="",0,AE7-AF7)</f>
        <v>0</v>
      </c>
      <c r="AH7" s="71"/>
      <c r="AI7" s="73"/>
      <c r="AJ7" s="74"/>
      <c r="AK7" s="75">
        <v>2E-3</v>
      </c>
      <c r="AL7" s="76">
        <v>1E-3</v>
      </c>
      <c r="AM7" s="77">
        <v>0.01</v>
      </c>
      <c r="AN7" s="1585"/>
      <c r="AO7" s="50" t="e">
        <f t="shared" ref="AO7:AO13" ca="1" si="9">SUMIF(INDIRECT("'"&amp;AN7&amp;"'"&amp;"!A:A"),"总价",INDIRECT("'"&amp;AN7&amp;"'"&amp;"!B:B"))</f>
        <v>#REF!</v>
      </c>
      <c r="AP7" s="1586">
        <f t="shared" ref="AP7:AP13" si="10">IF(C7="住宅",K7*L7,0)</f>
        <v>0</v>
      </c>
      <c r="AQ7" s="50">
        <f t="shared" ref="AQ7:AQ13" si="11">ROUND($L$14*$N$14*S7/10000,0)</f>
        <v>0</v>
      </c>
      <c r="AR7" s="50">
        <f t="shared" ref="AR7:AR13" si="12">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056车位</v>
      </c>
      <c r="B8" s="1583" t="str">
        <f t="shared" si="1"/>
        <v>经营性</v>
      </c>
      <c r="C8" s="1584" t="s">
        <v>21</v>
      </c>
      <c r="D8" s="802">
        <f>SUMIF(项目基本情况!C$12:I$12,C8,项目基本情况!C$14:I$14)</f>
        <v>50</v>
      </c>
      <c r="E8" s="801">
        <f>IF(B8="","",SUMIF(项目基本情况!C$12:I$12,C8,项目基本情况!C$13:I$13))</f>
        <v>56491</v>
      </c>
      <c r="F8" s="61">
        <f>SUMIF(项目基本情况!C$12:I$12,C8,项目基本情况!C$15:I$15)</f>
        <v>28.89</v>
      </c>
      <c r="G8" s="62">
        <f t="shared" si="2"/>
        <v>0.82799999999999996</v>
      </c>
      <c r="H8" s="691">
        <v>0.05</v>
      </c>
      <c r="I8" s="691">
        <v>5.5E-2</v>
      </c>
      <c r="J8" s="63">
        <v>7.0000000000000007E-2</v>
      </c>
      <c r="K8" s="966">
        <f>SUMIF('数据-汇总表'!C$19:C$33,A8,'数据-汇总表'!E$19:E$33)</f>
        <v>53.53</v>
      </c>
      <c r="L8" s="692">
        <v>4000</v>
      </c>
      <c r="M8" s="64">
        <f>ROUND(K8*L8/10000,0)</f>
        <v>21</v>
      </c>
      <c r="N8" s="690">
        <f t="shared" ref="N8:N13" si="13">N7</f>
        <v>0.81</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88">
        <f t="shared" si="5"/>
        <v>0</v>
      </c>
      <c r="U8" s="3122">
        <v>1200</v>
      </c>
      <c r="V8" s="67">
        <v>1.4999999999999999E-2</v>
      </c>
      <c r="W8" s="67">
        <v>0.1</v>
      </c>
      <c r="X8" s="975"/>
      <c r="Y8" s="68">
        <f t="shared" si="6"/>
        <v>0.81</v>
      </c>
      <c r="Z8" s="69"/>
      <c r="AA8" s="63"/>
      <c r="AB8" s="63"/>
      <c r="AC8" s="975"/>
      <c r="AD8" s="70"/>
      <c r="AE8" s="976">
        <f t="shared" ca="1" si="7"/>
        <v>28.89</v>
      </c>
      <c r="AF8" s="74"/>
      <c r="AG8" s="130">
        <f t="shared" si="8"/>
        <v>0</v>
      </c>
      <c r="AH8" s="694">
        <v>1</v>
      </c>
      <c r="AI8" s="73">
        <v>12</v>
      </c>
      <c r="AJ8" s="74"/>
      <c r="AK8" s="75">
        <v>2E-3</v>
      </c>
      <c r="AL8" s="76">
        <v>1E-3</v>
      </c>
      <c r="AM8" s="77">
        <v>0.01</v>
      </c>
      <c r="AN8" s="1585" t="s">
        <v>3452</v>
      </c>
      <c r="AO8" s="50">
        <f t="shared" ca="1" si="9"/>
        <v>20.2121</v>
      </c>
      <c r="AP8" s="1586">
        <f t="shared" si="10"/>
        <v>0</v>
      </c>
      <c r="AQ8" s="50">
        <f t="shared" si="11"/>
        <v>0</v>
      </c>
      <c r="AR8" s="50">
        <f t="shared" si="12"/>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其他车位</v>
      </c>
      <c r="B9" s="1583" t="str">
        <f t="shared" si="1"/>
        <v>经营性</v>
      </c>
      <c r="C9" s="1584" t="s">
        <v>21</v>
      </c>
      <c r="D9" s="802">
        <f>SUMIF(项目基本情况!C$12:I$12,C9,项目基本情况!C$14:I$14)</f>
        <v>50</v>
      </c>
      <c r="E9" s="801">
        <f>IF(B9="","",SUMIF(项目基本情况!C$12:I$12,C9,项目基本情况!C$13:I$13))</f>
        <v>56491</v>
      </c>
      <c r="F9" s="61">
        <f>SUMIF(项目基本情况!C$12:I$12,C9,项目基本情况!C$15:I$15)</f>
        <v>28.89</v>
      </c>
      <c r="G9" s="62">
        <f t="shared" si="2"/>
        <v>0.82799999999999996</v>
      </c>
      <c r="H9" s="691">
        <v>0.05</v>
      </c>
      <c r="I9" s="691">
        <v>5.5E-2</v>
      </c>
      <c r="J9" s="63">
        <v>7.0000000000000007E-2</v>
      </c>
      <c r="K9" s="966">
        <f>SUMIF('数据-汇总表'!C$19:C$33,A9,'数据-汇总表'!E$19:E$33)</f>
        <v>159.69</v>
      </c>
      <c r="L9" s="692">
        <v>4000</v>
      </c>
      <c r="M9" s="64">
        <f t="shared" si="0"/>
        <v>64</v>
      </c>
      <c r="N9" s="690">
        <f t="shared" si="13"/>
        <v>0.81</v>
      </c>
      <c r="O9" s="64" t="str">
        <f t="shared" si="3"/>
        <v>——</v>
      </c>
      <c r="P9" s="65" t="str">
        <f t="shared" si="4"/>
        <v>——</v>
      </c>
      <c r="Q9" s="693">
        <v>0.05</v>
      </c>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f t="shared" si="6"/>
        <v>0.81</v>
      </c>
      <c r="Z9" s="69"/>
      <c r="AA9" s="63"/>
      <c r="AB9" s="63"/>
      <c r="AC9" s="975"/>
      <c r="AD9" s="70"/>
      <c r="AE9" s="976">
        <f t="shared" ca="1" si="7"/>
        <v>0</v>
      </c>
      <c r="AF9" s="74"/>
      <c r="AG9" s="130">
        <f t="shared" si="8"/>
        <v>0</v>
      </c>
      <c r="AH9" s="71"/>
      <c r="AI9" s="73"/>
      <c r="AJ9" s="74"/>
      <c r="AK9" s="75">
        <v>2E-3</v>
      </c>
      <c r="AL9" s="76">
        <v>1E-3</v>
      </c>
      <c r="AM9" s="77">
        <v>0.01</v>
      </c>
      <c r="AN9" s="1585"/>
      <c r="AO9" s="50" t="e">
        <f t="shared" ca="1" si="9"/>
        <v>#REF!</v>
      </c>
      <c r="AP9" s="1586">
        <f t="shared" si="10"/>
        <v>0</v>
      </c>
      <c r="AQ9" s="50">
        <f t="shared" si="11"/>
        <v>0</v>
      </c>
      <c r="AR9" s="50">
        <f t="shared" si="12"/>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2"/>
      <c r="M10" s="64">
        <f t="shared" si="0"/>
        <v>0</v>
      </c>
      <c r="N10" s="690">
        <f t="shared" si="13"/>
        <v>0.81</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90">
        <f t="shared" si="13"/>
        <v>0.81</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f t="shared" si="13"/>
        <v>0.81</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690">
        <f t="shared" si="13"/>
        <v>0.81</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1197</v>
      </c>
      <c r="B14" s="1583" t="s">
        <v>1198</v>
      </c>
      <c r="C14" s="1588" t="s">
        <v>1197</v>
      </c>
      <c r="D14" s="802"/>
      <c r="E14" s="801"/>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1199</v>
      </c>
      <c r="B15" s="1583" t="s">
        <v>1198</v>
      </c>
      <c r="C15" s="1588" t="s">
        <v>1200</v>
      </c>
      <c r="D15" s="802"/>
      <c r="E15" s="801"/>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1201</v>
      </c>
      <c r="B16" s="82"/>
      <c r="C16" s="780"/>
      <c r="D16" s="1590"/>
      <c r="E16" s="82"/>
      <c r="F16" s="82"/>
      <c r="G16" s="83">
        <f>ROUND(SUMPRODUCT(G6:G13,K6:K13)/SUMPRODUCT((G6:G13&gt;0)*(K6:K13)),3)</f>
        <v>0.82799999999999996</v>
      </c>
      <c r="H16" s="84">
        <f>ROUND(SUMPRODUCT(H6:H13,K6:K13)/SUMPRODUCT((H6:H13&gt;0)*(K6:K13)),3)</f>
        <v>0.05</v>
      </c>
      <c r="I16" s="85"/>
      <c r="J16" s="85"/>
      <c r="K16" s="86">
        <f>SUM(K6:K15)</f>
        <v>2178.63</v>
      </c>
      <c r="L16" s="87">
        <f>ROUND(M16*10000/SUM(K6:K14),0)</f>
        <v>4452</v>
      </c>
      <c r="M16" s="87">
        <f>SUM(M6:M14)</f>
        <v>970</v>
      </c>
      <c r="N16" s="88">
        <f>ROUND(SUMPRODUCT(M6:M14,N6:N14)/M16,3)</f>
        <v>0.81</v>
      </c>
      <c r="O16" s="87">
        <f>SUM(O6:O14)</f>
        <v>0</v>
      </c>
      <c r="P16" s="87">
        <f>SUM(P6:P14)</f>
        <v>0</v>
      </c>
      <c r="Q16" s="89">
        <f>ROUND(SUMPRODUCT(Q6:Q13,K6:K13)/SUMPRODUCT((Q6:Q13&gt;0)*(K6:K13)),2)</f>
        <v>0.19</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1202</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2" t="s">
        <v>1203</v>
      </c>
      <c r="B19" s="97">
        <v>0</v>
      </c>
      <c r="C19" s="2556" t="s">
        <v>2284</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3" t="s">
        <v>1204</v>
      </c>
      <c r="B20" s="98">
        <v>2</v>
      </c>
      <c r="C20" s="2557" t="s">
        <v>2282</v>
      </c>
      <c r="D20" s="2447"/>
      <c r="E20" s="2434"/>
      <c r="F20" s="2434"/>
      <c r="G20" s="2434"/>
      <c r="H20" s="2434"/>
      <c r="I20" s="2434"/>
      <c r="J20" s="2434"/>
      <c r="K20" s="2445"/>
      <c r="L20" s="2445"/>
      <c r="M20" s="2444"/>
      <c r="N20" s="2444">
        <v>2008</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4" t="s">
        <v>1205</v>
      </c>
      <c r="B21" s="98">
        <f>B20</f>
        <v>2</v>
      </c>
      <c r="C21" s="2434"/>
      <c r="D21" s="2447"/>
      <c r="E21" s="2434"/>
      <c r="F21" s="2434"/>
      <c r="G21" s="2434"/>
      <c r="H21" s="2434"/>
      <c r="I21" s="2434"/>
      <c r="J21" s="2434"/>
      <c r="K21" s="2445"/>
      <c r="L21" s="2445"/>
      <c r="M21" s="2444"/>
      <c r="N21" s="3165">
        <f>ROUND(1-(2025-N20)/60,2)</f>
        <v>0.72</v>
      </c>
      <c r="O21" s="3166">
        <v>0.9</v>
      </c>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3" t="s">
        <v>1206</v>
      </c>
      <c r="B22" s="99">
        <f>B19+B20</f>
        <v>2</v>
      </c>
      <c r="C22" s="2434"/>
      <c r="D22" s="2447"/>
      <c r="E22" s="2434"/>
      <c r="F22" s="2434"/>
      <c r="G22" s="2434"/>
      <c r="H22" s="2434"/>
      <c r="I22" s="2434"/>
      <c r="J22" s="2434"/>
      <c r="K22" s="2445"/>
      <c r="L22" s="2445"/>
      <c r="M22" s="2444"/>
      <c r="N22" s="3165">
        <f>ROUND(N21*0.5+O21*0.5,2)</f>
        <v>0.81</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4" t="s">
        <v>1207</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1208</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1209</v>
      </c>
      <c r="B26" s="1596" t="s">
        <v>1210</v>
      </c>
      <c r="C26" s="2448" t="s">
        <v>1211</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7" t="s">
        <v>1212</v>
      </c>
      <c r="B27" s="101">
        <v>160</v>
      </c>
      <c r="C27" s="2558" t="s">
        <v>2286</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8" t="s">
        <v>1213</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599" t="s">
        <v>1214</v>
      </c>
      <c r="B29" s="105"/>
      <c r="C29" s="2559" t="s">
        <v>2276</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0" t="s">
        <v>1215</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8" t="s">
        <v>1216</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1" t="s">
        <v>1217</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7" t="s">
        <v>1218</v>
      </c>
      <c r="B33" s="640">
        <v>0.05</v>
      </c>
      <c r="C33" s="2560" t="s">
        <v>3362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8" t="s">
        <v>1219</v>
      </c>
      <c r="B34" s="106">
        <v>0</v>
      </c>
      <c r="C34" s="2560" t="s">
        <v>2277</v>
      </c>
      <c r="D34" s="2455" t="s">
        <v>2283</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8" t="s">
        <v>1220</v>
      </c>
      <c r="B35" s="103">
        <v>200</v>
      </c>
      <c r="C35" s="2560" t="s">
        <v>2278</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1221</v>
      </c>
      <c r="B36" s="107">
        <v>0.02</v>
      </c>
      <c r="C36" s="2560" t="s">
        <v>3380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0" t="s">
        <v>1222</v>
      </c>
      <c r="B37" s="108">
        <v>0.02</v>
      </c>
      <c r="C37" s="2560" t="s">
        <v>3363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8" t="s">
        <v>1223</v>
      </c>
      <c r="B38" s="106">
        <v>0.02</v>
      </c>
      <c r="C38" s="2560" t="s">
        <v>3364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1" t="s">
        <v>1224</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2292</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7" t="s">
        <v>1225</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2" t="s">
        <v>1226</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2" t="s">
        <v>1227</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3" t="s">
        <v>1228</v>
      </c>
      <c r="B44" s="112">
        <v>7.0000000000000007E-2</v>
      </c>
      <c r="C44" s="2560" t="s">
        <v>3365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3" t="s">
        <v>1229</v>
      </c>
      <c r="B45" s="110">
        <v>0.03</v>
      </c>
      <c r="C45" s="2559" t="s">
        <v>2279</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3" t="s">
        <v>1230</v>
      </c>
      <c r="B46" s="110">
        <v>0.02</v>
      </c>
      <c r="C46" s="2559" t="s">
        <v>2280</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1231</v>
      </c>
      <c r="B47" s="113">
        <v>0</v>
      </c>
      <c r="C47" s="2562" t="s">
        <v>2287</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5" t="s">
        <v>1232</v>
      </c>
      <c r="B48" s="114">
        <v>0.03</v>
      </c>
      <c r="C48" s="2559" t="s">
        <v>2279</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1233</v>
      </c>
      <c r="B49" s="110">
        <v>5.0000000000000001E-4</v>
      </c>
      <c r="C49" s="2559" t="s">
        <v>2281</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6" t="s">
        <v>1234</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1235</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6" t="s">
        <v>1236</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8" t="s">
        <v>1237</v>
      </c>
      <c r="B53" s="1607"/>
      <c r="C53" s="2435" t="s">
        <v>1238</v>
      </c>
      <c r="D53" s="2561" t="s">
        <v>2285</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8" t="s">
        <v>1239</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8" t="s">
        <v>1240</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8" t="s">
        <v>1241</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8" t="s">
        <v>1242</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8" t="s">
        <v>1243</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8" t="s">
        <v>1244</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8" t="s">
        <v>1245</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8" t="s">
        <v>1246</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8" t="s">
        <v>1247</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1248</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8"/>
  </cols>
  <sheetData>
    <row r="1" spans="1:29" s="2254" customFormat="1" ht="18.75" thickBot="1">
      <c r="A1" s="3265" t="s">
        <v>2268</v>
      </c>
      <c r="B1" s="3266"/>
      <c r="C1" s="3266"/>
      <c r="D1" s="3266"/>
      <c r="E1" s="3266"/>
      <c r="F1" s="3266"/>
      <c r="G1" s="326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2265</v>
      </c>
      <c r="D2" s="1591"/>
      <c r="E2" s="2255"/>
      <c r="F2" s="2258"/>
      <c r="G2" s="2257" t="s">
        <v>2266</v>
      </c>
      <c r="H2" s="748"/>
      <c r="I2" s="748"/>
      <c r="J2" s="748"/>
      <c r="K2" s="748"/>
      <c r="L2" s="748"/>
      <c r="M2" s="748"/>
      <c r="N2" s="748"/>
      <c r="O2" s="748"/>
      <c r="P2" s="748"/>
      <c r="Q2" s="748"/>
    </row>
    <row r="3" spans="1:29" ht="24">
      <c r="A3" s="2242" t="s">
        <v>2267</v>
      </c>
      <c r="B3" s="2259" t="s">
        <v>2243</v>
      </c>
      <c r="C3" s="2260"/>
      <c r="D3" s="2261"/>
      <c r="E3" s="2243" t="s">
        <v>2267</v>
      </c>
      <c r="F3" s="2262" t="s">
        <v>2244</v>
      </c>
      <c r="G3" s="2263"/>
      <c r="H3" s="748"/>
      <c r="I3" s="748"/>
      <c r="J3" s="748"/>
      <c r="K3" s="748"/>
      <c r="L3" s="748"/>
      <c r="M3" s="748"/>
      <c r="N3" s="748"/>
      <c r="O3" s="748"/>
      <c r="P3" s="748"/>
      <c r="Q3" s="748"/>
    </row>
    <row r="4" spans="1:29">
      <c r="A4" s="2243"/>
      <c r="B4" s="315" t="s">
        <v>2245</v>
      </c>
      <c r="C4" s="2264"/>
      <c r="D4" s="2261"/>
      <c r="E4" s="2265"/>
      <c r="F4" s="1277" t="s">
        <v>2246</v>
      </c>
      <c r="G4" s="2266"/>
      <c r="H4" s="748"/>
      <c r="I4" s="748"/>
      <c r="J4" s="748"/>
      <c r="K4" s="748"/>
      <c r="L4" s="748"/>
      <c r="M4" s="748"/>
      <c r="N4" s="748"/>
      <c r="O4" s="748"/>
      <c r="P4" s="748"/>
      <c r="Q4" s="748"/>
    </row>
    <row r="5" spans="1:29">
      <c r="A5" s="2243"/>
      <c r="B5" s="315" t="s">
        <v>2247</v>
      </c>
      <c r="C5" s="2264"/>
      <c r="D5" s="2261"/>
      <c r="E5" s="2265"/>
      <c r="F5" s="315" t="s">
        <v>2248</v>
      </c>
      <c r="G5" s="2266"/>
      <c r="H5" s="748"/>
      <c r="I5" s="748"/>
      <c r="J5" s="748"/>
      <c r="K5" s="748"/>
      <c r="L5" s="748"/>
      <c r="M5" s="748"/>
      <c r="N5" s="748"/>
      <c r="O5" s="748"/>
      <c r="P5" s="748"/>
      <c r="Q5" s="748"/>
    </row>
    <row r="6" spans="1:29">
      <c r="A6" s="2243"/>
      <c r="B6" s="315" t="s">
        <v>2249</v>
      </c>
      <c r="C6" s="2266"/>
      <c r="D6" s="2261"/>
      <c r="E6" s="2265"/>
      <c r="F6" s="315" t="s">
        <v>2250</v>
      </c>
      <c r="G6" s="2266"/>
      <c r="H6" s="748"/>
      <c r="I6" s="748"/>
      <c r="J6" s="748"/>
      <c r="K6" s="748"/>
      <c r="L6" s="748"/>
      <c r="M6" s="748"/>
      <c r="N6" s="748"/>
      <c r="O6" s="748"/>
      <c r="P6" s="748"/>
      <c r="Q6" s="748"/>
    </row>
    <row r="7" spans="1:29" ht="15" thickBot="1">
      <c r="A7" s="2243"/>
      <c r="B7" s="315" t="s">
        <v>2248</v>
      </c>
      <c r="C7" s="2266"/>
      <c r="D7" s="2240"/>
      <c r="E7" s="2267"/>
      <c r="F7" s="2268" t="s">
        <v>2251</v>
      </c>
      <c r="G7" s="2269"/>
      <c r="H7" s="748"/>
      <c r="I7" s="748"/>
      <c r="J7" s="748"/>
      <c r="K7" s="748"/>
      <c r="L7" s="748"/>
      <c r="M7" s="748"/>
      <c r="N7" s="748"/>
      <c r="O7" s="748"/>
      <c r="P7" s="748"/>
      <c r="Q7" s="748"/>
    </row>
    <row r="8" spans="1:29">
      <c r="A8" s="2243"/>
      <c r="B8" s="315" t="s">
        <v>2250</v>
      </c>
      <c r="C8" s="2266"/>
      <c r="D8" s="2240"/>
      <c r="E8" s="2240"/>
      <c r="F8" s="121"/>
      <c r="G8" s="121"/>
      <c r="H8" s="748"/>
      <c r="I8" s="748"/>
      <c r="J8" s="748"/>
      <c r="K8" s="748"/>
      <c r="L8" s="748"/>
      <c r="M8" s="748"/>
      <c r="N8" s="748"/>
      <c r="O8" s="748"/>
      <c r="P8" s="748"/>
      <c r="Q8" s="748"/>
    </row>
    <row r="9" spans="1:29">
      <c r="A9" s="2243"/>
      <c r="B9" s="315" t="s">
        <v>2252</v>
      </c>
      <c r="C9" s="2264"/>
      <c r="D9" s="2261"/>
      <c r="E9" s="2240"/>
      <c r="F9" s="121"/>
      <c r="G9" s="121"/>
      <c r="H9" s="748"/>
      <c r="I9" s="748"/>
      <c r="J9" s="748"/>
      <c r="K9" s="748"/>
      <c r="L9" s="748"/>
      <c r="M9" s="748"/>
      <c r="N9" s="748"/>
      <c r="O9" s="748"/>
      <c r="P9" s="748"/>
      <c r="Q9" s="748"/>
    </row>
    <row r="10" spans="1:29" ht="15" thickBot="1">
      <c r="A10" s="2244"/>
      <c r="B10" s="2270" t="s">
        <v>2253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2269</v>
      </c>
      <c r="B13" s="2275"/>
      <c r="C13" s="2275"/>
      <c r="D13" s="2274"/>
      <c r="E13" s="2275"/>
      <c r="F13" s="2275"/>
      <c r="G13" s="2275"/>
    </row>
    <row r="14" spans="1:29" ht="15" thickBot="1">
      <c r="A14" s="2280"/>
      <c r="B14" s="2280"/>
      <c r="C14" s="2281" t="s">
        <v>2254</v>
      </c>
      <c r="D14" s="2261"/>
      <c r="E14" s="2282"/>
      <c r="F14" s="2282"/>
      <c r="G14" s="2257" t="s">
        <v>2255</v>
      </c>
    </row>
    <row r="15" spans="1:29" ht="24">
      <c r="A15" s="2245" t="s">
        <v>2256</v>
      </c>
      <c r="B15" s="2283" t="s">
        <v>2243</v>
      </c>
      <c r="C15" s="2284">
        <f>C3</f>
        <v>0</v>
      </c>
      <c r="D15" s="2261"/>
      <c r="E15" s="2246" t="s">
        <v>2257</v>
      </c>
      <c r="F15" s="2283" t="s">
        <v>2258</v>
      </c>
      <c r="G15" s="2285">
        <f>G3</f>
        <v>0</v>
      </c>
    </row>
    <row r="16" spans="1:29">
      <c r="A16" s="2247"/>
      <c r="B16" s="2286" t="s">
        <v>2245</v>
      </c>
      <c r="C16" s="2287">
        <f>C4</f>
        <v>0</v>
      </c>
      <c r="D16" s="2261"/>
      <c r="E16" s="2248"/>
      <c r="F16" s="2288" t="s">
        <v>2246</v>
      </c>
      <c r="G16" s="2289">
        <f>G4</f>
        <v>0</v>
      </c>
    </row>
    <row r="17" spans="1:17">
      <c r="A17" s="2247"/>
      <c r="B17" s="2286" t="s">
        <v>2247</v>
      </c>
      <c r="C17" s="2287">
        <f>C5</f>
        <v>0</v>
      </c>
      <c r="D17" s="2240"/>
      <c r="E17" s="2248"/>
      <c r="F17" s="2288" t="s">
        <v>2259</v>
      </c>
      <c r="G17" s="2290"/>
    </row>
    <row r="18" spans="1:17">
      <c r="A18" s="2247"/>
      <c r="B18" s="2288" t="s">
        <v>2249</v>
      </c>
      <c r="C18" s="2289">
        <f>C6</f>
        <v>0</v>
      </c>
      <c r="D18" s="2240"/>
      <c r="E18" s="2248"/>
      <c r="F18" s="2288" t="s">
        <v>2251</v>
      </c>
      <c r="G18" s="2289">
        <f>G7</f>
        <v>0</v>
      </c>
    </row>
    <row r="19" spans="1:17">
      <c r="A19" s="2247"/>
      <c r="B19" s="2288" t="s">
        <v>2260</v>
      </c>
      <c r="C19" s="2290"/>
      <c r="D19" s="2261"/>
      <c r="E19" s="2248"/>
      <c r="F19" s="315" t="s">
        <v>2248</v>
      </c>
      <c r="G19" s="2289">
        <f>G5</f>
        <v>0</v>
      </c>
    </row>
    <row r="20" spans="1:17">
      <c r="A20" s="2247"/>
      <c r="B20" s="2288" t="s">
        <v>2261</v>
      </c>
      <c r="C20" s="2287">
        <f>C9</f>
        <v>0</v>
      </c>
      <c r="D20" s="2240"/>
      <c r="E20" s="2248"/>
      <c r="F20" s="315" t="s">
        <v>2250</v>
      </c>
      <c r="G20" s="2289">
        <f>G6</f>
        <v>0</v>
      </c>
    </row>
    <row r="21" spans="1:17">
      <c r="A21" s="2247"/>
      <c r="B21" s="315" t="s">
        <v>2248</v>
      </c>
      <c r="C21" s="2289">
        <f>C7</f>
        <v>0</v>
      </c>
      <c r="D21" s="2261"/>
      <c r="E21" s="2248"/>
      <c r="F21" s="2288" t="s">
        <v>2262</v>
      </c>
      <c r="G21" s="2291"/>
    </row>
    <row r="22" spans="1:17" ht="13.5" customHeight="1">
      <c r="A22" s="2247"/>
      <c r="B22" s="315" t="s">
        <v>2250</v>
      </c>
      <c r="C22" s="2289">
        <f>C8</f>
        <v>0</v>
      </c>
      <c r="D22" s="2261"/>
      <c r="E22" s="2248"/>
      <c r="F22" s="2288" t="s">
        <v>2253</v>
      </c>
      <c r="G22" s="2290"/>
    </row>
    <row r="23" spans="1:17" s="748" customFormat="1" ht="15" thickBot="1">
      <c r="A23" s="2247"/>
      <c r="B23" s="2288" t="s">
        <v>2262</v>
      </c>
      <c r="C23" s="2291"/>
      <c r="D23" s="1610"/>
      <c r="E23" s="2249"/>
      <c r="F23" s="2292" t="s">
        <v>2263</v>
      </c>
      <c r="G23" s="2293"/>
      <c r="H23" s="2272"/>
      <c r="I23" s="2272"/>
      <c r="J23" s="2272"/>
      <c r="K23" s="2272"/>
      <c r="L23" s="2272"/>
      <c r="M23" s="2272"/>
      <c r="N23" s="2272"/>
      <c r="O23" s="2272"/>
      <c r="P23" s="2272"/>
      <c r="Q23" s="2272"/>
    </row>
    <row r="24" spans="1:17" s="748" customFormat="1" ht="15" thickBot="1">
      <c r="A24" s="2250"/>
      <c r="B24" s="2292" t="s">
        <v>2264</v>
      </c>
      <c r="C24" s="2294">
        <f>C10</f>
        <v>0</v>
      </c>
      <c r="D24" s="1610"/>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6" sqref="B6:C6"/>
    </sheetView>
  </sheetViews>
  <sheetFormatPr defaultColWidth="9" defaultRowHeight="13.5"/>
  <cols>
    <col min="1" max="1" width="25" style="2296" customWidth="1"/>
    <col min="2" max="9" width="15.75" style="2296" customWidth="1"/>
    <col min="10" max="16384" width="9" style="2296"/>
  </cols>
  <sheetData>
    <row r="1" spans="1:11" ht="16.5">
      <c r="A1" s="2295" t="s">
        <v>657</v>
      </c>
      <c r="B1" s="2295">
        <f>SUM(B14:B23)</f>
        <v>2178.63</v>
      </c>
      <c r="C1" s="2457"/>
      <c r="D1" s="2457"/>
      <c r="E1" s="2457"/>
      <c r="F1" s="2457"/>
      <c r="G1" s="2458"/>
      <c r="H1" s="2458"/>
      <c r="I1" s="2458"/>
      <c r="J1" s="2458"/>
      <c r="K1" s="2458"/>
    </row>
    <row r="2" spans="1:11" ht="16.5">
      <c r="A2" s="2295" t="s">
        <v>645</v>
      </c>
      <c r="B2" s="2295">
        <f>SUM(C14:C23)</f>
        <v>0</v>
      </c>
      <c r="C2" s="2457"/>
      <c r="D2" s="2457"/>
      <c r="E2" s="2457"/>
      <c r="F2" s="2457"/>
      <c r="G2" s="2458"/>
      <c r="H2" s="2458"/>
      <c r="I2" s="2458"/>
      <c r="J2" s="2458"/>
      <c r="K2" s="2458"/>
    </row>
    <row r="3" spans="1:11" ht="16.5">
      <c r="A3" s="2295" t="s">
        <v>654</v>
      </c>
      <c r="B3" s="2297">
        <f>项目基本情况!D3</f>
        <v>45943</v>
      </c>
      <c r="C3" s="2457"/>
      <c r="D3" s="2457"/>
      <c r="E3" s="2457"/>
      <c r="F3" s="2457"/>
      <c r="G3" s="2458"/>
      <c r="H3" s="2458"/>
      <c r="I3" s="2458"/>
      <c r="J3" s="2458"/>
      <c r="K3" s="2458"/>
    </row>
    <row r="4" spans="1:11" ht="33">
      <c r="A4" s="2295" t="s">
        <v>653</v>
      </c>
      <c r="B4" s="2295" t="s">
        <v>652</v>
      </c>
      <c r="C4" s="2295" t="s">
        <v>651</v>
      </c>
      <c r="D4" s="2295" t="s">
        <v>650</v>
      </c>
      <c r="E4" s="2457"/>
      <c r="F4" s="2458"/>
      <c r="G4" s="2458"/>
      <c r="H4" s="2458"/>
      <c r="I4" s="2458"/>
      <c r="J4" s="2458"/>
      <c r="K4" s="2458"/>
    </row>
    <row r="5" spans="1:11" ht="16.5">
      <c r="A5" s="2295" t="s">
        <v>649</v>
      </c>
      <c r="B5" s="2295">
        <f ca="1">SUM(D14:D23)</f>
        <v>7339</v>
      </c>
      <c r="C5" s="2295">
        <f ca="1">IF(B5=D14,'结果表-车位'!H102,ROUND(B5*10000/$B$1,0))</f>
        <v>33686</v>
      </c>
      <c r="D5" s="2295" t="e">
        <f ca="1">ROUND(B5*10000/$B$2,0)</f>
        <v>#DIV/0!</v>
      </c>
      <c r="E5" s="2457"/>
      <c r="F5" s="2458"/>
      <c r="G5" s="2458"/>
      <c r="H5" s="2458"/>
      <c r="I5" s="2458"/>
      <c r="J5" s="2458"/>
      <c r="K5" s="2458"/>
    </row>
    <row r="6" spans="1:11" ht="16.5">
      <c r="A6" s="2295" t="s">
        <v>648</v>
      </c>
      <c r="B6" s="2295">
        <f ca="1">SUM(G14:G23)</f>
        <v>7339</v>
      </c>
      <c r="C6" s="2295">
        <f ca="1">IF(B6=G14,'结果表-车位'!H108,ROUND(B6*10000/$B$1,0))</f>
        <v>33686</v>
      </c>
      <c r="D6" s="2295" t="e">
        <f ca="1">ROUND(B6*10000/$B$2,0)</f>
        <v>#DIV/0!</v>
      </c>
      <c r="E6" s="2457"/>
      <c r="F6" s="2458"/>
      <c r="G6" s="2458"/>
      <c r="H6" s="2458"/>
      <c r="I6" s="2458"/>
      <c r="J6" s="2458"/>
      <c r="K6" s="2458"/>
    </row>
    <row r="7" spans="1:11" ht="16.5">
      <c r="A7" s="2295" t="s">
        <v>656</v>
      </c>
      <c r="B7" s="2295">
        <f>SUM(H14:H23)</f>
        <v>0</v>
      </c>
      <c r="C7" s="2295" t="str">
        <f>IF(B7=H14,'结果表-车位'!H110,ROUND(B7*10000/$B$1,0))</f>
        <v>——</v>
      </c>
      <c r="D7" s="2295" t="e">
        <f>ROUND(B7*10000/$B$2,0)</f>
        <v>#DIV/0!</v>
      </c>
      <c r="E7" s="2457"/>
      <c r="F7" s="2458"/>
      <c r="G7" s="2458"/>
      <c r="H7" s="2458"/>
      <c r="I7" s="2458"/>
      <c r="J7" s="2458"/>
      <c r="K7" s="2458"/>
    </row>
    <row r="8" spans="1:11" ht="16.5">
      <c r="A8" s="2295" t="s">
        <v>587</v>
      </c>
      <c r="B8" s="2295">
        <f>SUM(I14:I23)</f>
        <v>0</v>
      </c>
      <c r="C8" s="2295" t="str">
        <f>IF(B8=I14,'结果表-车位'!H112,ROUND(B8*10000/$B$1,0))</f>
        <v>——</v>
      </c>
      <c r="D8" s="2295" t="e">
        <f>ROUND(B8*10000/$B$2,0)</f>
        <v>#DIV/0!</v>
      </c>
      <c r="E8" s="2457"/>
      <c r="F8" s="2458"/>
      <c r="G8" s="2458"/>
      <c r="H8" s="2458"/>
      <c r="I8" s="2458"/>
      <c r="J8" s="2458"/>
      <c r="K8" s="2458"/>
    </row>
    <row r="9" spans="1:11" ht="16.5">
      <c r="A9" s="2295" t="s">
        <v>647</v>
      </c>
      <c r="B9" s="1240"/>
      <c r="C9" s="2457"/>
      <c r="D9" s="2457"/>
      <c r="E9" s="2457"/>
      <c r="F9" s="2458"/>
      <c r="G9" s="2458"/>
      <c r="H9" s="2458"/>
      <c r="I9" s="2458"/>
      <c r="J9" s="2458"/>
      <c r="K9" s="2458"/>
    </row>
    <row r="10" spans="1:11" ht="16.5">
      <c r="A10" s="2295" t="s">
        <v>646</v>
      </c>
      <c r="B10" s="2295">
        <f>IF(E10="",0,ROUND(B1*(E10*365/G10)/10000,0))</f>
        <v>0</v>
      </c>
      <c r="C10" s="2295" t="s">
        <v>3335</v>
      </c>
      <c r="D10" s="2295" t="s">
        <v>3336</v>
      </c>
      <c r="E10" s="3131"/>
      <c r="F10" s="3135" t="s">
        <v>3337</v>
      </c>
      <c r="G10" s="3132"/>
      <c r="H10" s="2458"/>
      <c r="I10" s="2458"/>
      <c r="J10" s="2458"/>
      <c r="K10" s="2458"/>
    </row>
    <row r="11" spans="1:11" ht="16.5">
      <c r="A11" s="2295" t="s">
        <v>662</v>
      </c>
      <c r="B11" s="1240"/>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661</v>
      </c>
      <c r="B13" s="2299" t="s">
        <v>658</v>
      </c>
      <c r="C13" s="2299" t="s">
        <v>660</v>
      </c>
      <c r="D13" s="2299" t="s">
        <v>659</v>
      </c>
      <c r="E13" s="2295" t="s">
        <v>651</v>
      </c>
      <c r="F13" s="2295" t="s">
        <v>650</v>
      </c>
      <c r="G13" s="2299" t="s">
        <v>644</v>
      </c>
      <c r="H13" s="2299" t="s">
        <v>655</v>
      </c>
      <c r="I13" s="2299" t="s">
        <v>643</v>
      </c>
      <c r="J13" s="2458"/>
      <c r="K13" s="2458"/>
    </row>
    <row r="14" spans="1:11" ht="16.5">
      <c r="A14" s="2301">
        <f>'典型户型修正-办公'!A24</f>
        <v>501</v>
      </c>
      <c r="B14" s="2301">
        <f>'典型户型修正-办公'!B24</f>
        <v>390.5</v>
      </c>
      <c r="C14" s="2301"/>
      <c r="D14" s="2301">
        <f ca="1">'典型户型修正-办公'!S24</f>
        <v>1440</v>
      </c>
      <c r="E14" s="2301">
        <f ca="1">ROUND(D14*10000/B14,0)</f>
        <v>36876</v>
      </c>
      <c r="F14" s="2301" t="e">
        <f ca="1">ROUND(D14*10000/C14,0)</f>
        <v>#DIV/0!</v>
      </c>
      <c r="G14" s="2301">
        <f ca="1">D14</f>
        <v>1440</v>
      </c>
      <c r="H14" s="2301"/>
      <c r="I14" s="2301"/>
      <c r="J14" s="2458"/>
      <c r="K14" s="2458"/>
    </row>
    <row r="15" spans="1:11" ht="16.5">
      <c r="A15" s="2301">
        <f>'典型户型修正-办公'!A25</f>
        <v>502</v>
      </c>
      <c r="B15" s="2301">
        <f>'典型户型修正-办公'!B25</f>
        <v>527.54999999999995</v>
      </c>
      <c r="C15" s="2301"/>
      <c r="D15" s="2301">
        <f ca="1">'典型户型修正-办公'!S25</f>
        <v>1926</v>
      </c>
      <c r="E15" s="2301">
        <f t="shared" ref="E15:E23" ca="1" si="0">ROUND(D15*10000/B15,0)</f>
        <v>36508</v>
      </c>
      <c r="F15" s="2301" t="e">
        <f t="shared" ref="F15:F23" ca="1" si="1">ROUND(D15*10000/C15,0)</f>
        <v>#DIV/0!</v>
      </c>
      <c r="G15" s="2301">
        <f t="shared" ref="G15:G21" ca="1" si="2">D15</f>
        <v>1926</v>
      </c>
      <c r="H15" s="2301"/>
      <c r="I15" s="2301"/>
      <c r="J15" s="2458"/>
      <c r="K15" s="2458"/>
    </row>
    <row r="16" spans="1:11" ht="16.5">
      <c r="A16" s="2301">
        <f>'典型户型修正-办公'!A26</f>
        <v>503</v>
      </c>
      <c r="B16" s="2301">
        <f>'典型户型修正-办公'!B26</f>
        <v>591.70000000000005</v>
      </c>
      <c r="C16" s="2301"/>
      <c r="D16" s="2301">
        <f ca="1">'典型户型修正-办公'!S26</f>
        <v>2161</v>
      </c>
      <c r="E16" s="2301">
        <f t="shared" ca="1" si="0"/>
        <v>36522</v>
      </c>
      <c r="F16" s="2301" t="e">
        <f t="shared" ca="1" si="1"/>
        <v>#DIV/0!</v>
      </c>
      <c r="G16" s="2301">
        <f t="shared" ca="1" si="2"/>
        <v>2161</v>
      </c>
      <c r="H16" s="2301"/>
      <c r="I16" s="2301"/>
      <c r="J16" s="2458"/>
      <c r="K16" s="2458"/>
    </row>
    <row r="17" spans="1:11" ht="16.5">
      <c r="A17" s="2301">
        <f>'典型户型修正-办公'!A27</f>
        <v>504</v>
      </c>
      <c r="B17" s="2301">
        <f>'典型户型修正-办公'!B27</f>
        <v>455.66</v>
      </c>
      <c r="C17" s="2301"/>
      <c r="D17" s="2301">
        <f ca="1">'典型户型修正-办公'!S27</f>
        <v>1681</v>
      </c>
      <c r="E17" s="2301">
        <f t="shared" ca="1" si="0"/>
        <v>36892</v>
      </c>
      <c r="F17" s="2301" t="e">
        <f t="shared" ca="1" si="1"/>
        <v>#DIV/0!</v>
      </c>
      <c r="G17" s="2301">
        <f t="shared" ca="1" si="2"/>
        <v>1681</v>
      </c>
      <c r="H17" s="2301"/>
      <c r="I17" s="2301"/>
      <c r="J17" s="2458"/>
      <c r="K17" s="2458"/>
    </row>
    <row r="18" spans="1:11" ht="16.5">
      <c r="A18" s="2301" t="str">
        <f>'典型户型修正-车位'!A24</f>
        <v>056</v>
      </c>
      <c r="B18" s="2301">
        <f>'典型户型修正-车位'!B24</f>
        <v>53.53</v>
      </c>
      <c r="C18" s="2301"/>
      <c r="D18" s="2301">
        <f ca="1">'典型户型修正-车位'!S24</f>
        <v>33</v>
      </c>
      <c r="E18" s="2301">
        <f t="shared" ca="1" si="0"/>
        <v>6165</v>
      </c>
      <c r="F18" s="2301" t="e">
        <f t="shared" ca="1" si="1"/>
        <v>#DIV/0!</v>
      </c>
      <c r="G18" s="2301">
        <f t="shared" ca="1" si="2"/>
        <v>33</v>
      </c>
      <c r="H18" s="2301"/>
      <c r="I18" s="2301"/>
      <c r="J18" s="2458"/>
      <c r="K18" s="2458"/>
    </row>
    <row r="19" spans="1:11" ht="16.5">
      <c r="A19" s="2301" t="str">
        <f>'典型户型修正-车位'!A25</f>
        <v>057</v>
      </c>
      <c r="B19" s="2301">
        <f>'典型户型修正-车位'!B25</f>
        <v>53.53</v>
      </c>
      <c r="C19" s="2301"/>
      <c r="D19" s="2301">
        <f ca="1">'典型户型修正-车位'!S25</f>
        <v>33</v>
      </c>
      <c r="E19" s="2301">
        <f t="shared" ca="1" si="0"/>
        <v>6165</v>
      </c>
      <c r="F19" s="2301" t="e">
        <f t="shared" ca="1" si="1"/>
        <v>#DIV/0!</v>
      </c>
      <c r="G19" s="2301">
        <f t="shared" ca="1" si="2"/>
        <v>33</v>
      </c>
      <c r="H19" s="2301"/>
      <c r="I19" s="2301"/>
      <c r="J19" s="2458"/>
      <c r="K19" s="2458"/>
    </row>
    <row r="20" spans="1:11" ht="16.5">
      <c r="A20" s="2301" t="str">
        <f>'典型户型修正-车位'!A26</f>
        <v>058</v>
      </c>
      <c r="B20" s="2301">
        <f>'典型户型修正-车位'!B26</f>
        <v>52.21</v>
      </c>
      <c r="C20" s="2301"/>
      <c r="D20" s="2301">
        <f ca="1">'典型户型修正-车位'!S26</f>
        <v>32</v>
      </c>
      <c r="E20" s="2301">
        <f t="shared" ca="1" si="0"/>
        <v>6129</v>
      </c>
      <c r="F20" s="2301" t="e">
        <f t="shared" ca="1" si="1"/>
        <v>#DIV/0!</v>
      </c>
      <c r="G20" s="2301">
        <f t="shared" ca="1" si="2"/>
        <v>32</v>
      </c>
      <c r="H20" s="2301"/>
      <c r="I20" s="2301"/>
      <c r="J20" s="2458"/>
      <c r="K20" s="2458"/>
    </row>
    <row r="21" spans="1:11" ht="16.5">
      <c r="A21" s="2301" t="str">
        <f>'典型户型修正-车位'!A27</f>
        <v>059</v>
      </c>
      <c r="B21" s="2301">
        <f>'典型户型修正-车位'!B27</f>
        <v>53.95</v>
      </c>
      <c r="C21" s="2301"/>
      <c r="D21" s="2301">
        <f ca="1">'典型户型修正-车位'!S27</f>
        <v>33</v>
      </c>
      <c r="E21" s="2301">
        <f t="shared" ca="1" si="0"/>
        <v>6117</v>
      </c>
      <c r="F21" s="2301" t="e">
        <f t="shared" ca="1" si="1"/>
        <v>#DIV/0!</v>
      </c>
      <c r="G21" s="2301">
        <f t="shared" ca="1" si="2"/>
        <v>33</v>
      </c>
      <c r="H21" s="2301"/>
      <c r="I21" s="2301"/>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0" t="e">
        <f t="shared" si="0"/>
        <v>#DIV/0!</v>
      </c>
      <c r="F23" s="1240"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1453</v>
      </c>
      <c r="B1" s="1370"/>
      <c r="C1" s="190"/>
      <c r="D1" s="190"/>
      <c r="E1" s="190"/>
      <c r="F1" s="190"/>
      <c r="G1" s="1058">
        <f>MATCH(B1,'数据-取费表'!A6:A16,0)+5</f>
        <v>10</v>
      </c>
    </row>
    <row r="2" spans="1:9" s="192" customFormat="1" ht="18" customHeight="1">
      <c r="A2" s="193" t="s">
        <v>1454</v>
      </c>
      <c r="B2" s="194">
        <f ca="1">IF(D2="——",C52,C52-E2)</f>
        <v>1247</v>
      </c>
      <c r="C2" s="191" t="s">
        <v>1455</v>
      </c>
      <c r="D2" s="1706" t="s">
        <v>43</v>
      </c>
      <c r="E2" s="1085" t="e">
        <f ca="1">SUMIF(INDIRECT("'"&amp;G2&amp;"'"&amp;"!A:A"),"承租人权益价值",INDIRECT("'"&amp;G2&amp;"'"&amp;"!c:c"))</f>
        <v>#REF!</v>
      </c>
      <c r="F2" s="1707" t="s">
        <v>1455</v>
      </c>
      <c r="G2" s="1708"/>
    </row>
    <row r="3" spans="1:9" s="192" customFormat="1" ht="18" customHeight="1" thickBot="1">
      <c r="A3" s="195" t="s">
        <v>1456</v>
      </c>
      <c r="B3" s="196">
        <f ca="1">ROUND(B2*10000/(IF(B1="",'数据-汇总表'!E3,INDIRECT("'数据-取费表'!k"&amp;$G$1))),0)</f>
        <v>5724</v>
      </c>
      <c r="C3" s="191" t="s">
        <v>1457</v>
      </c>
      <c r="D3" s="191"/>
      <c r="E3" s="191"/>
      <c r="F3" s="191"/>
      <c r="G3" s="191"/>
    </row>
    <row r="4" spans="1:9" s="200" customFormat="1" ht="15.75">
      <c r="A4" s="197" t="s">
        <v>1458</v>
      </c>
      <c r="B4" s="198"/>
      <c r="C4" s="198"/>
      <c r="D4" s="198"/>
      <c r="E4" s="198"/>
      <c r="F4" s="198"/>
      <c r="G4" s="199"/>
    </row>
    <row r="5" spans="1:9" s="206" customFormat="1" ht="13.5" customHeight="1">
      <c r="A5" s="247" t="s">
        <v>1459</v>
      </c>
      <c r="B5" s="202" t="s">
        <v>1460</v>
      </c>
      <c r="C5" s="203">
        <f>C6+C7+C8</f>
        <v>0</v>
      </c>
      <c r="D5" s="203" t="s">
        <v>1461</v>
      </c>
      <c r="E5" s="204" t="s">
        <v>1462</v>
      </c>
      <c r="F5" s="204" t="s">
        <v>1463</v>
      </c>
      <c r="G5" s="205"/>
    </row>
    <row r="6" spans="1:9" s="206" customFormat="1" ht="13.5" customHeight="1">
      <c r="A6" s="729" t="s">
        <v>1464</v>
      </c>
      <c r="B6" s="207" t="s">
        <v>1465</v>
      </c>
      <c r="C6" s="208"/>
      <c r="D6" s="209"/>
      <c r="E6" s="210"/>
      <c r="F6" s="210"/>
      <c r="G6" s="211"/>
    </row>
    <row r="7" spans="1:9" s="206" customFormat="1" ht="13.5" customHeight="1">
      <c r="A7" s="729" t="s">
        <v>1466</v>
      </c>
      <c r="B7" s="207" t="s">
        <v>1467</v>
      </c>
      <c r="C7" s="212">
        <f>ROUND(C6*F7,0)</f>
        <v>0</v>
      </c>
      <c r="D7" s="212"/>
      <c r="E7" s="210"/>
      <c r="F7" s="213">
        <f>IF(项目基本情况!B8="出让",0,'数据-取费表'!B48+'数据-取费表'!B49)</f>
        <v>3.0499999999999999E-2</v>
      </c>
      <c r="G7" s="211"/>
    </row>
    <row r="8" spans="1:9" s="215" customFormat="1">
      <c r="A8" s="729" t="s">
        <v>1468</v>
      </c>
      <c r="B8" s="207" t="s">
        <v>1469</v>
      </c>
      <c r="C8" s="212">
        <f>IF(G8="已包含在土地购买价格中","0",IF(B1="",'数据-取费表'!B29,IF(G9="全部缴纳",C9+C10,H9)))</f>
        <v>0</v>
      </c>
      <c r="D8" s="214"/>
      <c r="E8" s="212"/>
      <c r="F8" s="213"/>
      <c r="G8" s="1709"/>
    </row>
    <row r="9" spans="1:9" s="206" customFormat="1" ht="13.5" customHeight="1">
      <c r="A9" s="730" t="s">
        <v>355</v>
      </c>
      <c r="B9" s="216" t="s">
        <v>1470</v>
      </c>
      <c r="C9" s="217">
        <f ca="1">ROUND(D9*E9/10000,0)</f>
        <v>0</v>
      </c>
      <c r="D9" s="792">
        <f ca="1">IF(B1="",'数据-汇总表'!E5,IF(INDIRECT("'数据-取费表'!c"&amp;$G$1)="住宅",INDIRECT("'数据-取费表'!k"&amp;$G$1),0))</f>
        <v>0</v>
      </c>
      <c r="E9" s="217">
        <f>'数据-取费表'!B27</f>
        <v>160</v>
      </c>
      <c r="F9" s="213"/>
      <c r="G9" s="1710"/>
      <c r="H9" s="1066"/>
      <c r="I9" s="1711" t="s">
        <v>1471</v>
      </c>
    </row>
    <row r="10" spans="1:9" s="206" customFormat="1" ht="13.5" customHeight="1">
      <c r="A10" s="730" t="s">
        <v>356</v>
      </c>
      <c r="B10" s="216" t="s">
        <v>1472</v>
      </c>
      <c r="C10" s="217">
        <f ca="1">ROUND(D10*E10/10000,0)</f>
        <v>44</v>
      </c>
      <c r="D10" s="792">
        <f ca="1">IF(B1="",'数据-汇总表'!E6,IF(INDIRECT("'数据-取费表'!c"&amp;$G$1)="住宅",INDIRECT("'数据-取费表'!s"&amp;$G$1),INDIRECT("'数据-取费表'!k"&amp;$G$1)+INDIRECT("'数据-取费表'!s"&amp;$G$1)))</f>
        <v>2178.63</v>
      </c>
      <c r="E10" s="217">
        <f>'数据-取费表'!B28</f>
        <v>200</v>
      </c>
      <c r="F10" s="213"/>
      <c r="G10" s="218"/>
    </row>
    <row r="11" spans="1:9" s="206" customFormat="1" ht="13.5" hidden="1" customHeight="1">
      <c r="A11" s="219" t="s">
        <v>4</v>
      </c>
      <c r="B11" s="207" t="s">
        <v>1473</v>
      </c>
      <c r="C11" s="203"/>
      <c r="D11" s="210"/>
      <c r="E11" s="210"/>
      <c r="F11" s="210"/>
      <c r="G11" s="211"/>
    </row>
    <row r="12" spans="1:9" s="206" customFormat="1" ht="13.5" hidden="1" customHeight="1">
      <c r="A12" s="219" t="s">
        <v>5</v>
      </c>
      <c r="B12" s="207" t="s">
        <v>1474</v>
      </c>
      <c r="C12" s="203">
        <v>0</v>
      </c>
      <c r="D12" s="210"/>
      <c r="E12" s="220"/>
      <c r="F12" s="213">
        <v>3.0499999999999999E-2</v>
      </c>
      <c r="G12" s="211"/>
    </row>
    <row r="13" spans="1:9" s="206" customFormat="1" ht="13.5" hidden="1" customHeight="1">
      <c r="A13" s="219" t="s">
        <v>6</v>
      </c>
      <c r="B13" s="207" t="s">
        <v>1475</v>
      </c>
      <c r="C13" s="203"/>
      <c r="D13" s="210"/>
      <c r="E13" s="210"/>
      <c r="F13" s="210"/>
      <c r="G13" s="211"/>
    </row>
    <row r="14" spans="1:9" s="206" customFormat="1" ht="13.5" hidden="1" customHeight="1">
      <c r="A14" s="219" t="s">
        <v>7</v>
      </c>
      <c r="B14" s="207" t="s">
        <v>1476</v>
      </c>
      <c r="C14" s="203"/>
      <c r="D14" s="210"/>
      <c r="E14" s="210"/>
      <c r="F14" s="210"/>
      <c r="G14" s="211" t="s">
        <v>1477</v>
      </c>
    </row>
    <row r="15" spans="1:9" s="206" customFormat="1" ht="13.5" hidden="1" customHeight="1">
      <c r="A15" s="219" t="s">
        <v>8</v>
      </c>
      <c r="B15" s="207" t="s">
        <v>1478</v>
      </c>
      <c r="C15" s="212"/>
      <c r="D15" s="210"/>
      <c r="E15" s="210"/>
      <c r="F15" s="210"/>
      <c r="G15" s="211" t="s">
        <v>1479</v>
      </c>
    </row>
    <row r="16" spans="1:9" s="206" customFormat="1" ht="13.5" hidden="1" customHeight="1">
      <c r="A16" s="219" t="s">
        <v>9</v>
      </c>
      <c r="B16" s="207" t="s">
        <v>1476</v>
      </c>
      <c r="C16" s="212"/>
      <c r="D16" s="210"/>
      <c r="E16" s="210"/>
      <c r="F16" s="210"/>
      <c r="G16" s="211"/>
    </row>
    <row r="17" spans="1:7" s="206" customFormat="1" ht="13.5" hidden="1" customHeight="1">
      <c r="A17" s="219" t="s">
        <v>10</v>
      </c>
      <c r="B17" s="207" t="s">
        <v>1480</v>
      </c>
      <c r="C17" s="221"/>
      <c r="D17" s="221"/>
      <c r="E17" s="221"/>
      <c r="F17" s="221"/>
      <c r="G17" s="211" t="s">
        <v>1479</v>
      </c>
    </row>
    <row r="18" spans="1:7" s="206" customFormat="1" ht="13.5" hidden="1" customHeight="1">
      <c r="A18" s="219" t="s">
        <v>11</v>
      </c>
      <c r="B18" s="207" t="s">
        <v>1481</v>
      </c>
      <c r="C18" s="212">
        <v>0</v>
      </c>
      <c r="D18" s="210"/>
      <c r="E18" s="210"/>
      <c r="F18" s="213">
        <v>3.0499999999999999E-2</v>
      </c>
      <c r="G18" s="211" t="s">
        <v>1482</v>
      </c>
    </row>
    <row r="19" spans="1:7" s="215" customFormat="1" ht="13.5" customHeight="1">
      <c r="A19" s="247" t="s">
        <v>1483</v>
      </c>
      <c r="B19" s="202" t="s">
        <v>1484</v>
      </c>
      <c r="C19" s="203">
        <f ca="1">IF(G19="已包含在土地取得成本中","0",ROUND(D19*E19/10000,0))</f>
        <v>44</v>
      </c>
      <c r="D19" s="204">
        <f ca="1">D9+D10</f>
        <v>2178.63</v>
      </c>
      <c r="E19" s="203">
        <f>'数据-取费表'!B31</f>
        <v>200</v>
      </c>
      <c r="F19" s="223"/>
      <c r="G19" s="1709"/>
    </row>
    <row r="20" spans="1:7" s="206" customFormat="1" ht="13.5" customHeight="1">
      <c r="A20" s="247" t="s">
        <v>1485</v>
      </c>
      <c r="B20" s="202" t="s">
        <v>1486</v>
      </c>
      <c r="C20" s="224">
        <f ca="1">ROUND((C5+C19)*F20,0)</f>
        <v>1</v>
      </c>
      <c r="D20" s="224"/>
      <c r="E20" s="224"/>
      <c r="F20" s="225">
        <f>'数据-取费表'!B37</f>
        <v>0.02</v>
      </c>
      <c r="G20" s="226" t="s">
        <v>1487</v>
      </c>
    </row>
    <row r="21" spans="1:7" s="206" customFormat="1" ht="13.5" customHeight="1">
      <c r="A21" s="247" t="s">
        <v>1488</v>
      </c>
      <c r="B21" s="202" t="s">
        <v>1489</v>
      </c>
      <c r="C21" s="227">
        <f>F21</f>
        <v>0.02</v>
      </c>
      <c r="D21" s="228" t="s">
        <v>1490</v>
      </c>
      <c r="E21" s="224"/>
      <c r="F21" s="225">
        <f>'数据-取费表'!B38</f>
        <v>0.02</v>
      </c>
      <c r="G21" s="226" t="s">
        <v>1491</v>
      </c>
    </row>
    <row r="22" spans="1:7" s="206" customFormat="1" ht="13.5" customHeight="1">
      <c r="A22" s="247" t="s">
        <v>1492</v>
      </c>
      <c r="B22" s="202" t="s">
        <v>1493</v>
      </c>
      <c r="C22" s="1037">
        <f ca="1">ROUND(SUM(C23:C25),0)</f>
        <v>3</v>
      </c>
      <c r="D22" s="227">
        <f ca="1">C26</f>
        <v>5.9999999999999995E-4</v>
      </c>
      <c r="E22" s="228" t="s">
        <v>1490</v>
      </c>
      <c r="F22" s="229">
        <f ca="1">'数据-取费表'!B40</f>
        <v>3.1300000000000001E-2</v>
      </c>
      <c r="G22" s="226" t="str">
        <f>IF('数据-取费表'!B22&lt;=1,"单利计息","复利计息")</f>
        <v>复利计息</v>
      </c>
    </row>
    <row r="23" spans="1:7" s="206" customFormat="1" ht="13.5" customHeight="1">
      <c r="A23" s="731" t="s">
        <v>1494</v>
      </c>
      <c r="B23" s="207" t="s">
        <v>1495</v>
      </c>
      <c r="C23" s="1038">
        <f ca="1">ROUND(IF('数据-取费表'!B22&lt;=1,C5*F22*'数据-取费表'!B23,C5*(POWER((1+F22),'数据-取费表'!B23)-1)),0)</f>
        <v>0</v>
      </c>
      <c r="D23" s="230"/>
      <c r="E23" s="230"/>
      <c r="F23" s="231"/>
      <c r="G23" s="232" t="s">
        <v>1496</v>
      </c>
    </row>
    <row r="24" spans="1:7" s="206" customFormat="1" ht="13.5" customHeight="1">
      <c r="A24" s="731" t="s">
        <v>1497</v>
      </c>
      <c r="B24" s="207" t="s">
        <v>1498</v>
      </c>
      <c r="C24" s="1038">
        <f ca="1">ROUND(IF('数据-取费表'!B22&lt;=1,C19*F22*('数据-取费表'!B19/2+'数据-取费表'!B21),C19*(POWER((1+F22),('数据-取费表'!B19/2+'数据-取费表'!B21))-1)),0)</f>
        <v>3</v>
      </c>
      <c r="D24" s="230"/>
      <c r="E24" s="230"/>
      <c r="F24" s="231"/>
      <c r="G24" s="232" t="s">
        <v>1499</v>
      </c>
    </row>
    <row r="25" spans="1:7" s="206" customFormat="1" ht="24">
      <c r="A25" s="731" t="s">
        <v>1500</v>
      </c>
      <c r="B25" s="207" t="s">
        <v>1501</v>
      </c>
      <c r="C25" s="1038">
        <f ca="1">ROUND(IF('数据-取费表'!B22&lt;=1,C20*F22*'数据-取费表'!B23/2,C20*(POWER((1+F22),'数据-取费表'!B23/2)-1)),0)</f>
        <v>0</v>
      </c>
      <c r="D25" s="230"/>
      <c r="E25" s="233"/>
      <c r="F25" s="231"/>
      <c r="G25" s="234" t="s">
        <v>1502</v>
      </c>
    </row>
    <row r="26" spans="1:7" s="206" customFormat="1">
      <c r="A26" s="731" t="s">
        <v>350</v>
      </c>
      <c r="B26" s="207" t="s">
        <v>1503</v>
      </c>
      <c r="C26" s="230">
        <f ca="1">ROUND(IF('数据-取费表'!B22&lt;=1,F21*F22*'数据-取费表'!B23/2,F21*(POWER((1+F22),'数据-取费表'!B23/2)-1)),4)</f>
        <v>5.9999999999999995E-4</v>
      </c>
      <c r="D26" s="230"/>
      <c r="E26" s="233"/>
      <c r="F26" s="231"/>
      <c r="G26" s="235"/>
    </row>
    <row r="27" spans="1:7" s="206" customFormat="1" ht="24.75">
      <c r="A27" s="247" t="s">
        <v>1504</v>
      </c>
      <c r="B27" s="236" t="s">
        <v>1505</v>
      </c>
      <c r="C27" s="237">
        <f ca="1">C28</f>
        <v>9</v>
      </c>
      <c r="D27" s="227">
        <f ca="1">C29</f>
        <v>3.8E-3</v>
      </c>
      <c r="E27" s="228" t="s">
        <v>1506</v>
      </c>
      <c r="F27" s="238">
        <f ca="1">IF(B1="",'数据-取费表'!Q16,INDIRECT("'数据-取费表'!q"&amp;$G$1))</f>
        <v>0.19</v>
      </c>
      <c r="G27" s="239" t="s">
        <v>1507</v>
      </c>
    </row>
    <row r="28" spans="1:7" s="206" customFormat="1" ht="13.5" customHeight="1">
      <c r="A28" s="731" t="s">
        <v>346</v>
      </c>
      <c r="B28" s="240" t="s">
        <v>1508</v>
      </c>
      <c r="C28" s="241">
        <f ca="1">ROUND((C5+C19+C20)*F27*'数据-取费表'!B21/'数据-取费表'!B20,0)</f>
        <v>9</v>
      </c>
      <c r="D28" s="227"/>
      <c r="E28" s="228"/>
      <c r="F28" s="238"/>
      <c r="G28" s="239"/>
    </row>
    <row r="29" spans="1:7" s="206" customFormat="1" ht="13.5" customHeight="1">
      <c r="A29" s="731" t="s">
        <v>347</v>
      </c>
      <c r="B29" s="240" t="s">
        <v>1509</v>
      </c>
      <c r="C29" s="230">
        <f ca="1">ROUND(C21*F27*'数据-取费表'!B21/'数据-取费表'!B20,4)</f>
        <v>3.8E-3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62</v>
      </c>
      <c r="D31" s="222"/>
      <c r="E31" s="203"/>
      <c r="F31" s="242"/>
      <c r="G31" s="226" t="s">
        <v>1514</v>
      </c>
    </row>
    <row r="32" spans="1:7" s="200" customFormat="1" ht="15.75">
      <c r="A32" s="244" t="s">
        <v>1515</v>
      </c>
      <c r="B32" s="245"/>
      <c r="C32" s="245"/>
      <c r="D32" s="245"/>
      <c r="E32" s="245"/>
      <c r="F32" s="245"/>
      <c r="G32" s="246"/>
    </row>
    <row r="33" spans="1:7" s="206" customFormat="1" ht="13.5" customHeight="1">
      <c r="A33" s="247" t="s">
        <v>337</v>
      </c>
      <c r="B33" s="202" t="s">
        <v>1516</v>
      </c>
      <c r="C33" s="248">
        <f ca="1">SUM(C34:C38)</f>
        <v>1082</v>
      </c>
      <c r="D33" s="224"/>
      <c r="E33" s="204"/>
      <c r="F33" s="233"/>
      <c r="G33" s="226"/>
    </row>
    <row r="34" spans="1:7" s="250" customFormat="1" ht="13.5" customHeight="1">
      <c r="A34" s="731" t="s">
        <v>346</v>
      </c>
      <c r="B34" s="207" t="s">
        <v>1517</v>
      </c>
      <c r="C34" s="212">
        <f ca="1">IF(B1="",IF(F34=100%,'数据-取费表'!M16,'数据-取费表'!O16),IF(F34=100%,INDIRECT("'数据-取费表'!m"&amp;$G$1)+INDIRECT("'数据-取费表'!t"&amp;$G$1),INDIRECT("'数据-取费表'!o"&amp;$G$1)+INDIRECT("'数据-取费表'!aq"&amp;$G$1)))</f>
        <v>970</v>
      </c>
      <c r="D34" s="209"/>
      <c r="E34" s="212"/>
      <c r="F34" s="249">
        <f ca="1">IF('数据-取费表'!B24=0,1,IF(B1="",'数据-取费表'!N16,INDIRECT("'数据-取费表'!n"&amp;$G$1)))</f>
        <v>1</v>
      </c>
      <c r="G34" s="211" t="s">
        <v>1518</v>
      </c>
    </row>
    <row r="35" spans="1:7" ht="13.5" customHeight="1">
      <c r="A35" s="731" t="s">
        <v>351</v>
      </c>
      <c r="B35" s="207" t="s">
        <v>1519</v>
      </c>
      <c r="C35" s="212">
        <f ca="1">ROUND(C34*F35,0)</f>
        <v>49</v>
      </c>
      <c r="D35" s="212"/>
      <c r="E35" s="212"/>
      <c r="F35" s="251">
        <f>'数据-取费表'!B33</f>
        <v>0.05</v>
      </c>
      <c r="G35" s="211" t="s">
        <v>1520</v>
      </c>
    </row>
    <row r="36" spans="1:7" ht="24">
      <c r="A36" s="731" t="s">
        <v>352</v>
      </c>
      <c r="B36" s="207" t="s">
        <v>1521</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1522</v>
      </c>
    </row>
    <row r="37" spans="1:7" s="250" customFormat="1" ht="13.5" customHeight="1">
      <c r="A37" s="731" t="s">
        <v>353</v>
      </c>
      <c r="B37" s="207" t="s">
        <v>1523</v>
      </c>
      <c r="C37" s="241">
        <f ca="1">ROUND(E37*D37*F34/10000,0)</f>
        <v>44</v>
      </c>
      <c r="D37" s="209">
        <f ca="1">D19</f>
        <v>2178.63</v>
      </c>
      <c r="E37" s="241">
        <f>'数据-取费表'!B35</f>
        <v>200</v>
      </c>
      <c r="F37" s="251"/>
      <c r="G37" s="253" t="s">
        <v>1524</v>
      </c>
    </row>
    <row r="38" spans="1:7" ht="13.5" customHeight="1">
      <c r="A38" s="731" t="s">
        <v>354</v>
      </c>
      <c r="B38" s="207" t="s">
        <v>1525</v>
      </c>
      <c r="C38" s="212">
        <f ca="1">ROUND(C34*F38,0)</f>
        <v>19</v>
      </c>
      <c r="D38" s="212"/>
      <c r="E38" s="212"/>
      <c r="F38" s="251">
        <f>'数据-取费表'!B36</f>
        <v>0.02</v>
      </c>
      <c r="G38" s="211" t="s">
        <v>1520</v>
      </c>
    </row>
    <row r="39" spans="1:7" s="206" customFormat="1" ht="13.5" customHeight="1">
      <c r="A39" s="247" t="s">
        <v>1526</v>
      </c>
      <c r="B39" s="202" t="s">
        <v>1527</v>
      </c>
      <c r="C39" s="224">
        <f ca="1">ROUND(C33*F20,0)</f>
        <v>22</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35</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ROUND(IF('数据-取费表'!B22&lt;=1,C33*F22*'数据-取费表'!B21/2,C33*(POWER((1+F22),'数据-取费表'!B21/2)-1)),0)</f>
        <v>34</v>
      </c>
      <c r="D42" s="230"/>
      <c r="E42" s="230"/>
      <c r="F42" s="231"/>
      <c r="G42" s="3267" t="s">
        <v>1536</v>
      </c>
    </row>
    <row r="43" spans="1:7" ht="13.5" customHeight="1">
      <c r="A43" s="731" t="s">
        <v>347</v>
      </c>
      <c r="B43" s="207" t="s">
        <v>1537</v>
      </c>
      <c r="C43" s="230">
        <f ca="1">ROUND(IF('数据-取费表'!B22&lt;=1,C39*F22*'数据-取费表'!B21/2,C39*(POWER((1+F22),'数据-取费表'!B21/2)-1)),0)</f>
        <v>1</v>
      </c>
      <c r="D43" s="230"/>
      <c r="E43" s="230"/>
      <c r="F43" s="231"/>
      <c r="G43" s="3268"/>
    </row>
    <row r="44" spans="1:7" ht="13.5" customHeight="1">
      <c r="A44" s="731" t="s">
        <v>348</v>
      </c>
      <c r="B44" s="207" t="s">
        <v>1538</v>
      </c>
      <c r="C44" s="230">
        <f ca="1">ROUND(IF('数据-取费表'!B22&lt;=1,C40*F22*'数据-取费表'!B21/2,C40*(POWER((1+F22),'数据-取费表'!B21/2)-1)),4)</f>
        <v>5.9999999999999995E-4</v>
      </c>
      <c r="D44" s="230"/>
      <c r="E44" s="230"/>
      <c r="F44" s="231"/>
      <c r="G44" s="3269"/>
    </row>
    <row r="45" spans="1:7" s="206" customFormat="1" ht="13.5" customHeight="1">
      <c r="A45" s="247" t="s">
        <v>1539</v>
      </c>
      <c r="B45" s="236" t="s">
        <v>1505</v>
      </c>
      <c r="C45" s="237">
        <f ca="1">C46</f>
        <v>210</v>
      </c>
      <c r="D45" s="227">
        <f ca="1">C47</f>
        <v>3.8E-3</v>
      </c>
      <c r="E45" s="228" t="s">
        <v>1531</v>
      </c>
      <c r="F45" s="238">
        <f ca="1">F27</f>
        <v>0.19</v>
      </c>
      <c r="G45" s="239" t="s">
        <v>1540</v>
      </c>
    </row>
    <row r="46" spans="1:7" s="206" customFormat="1" ht="13.5" customHeight="1">
      <c r="A46" s="731" t="s">
        <v>346</v>
      </c>
      <c r="B46" s="240" t="s">
        <v>1541</v>
      </c>
      <c r="C46" s="241">
        <f ca="1">ROUND((C33+C39)*F27,0)</f>
        <v>210</v>
      </c>
      <c r="D46" s="255"/>
      <c r="E46" s="228"/>
      <c r="F46" s="238"/>
      <c r="G46" s="239"/>
    </row>
    <row r="47" spans="1:7" s="206" customFormat="1" ht="13.5" customHeight="1">
      <c r="A47" s="731" t="s">
        <v>347</v>
      </c>
      <c r="B47" s="240" t="s">
        <v>1542</v>
      </c>
      <c r="C47" s="230">
        <f ca="1">ROUND(C40*F27,4)</f>
        <v>3.8E-3</v>
      </c>
      <c r="D47" s="255"/>
      <c r="E47" s="228"/>
      <c r="F47" s="238"/>
      <c r="G47" s="239"/>
    </row>
    <row r="48" spans="1:7" s="206" customFormat="1" ht="13.5" customHeight="1">
      <c r="A48" s="247" t="s">
        <v>1504</v>
      </c>
      <c r="B48" s="202" t="s">
        <v>1543</v>
      </c>
      <c r="C48" s="227">
        <f>ROUND(F30/(1+'数据-取费表'!C42),4)</f>
        <v>5.33E-2</v>
      </c>
      <c r="D48" s="228" t="s">
        <v>1531</v>
      </c>
      <c r="E48" s="224"/>
      <c r="F48" s="229">
        <f>F30</f>
        <v>5.6000000000000001E-2</v>
      </c>
      <c r="G48" s="226" t="s">
        <v>1544</v>
      </c>
    </row>
    <row r="49" spans="1:7" ht="16.5" customHeight="1">
      <c r="A49" s="247" t="s">
        <v>1510</v>
      </c>
      <c r="B49" s="202" t="s">
        <v>1545</v>
      </c>
      <c r="C49" s="224">
        <f ca="1">ROUND((C33+C39+C41+C45)/(1-C40-D41-D45-C48),0)</f>
        <v>1463</v>
      </c>
      <c r="D49" s="224"/>
      <c r="E49" s="224"/>
      <c r="F49" s="256"/>
      <c r="G49" s="226" t="s">
        <v>1546</v>
      </c>
    </row>
    <row r="50" spans="1:7" s="250" customFormat="1" ht="24">
      <c r="A50" s="247" t="s">
        <v>1547</v>
      </c>
      <c r="B50" s="202" t="s">
        <v>1548</v>
      </c>
      <c r="C50" s="224"/>
      <c r="D50" s="224"/>
      <c r="E50" s="224"/>
      <c r="F50" s="256">
        <f>IF('数据-取费表'!B24=0,'数据-取费表'!N16,1)</f>
        <v>0.81</v>
      </c>
      <c r="G50" s="239" t="s">
        <v>1549</v>
      </c>
    </row>
    <row r="51" spans="1:7" ht="16.5" customHeight="1">
      <c r="A51" s="247" t="s">
        <v>1550</v>
      </c>
      <c r="B51" s="202" t="s">
        <v>1551</v>
      </c>
      <c r="C51" s="224">
        <f ca="1">ROUND(C49*F50,0)</f>
        <v>1185</v>
      </c>
      <c r="D51" s="224"/>
      <c r="E51" s="224"/>
      <c r="F51" s="256"/>
      <c r="G51" s="226" t="s">
        <v>1552</v>
      </c>
    </row>
    <row r="52" spans="1:7" s="200" customFormat="1" ht="16.5" thickBot="1">
      <c r="A52" s="257" t="s">
        <v>1553</v>
      </c>
      <c r="B52" s="258"/>
      <c r="C52" s="259">
        <f ca="1">C31+C51</f>
        <v>1247</v>
      </c>
      <c r="D52" s="258"/>
      <c r="E52" s="258"/>
      <c r="F52" s="258"/>
      <c r="G52" s="260"/>
    </row>
    <row r="55" spans="1:7" ht="15">
      <c r="B55" s="262" t="s">
        <v>1554</v>
      </c>
      <c r="C55" s="263"/>
    </row>
    <row r="56" spans="1:7">
      <c r="B56" s="265" t="s">
        <v>794</v>
      </c>
      <c r="C56" s="267">
        <f ca="1">1-C57</f>
        <v>5.0000000000000044E-2</v>
      </c>
    </row>
    <row r="57" spans="1:7">
      <c r="B57" s="265" t="s">
        <v>795</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9" t="str">
        <f>项目基本情况!B1</f>
        <v>北京市房地产市场价值预评估</v>
      </c>
      <c r="C37" s="3179"/>
      <c r="D37" s="3179"/>
      <c r="E37" s="3179"/>
      <c r="F37" s="3179"/>
      <c r="G37" s="3179"/>
      <c r="H37" s="3179"/>
      <c r="I37" s="3179"/>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1586</v>
      </c>
      <c r="B1" s="121"/>
      <c r="C1" s="1106"/>
      <c r="D1" s="1105"/>
      <c r="E1" s="2563"/>
      <c r="F1" s="2563"/>
      <c r="G1" s="2444"/>
      <c r="H1" s="2563"/>
      <c r="I1" s="2563"/>
      <c r="J1" s="2563"/>
      <c r="K1" s="2564">
        <f>MATCH(C1,'数据-取费表'!A6:A16,0)+5</f>
        <v>10</v>
      </c>
    </row>
    <row r="2" spans="1:33" ht="18" customHeight="1">
      <c r="A2" s="193" t="s">
        <v>1454</v>
      </c>
      <c r="B2" s="196">
        <f ca="1">C32</f>
        <v>-52</v>
      </c>
      <c r="C2" s="268" t="s">
        <v>1587</v>
      </c>
      <c r="D2" s="268"/>
      <c r="E2" s="2563"/>
      <c r="F2" s="2563"/>
      <c r="G2" s="2563"/>
      <c r="H2" s="2563"/>
      <c r="I2" s="2563"/>
      <c r="J2" s="2563"/>
      <c r="K2" s="2563"/>
    </row>
    <row r="3" spans="1:33" ht="18" customHeight="1" thickBot="1">
      <c r="A3" s="195" t="s">
        <v>1456</v>
      </c>
      <c r="B3" s="196">
        <f ca="1">ROUND(B2*10000/IF(C1="",'数据-汇总表'!E3,INDIRECT("'数据-取费表'!K"&amp;$K$1)),0)</f>
        <v>-239</v>
      </c>
      <c r="C3" s="268" t="s">
        <v>1588</v>
      </c>
      <c r="D3" s="268"/>
      <c r="E3" s="2563"/>
      <c r="F3" s="2563"/>
      <c r="G3" s="2563"/>
      <c r="H3" s="2563"/>
      <c r="I3" s="2563"/>
      <c r="J3" s="2563"/>
      <c r="K3" s="2563"/>
    </row>
    <row r="4" spans="1:33" s="736" customFormat="1" ht="16.5" customHeight="1">
      <c r="A4" s="733" t="s">
        <v>1589</v>
      </c>
      <c r="B4" s="734"/>
      <c r="C4" s="772">
        <f>SUM(C8:K8)</f>
        <v>0</v>
      </c>
      <c r="D4" s="734"/>
      <c r="E4" s="734"/>
      <c r="F4" s="734"/>
      <c r="G4" s="734"/>
      <c r="H4" s="734"/>
      <c r="I4" s="734"/>
      <c r="J4" s="734"/>
      <c r="K4" s="735"/>
    </row>
    <row r="5" spans="1:33" s="740" customFormat="1" ht="15">
      <c r="A5" s="737" t="s">
        <v>1590</v>
      </c>
      <c r="B5" s="738" t="s">
        <v>1591</v>
      </c>
      <c r="C5" s="1713"/>
      <c r="D5" s="1713"/>
      <c r="E5" s="1713"/>
      <c r="F5" s="1713"/>
      <c r="G5" s="1713"/>
      <c r="H5" s="1713"/>
      <c r="I5" s="1713"/>
      <c r="J5" s="1713"/>
      <c r="K5" s="1713"/>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1592</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1593</v>
      </c>
      <c r="B7" s="123" t="s">
        <v>1594</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4" t="s">
        <v>1595</v>
      </c>
      <c r="B8" s="156" t="s">
        <v>1596</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1597</v>
      </c>
      <c r="B9" s="734"/>
      <c r="C9" s="734"/>
      <c r="D9" s="734"/>
      <c r="E9" s="734"/>
      <c r="F9" s="734"/>
      <c r="G9" s="734"/>
      <c r="H9" s="734"/>
      <c r="I9" s="734"/>
      <c r="J9" s="734"/>
      <c r="K9" s="735"/>
    </row>
    <row r="10" spans="1:33" s="748" customFormat="1" ht="13.5" customHeight="1">
      <c r="A10" s="737" t="s">
        <v>1598</v>
      </c>
      <c r="B10" s="5" t="s">
        <v>1599</v>
      </c>
      <c r="C10" s="744" t="s">
        <v>1600</v>
      </c>
      <c r="D10" s="745" t="s">
        <v>1601</v>
      </c>
      <c r="E10" s="745" t="s">
        <v>1602</v>
      </c>
      <c r="F10" s="745" t="s">
        <v>1603</v>
      </c>
      <c r="G10" s="5"/>
      <c r="H10" s="746"/>
      <c r="I10" s="746"/>
      <c r="J10" s="746"/>
      <c r="K10" s="747"/>
    </row>
    <row r="11" spans="1:33" s="752" customFormat="1" ht="13.5" customHeight="1">
      <c r="A11" s="749" t="s">
        <v>635</v>
      </c>
      <c r="B11" s="750" t="s">
        <v>1604</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1605</v>
      </c>
      <c r="C12" s="21">
        <f ca="1">ROUND(C11*F12,0)</f>
        <v>0</v>
      </c>
      <c r="D12" s="751"/>
      <c r="E12" s="138"/>
      <c r="F12" s="761">
        <f>'数据-取费表'!B33</f>
        <v>0.05</v>
      </c>
      <c r="G12" s="5" t="s">
        <v>1606</v>
      </c>
      <c r="H12" s="746"/>
      <c r="I12" s="746"/>
      <c r="J12" s="746"/>
      <c r="K12" s="747"/>
    </row>
    <row r="13" spans="1:33" s="752" customFormat="1" ht="13.5" customHeight="1">
      <c r="A13" s="749" t="s">
        <v>637</v>
      </c>
      <c r="B13" s="750" t="s">
        <v>1607</v>
      </c>
      <c r="C13" s="21">
        <f ca="1">ROUND(IF(C1="",SUMIF('数据-取费表'!C:C,"住宅",'数据-取费表'!P:P)*F13,IF(INDIRECT("'数据-取费表'!c"&amp;$K$1)="住宅",INDIRECT("'数据-取费表'!P"&amp;$K$1)*F13,0)),0)</f>
        <v>0</v>
      </c>
      <c r="D13" s="793"/>
      <c r="E13" s="138"/>
      <c r="F13" s="761">
        <f>'数据-取费表'!B34</f>
        <v>0</v>
      </c>
      <c r="G13" s="5" t="s">
        <v>1608</v>
      </c>
      <c r="H13" s="746"/>
      <c r="I13" s="746"/>
      <c r="J13" s="746"/>
      <c r="K13" s="747"/>
    </row>
    <row r="14" spans="1:33" s="754" customFormat="1" ht="13.5" customHeight="1">
      <c r="A14" s="749" t="s">
        <v>638</v>
      </c>
      <c r="B14" s="750" t="s">
        <v>1609</v>
      </c>
      <c r="C14" s="21">
        <f ca="1">ROUND(D14*E14*F11/10000,0)</f>
        <v>0</v>
      </c>
      <c r="D14" s="793">
        <f ca="1">IF(C1="",'数据-汇总表'!E3,INDIRECT("'数据-取费表'!K"&amp;$K$1)+INDIRECT("'数据-取费表'!S"&amp;$K$1))</f>
        <v>2178.63</v>
      </c>
      <c r="E14" s="21">
        <f>'数据-取费表'!B35</f>
        <v>200</v>
      </c>
      <c r="F14" s="753"/>
      <c r="G14" s="5" t="s">
        <v>1610</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1611</v>
      </c>
      <c r="C15" s="760">
        <f ca="1">ROUND(C11*F15,0)</f>
        <v>0</v>
      </c>
      <c r="D15" s="755"/>
      <c r="E15" s="760"/>
      <c r="F15" s="761">
        <f>'数据-取费表'!B36</f>
        <v>0.02</v>
      </c>
      <c r="G15" s="123" t="s">
        <v>1612</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1613</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1614</v>
      </c>
      <c r="C17" s="21">
        <f ca="1">ROUND(D17*E17/10000,0)</f>
        <v>0</v>
      </c>
      <c r="D17" s="793">
        <f ca="1">D14</f>
        <v>2178.63</v>
      </c>
      <c r="E17" s="21">
        <f>'数据-取费表'!B32</f>
        <v>0</v>
      </c>
      <c r="F17" s="755"/>
      <c r="G17" s="123" t="s">
        <v>1615</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1616</v>
      </c>
      <c r="C18" s="21">
        <f ca="1">C19+C20-IF(C1="",'数据-取费表'!B29,IF(G18="已全部缴纳",C19+C20,H18))</f>
        <v>44</v>
      </c>
      <c r="D18" s="793"/>
      <c r="E18" s="21"/>
      <c r="F18" s="753"/>
      <c r="G18" s="1715"/>
      <c r="H18" s="1102"/>
      <c r="I18" s="1716" t="s">
        <v>1617</v>
      </c>
      <c r="J18" s="756"/>
      <c r="K18" s="757"/>
    </row>
    <row r="19" spans="1:33" s="752" customFormat="1" ht="13.5" customHeight="1">
      <c r="A19" s="749" t="s">
        <v>360</v>
      </c>
      <c r="B19" s="750" t="s">
        <v>1618</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1619</v>
      </c>
      <c r="C20" s="21">
        <f ca="1">ROUND(D20*E20/10000,0)</f>
        <v>44</v>
      </c>
      <c r="D20" s="793">
        <f ca="1">IF(C1="",'数据-汇总表'!E6,IF(INDIRECT("'数据-取费表'!c"&amp;$K$1)="住宅",INDIRECT("'数据-取费表'!s"&amp;$K$1),INDIRECT("'数据-取费表'!k"&amp;$K$1)+INDIRECT("'数据-取费表'!s"&amp;$K$1)))</f>
        <v>2178.63</v>
      </c>
      <c r="E20" s="21">
        <f>'数据-取费表'!B28</f>
        <v>200</v>
      </c>
      <c r="F20" s="753"/>
      <c r="G20" s="12"/>
      <c r="H20" s="758"/>
      <c r="I20" s="758"/>
      <c r="J20" s="758"/>
      <c r="K20" s="759"/>
    </row>
    <row r="21" spans="1:33" s="752" customFormat="1" ht="13.5" customHeight="1">
      <c r="A21" s="741" t="s">
        <v>357</v>
      </c>
      <c r="B21" s="762" t="s">
        <v>1620</v>
      </c>
      <c r="C21" s="763">
        <f ca="1">C16+C17+C18</f>
        <v>44</v>
      </c>
      <c r="D21" s="764"/>
      <c r="E21" s="273"/>
      <c r="F21" s="273"/>
      <c r="G21" s="123" t="s">
        <v>1621</v>
      </c>
      <c r="H21" s="756"/>
      <c r="I21" s="756"/>
      <c r="J21" s="756"/>
      <c r="K21" s="757"/>
    </row>
    <row r="22" spans="1:33" s="752" customFormat="1" ht="13.5" customHeight="1">
      <c r="A22" s="741" t="s">
        <v>1593</v>
      </c>
      <c r="B22" s="762" t="s">
        <v>1622</v>
      </c>
      <c r="C22" s="763">
        <f ca="1">ROUND(C21*F22,0)</f>
        <v>1</v>
      </c>
      <c r="D22" s="273"/>
      <c r="E22" s="273"/>
      <c r="F22" s="765">
        <f>'数据-取费表'!B37</f>
        <v>0.02</v>
      </c>
      <c r="G22" s="5" t="s">
        <v>1623</v>
      </c>
      <c r="H22" s="746"/>
      <c r="I22" s="746"/>
      <c r="J22" s="746"/>
      <c r="K22" s="747"/>
    </row>
    <row r="23" spans="1:33" s="752" customFormat="1" ht="13.5" customHeight="1">
      <c r="A23" s="741" t="s">
        <v>1595</v>
      </c>
      <c r="B23" s="762" t="s">
        <v>1624</v>
      </c>
      <c r="C23" s="763">
        <f ca="1">ROUND(C4*F23*F11,0)</f>
        <v>0</v>
      </c>
      <c r="D23" s="273"/>
      <c r="E23" s="273"/>
      <c r="F23" s="765">
        <f>'数据-取费表'!B38</f>
        <v>0.02</v>
      </c>
      <c r="G23" s="5" t="s">
        <v>1625</v>
      </c>
      <c r="H23" s="746"/>
      <c r="I23" s="746"/>
      <c r="J23" s="746"/>
      <c r="K23" s="747"/>
    </row>
    <row r="24" spans="1:33" s="752" customFormat="1" ht="13.5" customHeight="1">
      <c r="A24" s="741" t="s">
        <v>1626</v>
      </c>
      <c r="B24" s="762" t="s">
        <v>1627</v>
      </c>
      <c r="C24" s="272">
        <f>ROUND(F24/(1+'数据-取费表'!C42),4)</f>
        <v>2.9000000000000001E-2</v>
      </c>
      <c r="D24" s="273" t="s">
        <v>12</v>
      </c>
      <c r="E24" s="273"/>
      <c r="F24" s="765">
        <f>IF(项目基本情况!B8="出让",0,'数据-取费表'!B48+'数据-取费表'!B49)</f>
        <v>3.0499999999999999E-2</v>
      </c>
      <c r="G24" s="5" t="s">
        <v>1628</v>
      </c>
      <c r="H24" s="767"/>
      <c r="I24" s="767"/>
      <c r="J24" s="767"/>
      <c r="K24" s="55"/>
    </row>
    <row r="25" spans="1:33" s="752" customFormat="1" ht="13.5" customHeight="1">
      <c r="A25" s="741" t="s">
        <v>1629</v>
      </c>
      <c r="B25" s="764" t="s">
        <v>1630</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1631</v>
      </c>
      <c r="C26" s="1040">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1632</v>
      </c>
      <c r="C27" s="1041">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6"/>
      <c r="I27" s="756"/>
      <c r="J27" s="756"/>
      <c r="K27" s="757"/>
    </row>
    <row r="28" spans="1:33" s="281" customFormat="1" ht="13.5" customHeight="1">
      <c r="A28" s="741" t="s">
        <v>1633</v>
      </c>
      <c r="B28" s="1718" t="s">
        <v>1634</v>
      </c>
      <c r="C28" s="279">
        <f ca="1">C30</f>
        <v>9</v>
      </c>
      <c r="D28" s="272">
        <f ca="1">C29</f>
        <v>0</v>
      </c>
      <c r="E28" s="274" t="s">
        <v>12</v>
      </c>
      <c r="F28" s="280">
        <f ca="1">IF(C1="",'数据-取费表'!Q16,INDIRECT("'数据-取费表'!q"&amp;$K$1))</f>
        <v>0.19</v>
      </c>
      <c r="G28" s="766"/>
      <c r="H28" s="767"/>
      <c r="I28" s="767"/>
      <c r="J28" s="767"/>
      <c r="K28" s="55"/>
    </row>
    <row r="29" spans="1:33" s="283" customFormat="1" ht="13.5" customHeight="1">
      <c r="A29" s="749" t="s">
        <v>358</v>
      </c>
      <c r="B29" s="770" t="s">
        <v>1635</v>
      </c>
      <c r="C29" s="276">
        <f ca="1">ROUND((1+C24)*F28*'数据-取费表'!B24/'数据-取费表'!B20,4)</f>
        <v>0</v>
      </c>
      <c r="D29" s="276"/>
      <c r="E29" s="277"/>
      <c r="F29" s="282"/>
      <c r="G29" s="123" t="s">
        <v>1636</v>
      </c>
      <c r="H29" s="756"/>
      <c r="I29" s="756"/>
      <c r="J29" s="756"/>
      <c r="K29" s="757"/>
    </row>
    <row r="30" spans="1:33" s="283" customFormat="1" ht="13.5" customHeight="1">
      <c r="A30" s="749" t="s">
        <v>359</v>
      </c>
      <c r="B30" s="770" t="s">
        <v>1637</v>
      </c>
      <c r="C30" s="284">
        <f ca="1">ROUND((C21+C22+C23)*F28,0)</f>
        <v>9</v>
      </c>
      <c r="D30" s="276"/>
      <c r="E30" s="277"/>
      <c r="F30" s="282"/>
      <c r="G30" s="123"/>
      <c r="H30" s="756"/>
      <c r="I30" s="756"/>
      <c r="J30" s="756"/>
      <c r="K30" s="757"/>
    </row>
    <row r="31" spans="1:33" s="752" customFormat="1" ht="13.5" customHeight="1" thickBot="1">
      <c r="A31" s="1719" t="s">
        <v>1638</v>
      </c>
      <c r="B31" s="780" t="s">
        <v>1639</v>
      </c>
      <c r="C31" s="781">
        <f>ROUND(C4*F31/(1+'数据-取费表'!C42),0)</f>
        <v>0</v>
      </c>
      <c r="D31" s="782"/>
      <c r="E31" s="783"/>
      <c r="F31" s="784">
        <f>'数据-取费表'!B41</f>
        <v>5.6000000000000001E-2</v>
      </c>
      <c r="G31" s="785" t="s">
        <v>1640</v>
      </c>
      <c r="H31" s="786"/>
      <c r="I31" s="786"/>
      <c r="J31" s="786"/>
      <c r="K31" s="787"/>
    </row>
    <row r="32" spans="1:33" s="748" customFormat="1" ht="13.5" customHeight="1" thickBot="1">
      <c r="A32" s="449" t="s">
        <v>1641</v>
      </c>
      <c r="B32" s="776"/>
      <c r="C32" s="777">
        <f ca="1">ROUND((C4-C21-C22-C23-C25-C28-C31)/(1+C24+D25+D28),0)</f>
        <v>-52</v>
      </c>
      <c r="D32" s="776"/>
      <c r="E32" s="776"/>
      <c r="F32" s="776"/>
      <c r="G32" s="778" t="s">
        <v>1642</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c r="D1" s="1267" t="s">
        <v>43</v>
      </c>
      <c r="E1" s="1268" t="s">
        <v>670</v>
      </c>
      <c r="F1" s="995">
        <f ca="1">J53</f>
        <v>0</v>
      </c>
      <c r="G1" s="1282">
        <f>MATCH(C1,'数据-取费表'!A6:A16,0)+5</f>
        <v>10</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1290" t="e">
        <f ca="1">C40+J29+L46</f>
        <v>#DIV/0!</v>
      </c>
      <c r="C2" s="1285" t="s">
        <v>797</v>
      </c>
      <c r="D2" s="1285"/>
      <c r="E2" s="1291"/>
      <c r="F2" s="1292"/>
      <c r="G2" s="2474"/>
      <c r="H2" s="2464"/>
      <c r="I2" s="2464"/>
      <c r="J2" s="2464"/>
      <c r="K2" s="2465"/>
      <c r="L2" s="2464"/>
      <c r="M2" s="2464"/>
    </row>
    <row r="3" spans="1:37" ht="18" customHeight="1" thickBot="1">
      <c r="A3" s="1293" t="s">
        <v>798</v>
      </c>
      <c r="B3" s="1294">
        <f ca="1">IF(ISERROR(B2*10000/F43),0,ROUND(B2*10000/F43,0))</f>
        <v>0</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0</v>
      </c>
      <c r="D5" s="1269" t="s">
        <v>685</v>
      </c>
      <c r="E5" s="1004"/>
      <c r="F5" s="1005"/>
      <c r="G5" s="1288"/>
      <c r="H5" s="291">
        <v>1</v>
      </c>
      <c r="I5" s="292" t="s">
        <v>684</v>
      </c>
      <c r="J5" s="1003">
        <f ca="1">J6+J10+J12</f>
        <v>0</v>
      </c>
      <c r="K5" s="1269" t="s">
        <v>685</v>
      </c>
      <c r="L5" s="1004"/>
      <c r="M5" s="1005"/>
    </row>
    <row r="6" spans="1:37" ht="18" customHeight="1">
      <c r="A6" s="1002" t="s">
        <v>398</v>
      </c>
      <c r="B6" s="3272" t="s">
        <v>686</v>
      </c>
      <c r="C6" s="1007">
        <f ca="1">ROUND(F6*F8*F7*(1-F9)/10000,0)</f>
        <v>0</v>
      </c>
      <c r="D6" s="147" t="s">
        <v>2100</v>
      </c>
      <c r="E6" s="294" t="s">
        <v>688</v>
      </c>
      <c r="F6" s="295">
        <f ca="1">INDIRECT("'数据-取费表'!u"&amp;$G$1)</f>
        <v>0</v>
      </c>
      <c r="G6" s="1288"/>
      <c r="H6" s="1002" t="s">
        <v>398</v>
      </c>
      <c r="I6" s="3272" t="s">
        <v>686</v>
      </c>
      <c r="J6" s="293">
        <f ca="1">ROUND(M6*M8*M7*(1-M9)/10000,0)</f>
        <v>0</v>
      </c>
      <c r="K6" s="147" t="s">
        <v>2099</v>
      </c>
      <c r="L6" s="294" t="s">
        <v>688</v>
      </c>
      <c r="M6" s="295">
        <f ca="1">INDIRECT("'数据-取费表'!z"&amp;$G$1)</f>
        <v>0</v>
      </c>
    </row>
    <row r="7" spans="1:37" ht="18" customHeight="1">
      <c r="A7" s="1006"/>
      <c r="B7" s="3273"/>
      <c r="C7" s="1008"/>
      <c r="D7" s="299"/>
      <c r="E7" s="1009" t="s">
        <v>689</v>
      </c>
      <c r="F7" s="295">
        <f ca="1">IF(INDIRECT("'数据-取费表'!ah"&amp;$G$1)="",INDIRECT("'数据-取费表'!k"&amp;$G$1),INDIRECT("'数据-取费表'!ah"&amp;$G$1))</f>
        <v>0</v>
      </c>
      <c r="G7" s="1288"/>
      <c r="H7" s="296"/>
      <c r="I7" s="3273"/>
      <c r="J7" s="298"/>
      <c r="K7" s="299"/>
      <c r="L7" s="294" t="s">
        <v>689</v>
      </c>
      <c r="M7" s="295">
        <f ca="1">F7</f>
        <v>0</v>
      </c>
    </row>
    <row r="8" spans="1:37" ht="18" customHeight="1">
      <c r="A8" s="296"/>
      <c r="B8" s="3273"/>
      <c r="C8" s="298"/>
      <c r="D8" s="299"/>
      <c r="E8" s="294" t="s">
        <v>690</v>
      </c>
      <c r="F8" s="295">
        <f ca="1">INDIRECT("'数据-取费表'!ai"&amp;$G$1)</f>
        <v>0</v>
      </c>
      <c r="G8" s="1288"/>
      <c r="H8" s="296"/>
      <c r="I8" s="3273"/>
      <c r="J8" s="298"/>
      <c r="K8" s="299"/>
      <c r="L8" s="294" t="s">
        <v>690</v>
      </c>
      <c r="M8" s="295">
        <f ca="1">INDIRECT("'数据-取费表'!ai"&amp;$G$1)</f>
        <v>0</v>
      </c>
    </row>
    <row r="9" spans="1:37" ht="18" customHeight="1">
      <c r="A9" s="296"/>
      <c r="B9" s="3274"/>
      <c r="C9" s="298"/>
      <c r="D9" s="299"/>
      <c r="E9" s="294" t="s">
        <v>691</v>
      </c>
      <c r="F9" s="304">
        <f ca="1">INDIRECT("'数据-取费表'!w"&amp;$G$1)</f>
        <v>0</v>
      </c>
      <c r="G9" s="1288"/>
      <c r="H9" s="296"/>
      <c r="I9" s="3274"/>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2108</v>
      </c>
      <c r="E10" s="305" t="s">
        <v>693</v>
      </c>
      <c r="F10" s="1049"/>
      <c r="G10" s="1288"/>
      <c r="H10" s="1002" t="s">
        <v>402</v>
      </c>
      <c r="I10" s="1270" t="s">
        <v>692</v>
      </c>
      <c r="J10" s="293">
        <f ca="1">ROUND(IF(M10="押一",J6/12*M11,IF(M10="押二",J6/12*2*M11,IF(M10="押三",J6/12*3*M11,J11*M11))),0)</f>
        <v>0</v>
      </c>
      <c r="K10" s="150" t="s">
        <v>2107</v>
      </c>
      <c r="L10" s="305" t="s">
        <v>693</v>
      </c>
      <c r="M10" s="1049"/>
    </row>
    <row r="11" spans="1:37" ht="18" customHeight="1">
      <c r="A11" s="300"/>
      <c r="B11" s="1271" t="s">
        <v>671</v>
      </c>
      <c r="C11" s="902"/>
      <c r="D11" s="1272"/>
      <c r="E11" s="305" t="s">
        <v>694</v>
      </c>
      <c r="F11" s="306">
        <f ca="1">'数据-取费表'!B39</f>
        <v>1.4999999999999999E-2</v>
      </c>
      <c r="G11" s="1288"/>
      <c r="H11" s="1010"/>
      <c r="I11" s="1271" t="s">
        <v>671</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0</v>
      </c>
      <c r="D13" s="1014" t="s">
        <v>697</v>
      </c>
      <c r="E13" s="1014" t="s">
        <v>698</v>
      </c>
      <c r="F13" s="1015">
        <f ca="1">INDIRECT("'数据-取费表'!y"&amp;$G$1)</f>
        <v>0</v>
      </c>
      <c r="G13" s="1288"/>
      <c r="H13" s="1012">
        <v>2</v>
      </c>
      <c r="I13" s="1013" t="s">
        <v>696</v>
      </c>
      <c r="J13" s="1001">
        <f ca="1">ROUND(J14*J15,0)</f>
        <v>0</v>
      </c>
      <c r="K13" s="1020" t="s">
        <v>697</v>
      </c>
      <c r="L13" s="1295"/>
      <c r="M13" s="1296"/>
    </row>
    <row r="14" spans="1:37" ht="18" customHeight="1">
      <c r="A14" s="925" t="s">
        <v>397</v>
      </c>
      <c r="B14" s="294" t="s">
        <v>699</v>
      </c>
      <c r="C14" s="310">
        <f ca="1">INDIRECT("'数据-取费表'!m"&amp;$G$1)+INDIRECT("'数据-取费表'!t"&amp;$G$1)</f>
        <v>0</v>
      </c>
      <c r="D14" s="1253" t="s">
        <v>700</v>
      </c>
      <c r="E14" s="1251"/>
      <c r="F14" s="311"/>
      <c r="G14" s="1288"/>
      <c r="H14" s="925" t="s">
        <v>398</v>
      </c>
      <c r="I14" s="294" t="s">
        <v>701</v>
      </c>
      <c r="J14" s="21">
        <f ca="1">C29</f>
        <v>0</v>
      </c>
      <c r="K14" s="12"/>
      <c r="L14" s="756"/>
      <c r="M14" s="757"/>
    </row>
    <row r="15" spans="1:37" s="1300" customFormat="1" ht="18" customHeight="1" thickBot="1">
      <c r="A15" s="925" t="s">
        <v>399</v>
      </c>
      <c r="B15" s="294" t="s">
        <v>702</v>
      </c>
      <c r="C15" s="21">
        <f ca="1">ROUND(C14*F15,0)</f>
        <v>0</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ROUND(INDIRECT("'数据-取费表'!m"&amp;$G$1)*F16,0)</f>
        <v>0</v>
      </c>
      <c r="D16" s="294" t="s">
        <v>703</v>
      </c>
      <c r="E16" s="294" t="s">
        <v>704</v>
      </c>
      <c r="F16" s="314">
        <f ca="1">IF(INDIRECT("'数据-取费表'!c"&amp;$G$1)="住宅",'数据-取费表'!B34,0)</f>
        <v>0</v>
      </c>
      <c r="G16" s="1288"/>
      <c r="H16" s="1012" t="s">
        <v>393</v>
      </c>
      <c r="I16" s="1013" t="s">
        <v>706</v>
      </c>
      <c r="J16" s="302">
        <f ca="1">ROUND(J17+J22+J23+J24,0)</f>
        <v>0</v>
      </c>
      <c r="K16" s="1020" t="s">
        <v>707</v>
      </c>
      <c r="L16" s="1021"/>
      <c r="M16" s="1005"/>
    </row>
    <row r="17" spans="1:37" s="1300" customFormat="1" ht="18" customHeight="1">
      <c r="A17" s="925" t="s">
        <v>673</v>
      </c>
      <c r="B17" s="294" t="s">
        <v>708</v>
      </c>
      <c r="C17" s="21">
        <f ca="1">ROUND(F17*(F43+INDIRECT("'数据-取费表'!S"&amp;$G$1))/10000,0)</f>
        <v>0</v>
      </c>
      <c r="D17" s="294" t="s">
        <v>709</v>
      </c>
      <c r="E17" s="294" t="s">
        <v>710</v>
      </c>
      <c r="F17" s="23">
        <f>'数据-取费表'!B35</f>
        <v>200</v>
      </c>
      <c r="G17" s="1299"/>
      <c r="H17" s="925" t="s">
        <v>398</v>
      </c>
      <c r="I17" s="294" t="s">
        <v>711</v>
      </c>
      <c r="J17" s="2135">
        <f ca="1">ROUND(IF(AND(项目基本情况!B11="自然人",项目基本情况!B10="北京市"),J6*M17/(1+'数据-取费表'!C42),J18+J19+J20),2)</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0</v>
      </c>
      <c r="D18" s="294" t="s">
        <v>703</v>
      </c>
      <c r="E18" s="294" t="s">
        <v>704</v>
      </c>
      <c r="F18" s="314">
        <f>'数据-取费表'!B36</f>
        <v>0.02</v>
      </c>
      <c r="G18" s="1299"/>
      <c r="H18" s="925" t="s">
        <v>397</v>
      </c>
      <c r="I18" s="294" t="s">
        <v>715</v>
      </c>
      <c r="J18" s="21">
        <f ca="1">ROUND(J6*M18/(1+'数据-取费表'!C42),2)</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0</v>
      </c>
      <c r="D19" s="123" t="s">
        <v>718</v>
      </c>
      <c r="E19" s="1265"/>
      <c r="F19" s="23"/>
      <c r="G19" s="1288"/>
      <c r="H19" s="925" t="s">
        <v>399</v>
      </c>
      <c r="I19" s="294" t="s">
        <v>719</v>
      </c>
      <c r="J19" s="21">
        <f ca="1">IF(K19="按租金收入计税",ROUND(J6*M19/(1+'数据-取费表'!C42),2),ROUND(C29*M19*0.7,2))</f>
        <v>0</v>
      </c>
      <c r="K19" s="1274" t="s">
        <v>3316</v>
      </c>
      <c r="L19" s="294" t="s">
        <v>704</v>
      </c>
      <c r="M19" s="314">
        <f>IF(K19="按租金收入计税",'数据-取费表'!B51,'数据-取费表'!B50)</f>
        <v>0.12</v>
      </c>
    </row>
    <row r="20" spans="1:37" s="1300" customFormat="1" ht="18" customHeight="1">
      <c r="A20" s="925" t="s">
        <v>402</v>
      </c>
      <c r="B20" s="294" t="s">
        <v>720</v>
      </c>
      <c r="C20" s="21">
        <f ca="1">ROUND(C19*F20,0)</f>
        <v>0</v>
      </c>
      <c r="D20" s="315" t="s">
        <v>721</v>
      </c>
      <c r="E20" s="294" t="s">
        <v>704</v>
      </c>
      <c r="F20" s="314">
        <f>'数据-取费表'!B37</f>
        <v>0.02</v>
      </c>
      <c r="G20" s="1299"/>
      <c r="H20" s="925" t="s">
        <v>672</v>
      </c>
      <c r="I20" s="147" t="s">
        <v>722</v>
      </c>
      <c r="J20" s="22">
        <f ca="1">ROUND(M20*M21/10000,2)</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15</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ROUND(J14*M22,2)</f>
        <v>0</v>
      </c>
      <c r="K22" s="1252" t="s">
        <v>731</v>
      </c>
      <c r="L22" s="294" t="s">
        <v>704</v>
      </c>
      <c r="M22" s="320">
        <f ca="1">INDIRECT("'数据-取费表'!Ak"&amp;$G$1)</f>
        <v>0</v>
      </c>
    </row>
    <row r="23" spans="1:37" s="1300" customFormat="1" ht="18" customHeight="1">
      <c r="A23" s="925" t="s">
        <v>397</v>
      </c>
      <c r="B23" s="294" t="s">
        <v>732</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ROUND(J13*M23,2)</f>
        <v>0</v>
      </c>
      <c r="K23" s="1252" t="s">
        <v>735</v>
      </c>
      <c r="L23" s="294" t="s">
        <v>736</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ROUND(J5*M24,2)</f>
        <v>0</v>
      </c>
      <c r="K24" s="1025" t="s">
        <v>740</v>
      </c>
      <c r="L24" s="1023" t="s">
        <v>736</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741</v>
      </c>
      <c r="B25" s="294" t="s">
        <v>742</v>
      </c>
      <c r="C25" s="21"/>
      <c r="D25" s="123" t="s">
        <v>743</v>
      </c>
      <c r="E25" s="1265"/>
      <c r="F25" s="23"/>
      <c r="G25" s="1288"/>
      <c r="H25" s="1012" t="s">
        <v>394</v>
      </c>
      <c r="I25" s="1027" t="s">
        <v>744</v>
      </c>
      <c r="J25" s="302">
        <f ca="1">J5-J16</f>
        <v>0</v>
      </c>
      <c r="K25" s="1028" t="s">
        <v>745</v>
      </c>
      <c r="L25" s="1029"/>
      <c r="M25" s="1030"/>
    </row>
    <row r="26" spans="1:37">
      <c r="A26" s="925" t="s">
        <v>397</v>
      </c>
      <c r="B26" s="294" t="s">
        <v>746</v>
      </c>
      <c r="C26" s="21">
        <f ca="1">ROUND((C19+C20)*F26,0)</f>
        <v>0</v>
      </c>
      <c r="D26" s="315" t="s">
        <v>747</v>
      </c>
      <c r="E26" s="305" t="s">
        <v>748</v>
      </c>
      <c r="F26" s="304">
        <f ca="1">INDIRECT("'数据-取费表'!q"&amp;$G$1)</f>
        <v>0</v>
      </c>
      <c r="G26" s="1288"/>
      <c r="H26" s="291" t="s">
        <v>395</v>
      </c>
      <c r="I26" s="292" t="s">
        <v>749</v>
      </c>
      <c r="J26" s="293">
        <f ca="1">IF(J5&lt;&gt;0,ROUND(J25*(1-((1+M28)/(1+M26))^M27)/(M26-M28),0),0)</f>
        <v>0</v>
      </c>
      <c r="K26" s="316" t="s">
        <v>750</v>
      </c>
      <c r="L26" s="294" t="s">
        <v>751</v>
      </c>
      <c r="M26" s="304">
        <f ca="1">INDIRECT("'数据-取费表'!I"&amp;$G$1)</f>
        <v>0</v>
      </c>
    </row>
    <row r="27" spans="1:37" ht="18" customHeight="1">
      <c r="A27" s="925" t="s">
        <v>399</v>
      </c>
      <c r="B27" s="294" t="s">
        <v>752</v>
      </c>
      <c r="C27" s="21">
        <f ca="1">ROUND(F21*F26,4)</f>
        <v>0</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0</v>
      </c>
      <c r="D29" s="1025"/>
      <c r="E29" s="1023"/>
      <c r="F29" s="1026"/>
      <c r="G29" s="1299"/>
      <c r="H29" s="325" t="s">
        <v>396</v>
      </c>
      <c r="I29" s="326" t="s">
        <v>760</v>
      </c>
      <c r="J29" s="327">
        <f ca="1">ROUND(J26/(1+F40)^F41,0)</f>
        <v>0</v>
      </c>
      <c r="K29" s="328" t="s">
        <v>761</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0</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ROUND(IF(AND(项目基本情况!B11="自然人",项目基本情况!B10="北京市"),C6*F31/(1+'数据-取费表'!C42),C32+C33+C34),2)</f>
        <v>0</v>
      </c>
      <c r="D31" s="1253" t="s">
        <v>712</v>
      </c>
      <c r="E31" s="1252" t="s">
        <v>762</v>
      </c>
      <c r="F31" s="2134">
        <f ca="1">IF(项目基本情况!B11="企业","——",IF(M47="住宅",IF(F6*F7*F8/12/(1+'数据-取费表'!F30)&gt;100000,4%,2.5%),IF(F6*F7*F8/12/(1+'数据-取费表'!F30)&gt;100000,12%,7%)))</f>
        <v>7.0000000000000007E-2</v>
      </c>
      <c r="G31" s="1288"/>
      <c r="H31" s="2565" t="s">
        <v>2288</v>
      </c>
      <c r="I31" s="1301"/>
      <c r="J31" s="1302"/>
      <c r="K31" s="121"/>
      <c r="L31" s="2467"/>
      <c r="M31" s="2468"/>
    </row>
    <row r="32" spans="1:37" ht="18" customHeight="1">
      <c r="A32" s="925" t="s">
        <v>397</v>
      </c>
      <c r="B32" s="294" t="s">
        <v>715</v>
      </c>
      <c r="C32" s="21" t="str">
        <f>IF(项目基本情况!B11="自然人","——",ROUND(C6*F32/(1+'数据-取费表'!C42),2))</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IF(项目基本情况!B11="自然人","——",IF(D33="按租金收入计税",ROUND(C6*F33/(1+'数据-取费表'!C42),2),IF(D33="按房产原值计税",ROUND(C29*F33*0.7,2),INDIRECT("'数据-取费表'!Aj"&amp;$G$1))))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IF(项目基本情况!B11="自然人","——",ROUND(F34*F35/10000,2))</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ROUND(C29*F36,2)</f>
        <v>0</v>
      </c>
      <c r="D36" s="1252" t="s">
        <v>763</v>
      </c>
      <c r="E36" s="294" t="s">
        <v>704</v>
      </c>
      <c r="F36" s="320">
        <f ca="1">INDIRECT("'数据-取费表'!Ak"&amp;$G$1)</f>
        <v>0</v>
      </c>
      <c r="G36" s="1288"/>
      <c r="H36" s="2469"/>
      <c r="I36" s="1301"/>
      <c r="J36" s="1302"/>
      <c r="K36" s="2326"/>
      <c r="L36" s="2469"/>
      <c r="M36" s="2469"/>
    </row>
    <row r="37" spans="1:18" ht="18" customHeight="1">
      <c r="A37" s="925" t="s">
        <v>437</v>
      </c>
      <c r="B37" s="294" t="s">
        <v>734</v>
      </c>
      <c r="C37" s="21">
        <f ca="1">ROUND(C13*F37,2)</f>
        <v>0</v>
      </c>
      <c r="D37" s="1252" t="s">
        <v>735</v>
      </c>
      <c r="E37" s="294" t="s">
        <v>736</v>
      </c>
      <c r="F37" s="321">
        <f ca="1">INDIRECT("'数据-取费表'!Al"&amp;$G$1)</f>
        <v>0</v>
      </c>
      <c r="G37" s="1288"/>
      <c r="H37" s="2469"/>
      <c r="I37" s="1301"/>
      <c r="J37" s="1302"/>
      <c r="K37" s="2326"/>
      <c r="L37" s="2469"/>
      <c r="M37" s="2469"/>
    </row>
    <row r="38" spans="1:18" ht="18" customHeight="1" thickBot="1">
      <c r="A38" s="1022" t="s">
        <v>676</v>
      </c>
      <c r="B38" s="1023" t="s">
        <v>720</v>
      </c>
      <c r="C38" s="1024">
        <f ca="1">ROUND(C5*F38,2)</f>
        <v>0</v>
      </c>
      <c r="D38" s="1025" t="s">
        <v>740</v>
      </c>
      <c r="E38" s="1023" t="s">
        <v>736</v>
      </c>
      <c r="F38" s="1019">
        <f ca="1">INDIRECT("'数据-取费表'!Am"&amp;$G$1)</f>
        <v>0</v>
      </c>
      <c r="G38" s="1288"/>
      <c r="H38" s="2469"/>
      <c r="I38" s="1301"/>
      <c r="J38" s="1302"/>
      <c r="K38" s="2467"/>
      <c r="L38" s="2469"/>
      <c r="M38" s="2469"/>
    </row>
    <row r="39" spans="1:18" ht="24.6" customHeight="1" thickTop="1">
      <c r="A39" s="1012" t="s">
        <v>394</v>
      </c>
      <c r="B39" s="1027" t="s">
        <v>764</v>
      </c>
      <c r="C39" s="302">
        <f ca="1">C5-C30</f>
        <v>0</v>
      </c>
      <c r="D39" s="1028" t="s">
        <v>765</v>
      </c>
      <c r="E39" s="1029"/>
      <c r="F39" s="1030"/>
      <c r="G39" s="1288"/>
      <c r="H39" s="2469"/>
      <c r="I39" s="1301"/>
      <c r="J39" s="1302"/>
      <c r="K39" s="2467"/>
      <c r="L39" s="2469"/>
      <c r="M39" s="2469"/>
    </row>
    <row r="40" spans="1:18" ht="18" customHeight="1">
      <c r="A40" s="291" t="s">
        <v>395</v>
      </c>
      <c r="B40" s="292" t="s">
        <v>766</v>
      </c>
      <c r="C40" s="293" t="e">
        <f ca="1">ROUND(C39*(1-((1+F42)/(1+F40))^F41)/(F40-F42),0)</f>
        <v>#DIV/0!</v>
      </c>
      <c r="D40" s="316" t="s">
        <v>750</v>
      </c>
      <c r="E40" s="294" t="s">
        <v>751</v>
      </c>
      <c r="F40" s="304">
        <f ca="1">INDIRECT("'数据-取费表'!I"&amp;$G$1)</f>
        <v>0</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758</v>
      </c>
      <c r="F42" s="304">
        <f ca="1">INDIRECT("'数据-取费表'!v"&amp;$G$1)</f>
        <v>0</v>
      </c>
      <c r="G42" s="1288"/>
      <c r="H42" s="121"/>
      <c r="I42" s="1301"/>
      <c r="J42" s="1302"/>
      <c r="K42" s="2326"/>
      <c r="L42" s="121"/>
      <c r="M42" s="121"/>
    </row>
    <row r="43" spans="1:18" ht="18" customHeight="1" thickBot="1">
      <c r="A43" s="325" t="s">
        <v>396</v>
      </c>
      <c r="B43" s="326" t="s">
        <v>768</v>
      </c>
      <c r="C43" s="327" t="e">
        <f ca="1">ROUND(C40*10000/F43,0)</f>
        <v>#DIV/0!</v>
      </c>
      <c r="D43" s="328" t="s">
        <v>769</v>
      </c>
      <c r="E43" s="329" t="s">
        <v>770</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3" t="s">
        <v>800</v>
      </c>
      <c r="P45" s="1362"/>
      <c r="Q45" s="1362"/>
      <c r="R45" s="1362"/>
    </row>
    <row r="46" spans="1:18" s="1288" customFormat="1" ht="13.5" thickBot="1">
      <c r="A46" s="1307" t="s">
        <v>801</v>
      </c>
      <c r="C46" s="1308" t="e">
        <f ca="1">C68-C40</f>
        <v>#DIV/0!</v>
      </c>
      <c r="D46" s="1309" t="str">
        <f>C2</f>
        <v>万元</v>
      </c>
      <c r="E46" s="1303"/>
      <c r="F46" s="1303"/>
      <c r="I46" s="1310" t="s">
        <v>802</v>
      </c>
      <c r="J46" s="1311"/>
      <c r="K46" s="1312"/>
      <c r="L46" s="1313" t="e">
        <f ca="1">IF(M47="住宅",0,IF(L48&gt;J51,L60,J60))</f>
        <v>#DIV/0!</v>
      </c>
      <c r="O46" s="1314" t="s">
        <v>803</v>
      </c>
      <c r="P46" s="1315" t="s">
        <v>804</v>
      </c>
      <c r="Q46" s="1316" t="s">
        <v>805</v>
      </c>
      <c r="R46" s="1316" t="s">
        <v>806</v>
      </c>
    </row>
    <row r="47" spans="1:18" s="1288" customFormat="1" ht="13.5" thickBot="1">
      <c r="A47" s="889" t="s">
        <v>679</v>
      </c>
      <c r="B47" s="921" t="s">
        <v>680</v>
      </c>
      <c r="C47" s="1050" t="s">
        <v>681</v>
      </c>
      <c r="D47" s="921" t="s">
        <v>682</v>
      </c>
      <c r="E47" s="991" t="s">
        <v>683</v>
      </c>
      <c r="F47" s="992"/>
      <c r="G47" s="681"/>
      <c r="I47" s="1317" t="s">
        <v>807</v>
      </c>
      <c r="J47" s="1318"/>
      <c r="K47" s="1319" t="s">
        <v>808</v>
      </c>
      <c r="L47" s="1320">
        <f ca="1">INDIRECT("'数据-取费表'!d"&amp;$G$1)</f>
        <v>0</v>
      </c>
      <c r="M47" s="1284" t="str">
        <f>IF(ISNUMBER(FIND("住宅",C1)),"住宅","非住宅")</f>
        <v>非住宅</v>
      </c>
      <c r="O47" s="1321" t="s">
        <v>403</v>
      </c>
      <c r="P47" s="1322" t="s">
        <v>809</v>
      </c>
      <c r="Q47" s="1323" t="e">
        <f ca="1">C40+J29</f>
        <v>#DIV/0!</v>
      </c>
      <c r="R47" s="1323" t="s">
        <v>810</v>
      </c>
    </row>
    <row r="48" spans="1:18" s="1288" customFormat="1" ht="28.5" thickBot="1">
      <c r="A48" s="1043" t="s">
        <v>438</v>
      </c>
      <c r="B48" s="292" t="s">
        <v>684</v>
      </c>
      <c r="C48" s="1264">
        <f ca="1">C49+C53+C55</f>
        <v>0</v>
      </c>
      <c r="D48" s="1045"/>
      <c r="E48" s="1046"/>
      <c r="F48" s="905"/>
      <c r="G48" s="681"/>
      <c r="H48" s="682"/>
      <c r="I48" s="1324" t="s">
        <v>811</v>
      </c>
      <c r="J48" s="1325"/>
      <c r="K48" s="1326" t="s">
        <v>812</v>
      </c>
      <c r="L48" s="1327">
        <f ca="1">INDIRECT("'数据-取费表'!f"&amp;$G$1)</f>
        <v>0</v>
      </c>
      <c r="O48" s="1321" t="s">
        <v>404</v>
      </c>
      <c r="P48" s="1322" t="s">
        <v>813</v>
      </c>
      <c r="Q48" s="1323" t="e">
        <f ca="1">J60</f>
        <v>#DIV/0!</v>
      </c>
      <c r="R48" s="1323" t="s">
        <v>814</v>
      </c>
    </row>
    <row r="49" spans="1:18" s="1288" customFormat="1" ht="13.5" thickBot="1">
      <c r="A49" s="918" t="s">
        <v>439</v>
      </c>
      <c r="B49" s="1275" t="s">
        <v>771</v>
      </c>
      <c r="C49" s="1047">
        <f ca="1">ROUND(F49*F51*F50*(1-F52)/10000,0)</f>
        <v>0</v>
      </c>
      <c r="D49" s="988" t="s">
        <v>2101</v>
      </c>
      <c r="E49" s="1276" t="s">
        <v>772</v>
      </c>
      <c r="F49" s="993"/>
      <c r="H49" s="682"/>
      <c r="I49" s="1324" t="s">
        <v>815</v>
      </c>
      <c r="J49" s="1328"/>
      <c r="K49" s="1326" t="s">
        <v>816</v>
      </c>
      <c r="L49" s="1329"/>
      <c r="O49" s="1330" t="s">
        <v>405</v>
      </c>
      <c r="P49" s="1322" t="s">
        <v>817</v>
      </c>
      <c r="Q49" s="1323">
        <f ca="1">C29</f>
        <v>0</v>
      </c>
      <c r="R49" s="1323" t="s">
        <v>810</v>
      </c>
    </row>
    <row r="50" spans="1:18" s="1288" customFormat="1" ht="13.5" thickBot="1">
      <c r="A50" s="919"/>
      <c r="B50" s="922"/>
      <c r="C50" s="1051"/>
      <c r="D50" s="896"/>
      <c r="E50" s="989" t="s">
        <v>689</v>
      </c>
      <c r="F50" s="990">
        <f ca="1">F7</f>
        <v>0</v>
      </c>
      <c r="H50" s="682"/>
      <c r="I50" s="1324" t="s">
        <v>818</v>
      </c>
      <c r="J50" s="1331">
        <f>SUMPRODUCT((I63:I65=J47)*(J62:L62=J48)*(J63:L65))</f>
        <v>0</v>
      </c>
      <c r="K50" s="1326" t="s">
        <v>819</v>
      </c>
      <c r="L50" s="1329"/>
      <c r="M50" s="1332"/>
      <c r="O50" s="1330" t="s">
        <v>406</v>
      </c>
      <c r="P50" s="1322" t="s">
        <v>820</v>
      </c>
      <c r="Q50" s="1333" t="e">
        <f ca="1">J58</f>
        <v>#DIV/0!</v>
      </c>
      <c r="R50" s="1323"/>
    </row>
    <row r="51" spans="1:18" s="1288" customFormat="1" ht="13.5" thickBot="1">
      <c r="A51" s="920"/>
      <c r="B51" s="922"/>
      <c r="C51" s="923"/>
      <c r="D51" s="896"/>
      <c r="E51" s="924" t="s">
        <v>690</v>
      </c>
      <c r="F51" s="295">
        <f ca="1">F8</f>
        <v>0</v>
      </c>
      <c r="I51" s="1334" t="s">
        <v>821</v>
      </c>
      <c r="J51" s="1327">
        <f>IF(J49="",J50,J49+J50-YEAR('数据-取费表'!B2))</f>
        <v>0</v>
      </c>
      <c r="K51" s="1335" t="s">
        <v>822</v>
      </c>
      <c r="L51" s="1336">
        <f ca="1">ROUND(-PV(INDIRECT("'数据-取费表'!h"&amp;$G$1),J51,(C39-C13*C76),0),0)</f>
        <v>0</v>
      </c>
      <c r="M51" s="1337"/>
      <c r="O51" s="1330" t="s">
        <v>407</v>
      </c>
      <c r="P51" s="1322" t="s">
        <v>823</v>
      </c>
      <c r="Q51" s="1333">
        <f>J52</f>
        <v>0</v>
      </c>
      <c r="R51" s="1323"/>
    </row>
    <row r="52" spans="1:18" s="1288" customFormat="1" ht="13.5" thickBot="1">
      <c r="A52" s="920"/>
      <c r="B52" s="922"/>
      <c r="C52" s="923"/>
      <c r="D52" s="896"/>
      <c r="E52" s="924" t="s">
        <v>691</v>
      </c>
      <c r="F52" s="987"/>
      <c r="I52" s="1338" t="s">
        <v>824</v>
      </c>
      <c r="J52" s="1339"/>
      <c r="K52" s="1338" t="s">
        <v>825</v>
      </c>
      <c r="L52" s="1339"/>
      <c r="O52" s="1330" t="s">
        <v>408</v>
      </c>
      <c r="P52" s="1322" t="s">
        <v>826</v>
      </c>
      <c r="Q52" s="1323">
        <f ca="1">J53</f>
        <v>0</v>
      </c>
      <c r="R52" s="1323" t="s">
        <v>827</v>
      </c>
    </row>
    <row r="53" spans="1:18" s="1288" customFormat="1" ht="24.75" thickBot="1">
      <c r="A53" s="1075" t="s">
        <v>440</v>
      </c>
      <c r="B53" s="1277" t="s">
        <v>692</v>
      </c>
      <c r="C53" s="308">
        <f ca="1">ROUND(IF(F53="押一",C49/12*F11,IF(F53="押二",C49/12*2*F11,IF(F53="押三",C49/12*3*F11,C54*F11))),0)</f>
        <v>0</v>
      </c>
      <c r="D53" s="150" t="s">
        <v>2107</v>
      </c>
      <c r="E53" s="305" t="s">
        <v>693</v>
      </c>
      <c r="F53" s="1049"/>
      <c r="I53" s="1340" t="s">
        <v>828</v>
      </c>
      <c r="J53" s="2001">
        <f ca="1">IF(M47="住宅",IF(D1="——",MAX(J51,L48),MAX(J51,L48-'数据-取费表'!B24)),IF(D1="——",MIN(J51,L48),MIN(J51,L48-'数据-取费表'!B24)))</f>
        <v>0</v>
      </c>
      <c r="K53" s="3270" t="s">
        <v>829</v>
      </c>
      <c r="L53" s="3271"/>
      <c r="O53" s="1321" t="s">
        <v>409</v>
      </c>
      <c r="P53" s="1322" t="s">
        <v>830</v>
      </c>
      <c r="Q53" s="1323" t="e">
        <f ca="1">Q47+Q48</f>
        <v>#DIV/0!</v>
      </c>
      <c r="R53" s="1323" t="s">
        <v>410</v>
      </c>
    </row>
    <row r="54" spans="1:18" s="1288" customFormat="1" ht="13.5" thickBot="1">
      <c r="A54" s="1076"/>
      <c r="B54" s="1271" t="s">
        <v>671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t="e">
        <f ca="1">ROUND(IF(J47="钢混",J57/J50,1-(1-2%)*(J50-J57)/J50),3)</f>
        <v>#DIV/0!</v>
      </c>
      <c r="K55" s="1346" t="s">
        <v>833</v>
      </c>
      <c r="L55" s="1347"/>
      <c r="O55" s="1314" t="s">
        <v>803</v>
      </c>
      <c r="P55" s="1315" t="s">
        <v>804</v>
      </c>
      <c r="Q55" s="1316" t="s">
        <v>805</v>
      </c>
      <c r="R55" s="1316" t="s">
        <v>806</v>
      </c>
    </row>
    <row r="56" spans="1:18" s="1288" customFormat="1" ht="25.5" thickTop="1" thickBot="1">
      <c r="A56" s="900">
        <v>2</v>
      </c>
      <c r="B56" s="901" t="s">
        <v>696</v>
      </c>
      <c r="C56" s="224">
        <f ca="1">C13</f>
        <v>0</v>
      </c>
      <c r="D56" s="1348"/>
      <c r="E56" s="1349"/>
      <c r="F56" s="1341"/>
      <c r="I56" s="1350" t="s">
        <v>834</v>
      </c>
      <c r="J56" s="1351"/>
      <c r="K56" s="1324" t="s">
        <v>835</v>
      </c>
      <c r="L56" s="1327">
        <f ca="1">IF(L48&lt;J51,"——",L48-J53)</f>
        <v>0</v>
      </c>
      <c r="O56" s="1321" t="s">
        <v>403</v>
      </c>
      <c r="P56" s="1322" t="s">
        <v>809</v>
      </c>
      <c r="Q56" s="1323" t="e">
        <f ca="1">C40+J29</f>
        <v>#DIV/0!</v>
      </c>
      <c r="R56" s="1323" t="s">
        <v>810</v>
      </c>
    </row>
    <row r="57" spans="1:18" s="1288" customFormat="1" ht="24.75" thickBot="1">
      <c r="A57" s="1352"/>
      <c r="B57" s="893" t="s">
        <v>759</v>
      </c>
      <c r="C57" s="230">
        <f ca="1">C29</f>
        <v>0</v>
      </c>
      <c r="D57" s="1353"/>
      <c r="E57" s="1354"/>
      <c r="F57" s="1355"/>
      <c r="I57" s="1356" t="s">
        <v>836</v>
      </c>
      <c r="J57" s="1357">
        <f ca="1">IF(OR(M47="住宅",J51&lt;L48,J56="是"),"——",J51-L48)</f>
        <v>0</v>
      </c>
      <c r="K57" s="1324" t="s">
        <v>837</v>
      </c>
      <c r="L57" s="1327">
        <f ca="1">IF(L48&lt;J51,"——",IF(L55="比较法",L49,IF(L55="基准地价",L50,L51)))</f>
        <v>0</v>
      </c>
      <c r="O57" s="1321" t="s">
        <v>404</v>
      </c>
      <c r="P57" s="1322" t="s">
        <v>838</v>
      </c>
      <c r="Q57" s="1323" t="e">
        <f ca="1">L60</f>
        <v>#DIV/0!</v>
      </c>
      <c r="R57" s="1323" t="s">
        <v>839</v>
      </c>
    </row>
    <row r="58" spans="1:18" s="1288" customFormat="1" ht="24.75" thickBot="1">
      <c r="A58" s="307" t="s">
        <v>393</v>
      </c>
      <c r="B58" s="901" t="s">
        <v>706</v>
      </c>
      <c r="C58" s="308">
        <f ca="1">ROUND(C59+C64+C65+C66,0)</f>
        <v>0</v>
      </c>
      <c r="D58" s="903" t="s">
        <v>707</v>
      </c>
      <c r="E58" s="904"/>
      <c r="F58" s="905"/>
      <c r="I58" s="1356" t="s">
        <v>840</v>
      </c>
      <c r="J58" s="1358" t="e">
        <f ca="1">IF(J55&lt;0.4,0.4,J55)</f>
        <v>#DIV/0!</v>
      </c>
      <c r="K58" s="1335" t="s">
        <v>841</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IF(项目基本情况!B11="自然人","——",ROUND(C48*F60/(1+'数据-取费表'!C42),2))</f>
        <v>——</v>
      </c>
      <c r="D60" s="907" t="s">
        <v>716</v>
      </c>
      <c r="E60" s="893" t="s">
        <v>704</v>
      </c>
      <c r="F60" s="322">
        <f t="shared" ref="F60:F66" si="0">F32</f>
        <v>5.6000000000000001E-2</v>
      </c>
      <c r="I60" s="1359" t="s">
        <v>845</v>
      </c>
      <c r="J60" s="1360" t="e">
        <f ca="1">IF(OR(M47="住宅",J51&lt;L48,J56="是"),"0",ROUND(J59/(1+J52)^J53,0))</f>
        <v>#DIV/0!</v>
      </c>
      <c r="K60" s="1361" t="s">
        <v>846</v>
      </c>
      <c r="L60" s="1360" t="e">
        <f ca="1">IF(OR(M47="住宅",L48&lt;J51),0,ROUND(L57*(L58/L59-1),0))</f>
        <v>#DIV/0!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IF(项目基本情况!B11="自然人","——",IF(D61="按租金收入计税",ROUND(C49*F61/(1+'数据-取费表'!C42),2),IF(D61="按房产原值计税",ROUND(C57*F61*0.7,2),INDIRECT("'数据-取费表'!Aj"&amp;$G$1))))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IF(项目基本情况!B11="自然人","——",ROUND(F62*F63/10000,2))</f>
        <v>——</v>
      </c>
      <c r="D62" s="908" t="s">
        <v>778</v>
      </c>
      <c r="E62" s="893" t="s">
        <v>779</v>
      </c>
      <c r="F62" s="317">
        <f t="shared" si="0"/>
        <v>0</v>
      </c>
      <c r="I62" s="1363" t="s">
        <v>850</v>
      </c>
      <c r="J62" s="610" t="s">
        <v>851</v>
      </c>
      <c r="K62" s="610" t="s">
        <v>852</v>
      </c>
      <c r="L62" s="610" t="s">
        <v>853</v>
      </c>
      <c r="M62" s="1364" t="s">
        <v>854</v>
      </c>
      <c r="O62" s="1321" t="s">
        <v>409</v>
      </c>
      <c r="P62" s="1322" t="s">
        <v>855</v>
      </c>
      <c r="Q62" s="1323" t="e">
        <f ca="1">Q56+Q57</f>
        <v>#DIV/0!</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ROUND(C57*F64,2)</f>
        <v>0</v>
      </c>
      <c r="D64" s="907" t="s">
        <v>783</v>
      </c>
      <c r="E64" s="893" t="s">
        <v>775</v>
      </c>
      <c r="F64" s="320">
        <f t="shared" ca="1" si="0"/>
        <v>0</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ROUND(C56*F65,2)</f>
        <v>0</v>
      </c>
      <c r="D65" s="907" t="s">
        <v>735</v>
      </c>
      <c r="E65" s="893" t="s">
        <v>736</v>
      </c>
      <c r="F65" s="321">
        <f t="shared" ca="1" si="0"/>
        <v>0</v>
      </c>
      <c r="I65" s="1363" t="s">
        <v>859</v>
      </c>
      <c r="J65" s="610">
        <v>40</v>
      </c>
      <c r="K65" s="610">
        <v>30</v>
      </c>
      <c r="L65" s="610">
        <v>50</v>
      </c>
      <c r="M65" s="1365">
        <v>0.02</v>
      </c>
      <c r="O65" s="1321" t="s">
        <v>403</v>
      </c>
      <c r="P65" s="1322" t="s">
        <v>860</v>
      </c>
      <c r="Q65" s="1323" t="e">
        <f ca="1">C40+J29</f>
        <v>#DIV/0!</v>
      </c>
      <c r="R65" s="1323" t="s">
        <v>810</v>
      </c>
    </row>
    <row r="66" spans="1:18" s="1288" customFormat="1" ht="16.5" thickBot="1">
      <c r="A66" s="925" t="s">
        <v>785</v>
      </c>
      <c r="B66" s="893" t="s">
        <v>720</v>
      </c>
      <c r="C66" s="21">
        <f ca="1">ROUND(C48*F66,2)</f>
        <v>0</v>
      </c>
      <c r="D66" s="907" t="s">
        <v>786</v>
      </c>
      <c r="E66" s="893" t="s">
        <v>704</v>
      </c>
      <c r="F66" s="304">
        <f t="shared" ca="1" si="0"/>
        <v>0</v>
      </c>
      <c r="O66" s="1321" t="s">
        <v>404</v>
      </c>
      <c r="P66" s="1322" t="s">
        <v>838</v>
      </c>
      <c r="Q66" s="1323" t="e">
        <f ca="1">L60</f>
        <v>#DIV/0!</v>
      </c>
      <c r="R66" s="1323" t="s">
        <v>861</v>
      </c>
    </row>
    <row r="67" spans="1:18" s="1288" customFormat="1" ht="16.5" thickBot="1">
      <c r="A67" s="900" t="s">
        <v>394</v>
      </c>
      <c r="B67" s="910" t="s">
        <v>744</v>
      </c>
      <c r="C67" s="308">
        <f ca="1">C48-C58</f>
        <v>0</v>
      </c>
      <c r="D67" s="906" t="s">
        <v>745</v>
      </c>
      <c r="E67" s="911"/>
      <c r="F67" s="912"/>
      <c r="O67" s="1330" t="s">
        <v>405</v>
      </c>
      <c r="P67" s="1322" t="s">
        <v>842</v>
      </c>
      <c r="Q67" s="1366">
        <f ca="1">L51</f>
        <v>0</v>
      </c>
      <c r="R67" s="1323" t="s">
        <v>862</v>
      </c>
    </row>
    <row r="68" spans="1:18" s="1288" customFormat="1" ht="16.5" thickBot="1">
      <c r="A68" s="890" t="s">
        <v>395</v>
      </c>
      <c r="B68" s="891" t="s">
        <v>766</v>
      </c>
      <c r="C68" s="293" t="e">
        <f ca="1">ROUND(C67*(1-((1+F70)/(1+F68))^F69)/(F68-F70),0)</f>
        <v>#DIV/0!</v>
      </c>
      <c r="D68" s="908" t="s">
        <v>750</v>
      </c>
      <c r="E68" s="893" t="s">
        <v>751</v>
      </c>
      <c r="F68" s="304">
        <f ca="1">F40</f>
        <v>0</v>
      </c>
      <c r="O68" s="1330" t="s">
        <v>406</v>
      </c>
      <c r="P68" s="1367" t="s">
        <v>863</v>
      </c>
      <c r="Q68" s="1323">
        <f ca="1">ROUND(Q69-Q70*Q71,0)</f>
        <v>0</v>
      </c>
      <c r="R68" s="1323" t="s">
        <v>414</v>
      </c>
    </row>
    <row r="69" spans="1:18" s="1288" customFormat="1" ht="13.5" thickBot="1">
      <c r="A69" s="894"/>
      <c r="B69" s="895"/>
      <c r="C69" s="298"/>
      <c r="D69" s="913" t="s">
        <v>754</v>
      </c>
      <c r="E69" s="893" t="s">
        <v>755</v>
      </c>
      <c r="F69" s="324">
        <f ca="1">F41</f>
        <v>0</v>
      </c>
      <c r="O69" s="1330" t="s">
        <v>411</v>
      </c>
      <c r="P69" s="1367" t="s">
        <v>864</v>
      </c>
      <c r="Q69" s="1323">
        <f ca="1">C39</f>
        <v>0</v>
      </c>
      <c r="R69" s="1323" t="s">
        <v>810</v>
      </c>
    </row>
    <row r="70" spans="1:18" s="1288" customFormat="1" ht="13.5" thickBot="1">
      <c r="A70" s="897"/>
      <c r="B70" s="898"/>
      <c r="C70" s="302"/>
      <c r="D70" s="909"/>
      <c r="E70" s="893" t="s">
        <v>758</v>
      </c>
      <c r="F70" s="987"/>
      <c r="O70" s="1330" t="s">
        <v>412</v>
      </c>
      <c r="P70" s="1367" t="s">
        <v>865</v>
      </c>
      <c r="Q70" s="1323">
        <f ca="1">C13</f>
        <v>0</v>
      </c>
      <c r="R70" s="1323" t="s">
        <v>810</v>
      </c>
    </row>
    <row r="71" spans="1:18" s="1288" customFormat="1" ht="13.5" thickBot="1">
      <c r="A71" s="914" t="s">
        <v>396</v>
      </c>
      <c r="B71" s="915" t="s">
        <v>768</v>
      </c>
      <c r="C71" s="327" t="e">
        <f ca="1">ROUND(C68*10000/F71,0)</f>
        <v>#DIV/0!</v>
      </c>
      <c r="D71" s="916" t="s">
        <v>769</v>
      </c>
      <c r="E71" s="917" t="s">
        <v>770</v>
      </c>
      <c r="F71" s="330">
        <f ca="1">F43</f>
        <v>0</v>
      </c>
      <c r="O71" s="1330" t="s">
        <v>413</v>
      </c>
      <c r="P71" s="1367" t="s">
        <v>866</v>
      </c>
      <c r="Q71" s="1333">
        <f ca="1">C76</f>
        <v>0</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0</v>
      </c>
      <c r="D75" s="1288"/>
      <c r="E75" s="1288"/>
      <c r="F75" s="1288"/>
      <c r="K75" s="1305"/>
      <c r="L75" s="1288"/>
      <c r="O75" s="1321" t="s">
        <v>409</v>
      </c>
      <c r="P75" s="1322" t="s">
        <v>830</v>
      </c>
      <c r="Q75" s="1323" t="e">
        <f ca="1">Q65+Q66</f>
        <v>#DIV/0!</v>
      </c>
      <c r="R75" s="1323" t="s">
        <v>410</v>
      </c>
    </row>
    <row r="76" spans="1:18">
      <c r="B76" s="333" t="s">
        <v>788</v>
      </c>
      <c r="C76" s="334">
        <f ca="1">INDIRECT("'数据-取费表'!j"&amp;$G$1)</f>
        <v>0</v>
      </c>
      <c r="I76" s="1288"/>
      <c r="J76" s="1288"/>
      <c r="K76" s="1305"/>
      <c r="L76" s="1288"/>
    </row>
    <row r="77" spans="1:18">
      <c r="B77" s="335" t="s">
        <v>789</v>
      </c>
      <c r="C77" s="336"/>
      <c r="I77" s="1288"/>
      <c r="J77" s="1288"/>
      <c r="K77" s="1305"/>
      <c r="L77" s="1288"/>
    </row>
    <row r="78" spans="1:18">
      <c r="B78" s="262" t="s">
        <v>790</v>
      </c>
      <c r="C78" s="337"/>
    </row>
    <row r="79" spans="1:18">
      <c r="B79" s="331" t="s">
        <v>791</v>
      </c>
      <c r="C79" s="266" t="e">
        <f ca="1">1-C80</f>
        <v>#DIV/0!</v>
      </c>
    </row>
    <row r="80" spans="1:18">
      <c r="B80" s="331" t="s">
        <v>792</v>
      </c>
      <c r="C80" s="266" t="e">
        <f ca="1">ROUND(C75/C39,3)</f>
        <v>#DIV/0!</v>
      </c>
    </row>
    <row r="81" spans="2:3">
      <c r="B81" s="262" t="s">
        <v>793</v>
      </c>
      <c r="C81" s="230"/>
    </row>
    <row r="82" spans="2:3">
      <c r="B82" s="265" t="s">
        <v>794</v>
      </c>
      <c r="C82" s="267" t="e">
        <f ca="1">1-C83</f>
        <v>#DIV/0!</v>
      </c>
    </row>
    <row r="83" spans="2:3">
      <c r="B83" s="265" t="s">
        <v>795</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9" priority="3">
      <formula>$F$10="自定义"</formula>
    </cfRule>
  </conditionalFormatting>
  <conditionalFormatting sqref="C54">
    <cfRule type="expression" dxfId="148" priority="1">
      <formula>$F$53="自定义"</formula>
    </cfRule>
  </conditionalFormatting>
  <conditionalFormatting sqref="I55 I60">
    <cfRule type="expression" dxfId="147" priority="57">
      <formula>$J$51&gt;$L$48</formula>
    </cfRule>
  </conditionalFormatting>
  <conditionalFormatting sqref="J11">
    <cfRule type="expression" dxfId="146" priority="2">
      <formula>$M$10="自定义"</formula>
    </cfRule>
  </conditionalFormatting>
  <conditionalFormatting sqref="K55 K60">
    <cfRule type="expression" dxfId="14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C7BC-8A50-405B-8F53-596AE9F9C1C9}">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3427</v>
      </c>
      <c r="D1" s="646"/>
      <c r="E1" s="646"/>
      <c r="F1" s="1616" t="s">
        <v>1255</v>
      </c>
      <c r="G1" s="1449" t="s">
        <v>3471</v>
      </c>
      <c r="H1" s="1616" t="str">
        <f>IF(G1="现房","——","估价对象范围")</f>
        <v>——</v>
      </c>
      <c r="I1" s="1617" t="s">
        <v>3472</v>
      </c>
    </row>
    <row r="2" spans="1:12" ht="21.75" customHeight="1" thickBot="1">
      <c r="A2" s="3280" t="str">
        <f>项目基本情况!S2</f>
        <v>北京市房地产</v>
      </c>
      <c r="B2" s="3281"/>
      <c r="C2" s="3281"/>
      <c r="D2" s="3281"/>
      <c r="E2" s="3281"/>
      <c r="F2" s="3281"/>
      <c r="G2" s="3281"/>
      <c r="H2" s="3281"/>
      <c r="I2" s="3282"/>
    </row>
    <row r="3" spans="1:12" ht="12.75">
      <c r="A3" s="3283" t="s">
        <v>1256</v>
      </c>
      <c r="B3" s="3284"/>
      <c r="C3" s="3284"/>
      <c r="D3" s="3284"/>
      <c r="E3" s="3284"/>
      <c r="F3" s="3284"/>
      <c r="G3" s="3284"/>
      <c r="H3" s="3284"/>
      <c r="I3" s="3284"/>
    </row>
    <row r="4" spans="1:12" ht="14.25">
      <c r="A4" s="1619" t="s">
        <v>1257</v>
      </c>
      <c r="B4" s="1620" t="s">
        <v>1258</v>
      </c>
      <c r="C4" s="1621" t="s">
        <v>3494</v>
      </c>
      <c r="D4" s="1621" t="s">
        <v>3450</v>
      </c>
      <c r="E4" s="3285" t="s">
        <v>1259</v>
      </c>
      <c r="F4" s="3286"/>
      <c r="G4" s="3286"/>
      <c r="H4" s="3286"/>
      <c r="I4" s="3287"/>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5" t="s">
        <v>1260</v>
      </c>
      <c r="B5" s="3276">
        <v>25</v>
      </c>
      <c r="C5" s="3277"/>
      <c r="D5" s="3279"/>
      <c r="E5" s="123" t="s">
        <v>1261</v>
      </c>
      <c r="F5" s="1622"/>
      <c r="G5" s="1622"/>
      <c r="H5" s="1622"/>
      <c r="I5" s="1277"/>
    </row>
    <row r="6" spans="1:12" ht="12.75">
      <c r="A6" s="3275"/>
      <c r="B6" s="3276"/>
      <c r="C6" s="3288"/>
      <c r="D6" s="3279"/>
      <c r="E6" s="123" t="s">
        <v>1262</v>
      </c>
      <c r="F6" s="1622"/>
      <c r="G6" s="1622"/>
      <c r="H6" s="1622"/>
      <c r="I6" s="1277"/>
    </row>
    <row r="7" spans="1:12" ht="12.75">
      <c r="A7" s="3275"/>
      <c r="B7" s="3276"/>
      <c r="C7" s="3278"/>
      <c r="D7" s="3279"/>
      <c r="E7" s="123" t="s">
        <v>1263</v>
      </c>
      <c r="F7" s="1622"/>
      <c r="G7" s="1622"/>
      <c r="H7" s="1622"/>
      <c r="I7" s="1277"/>
    </row>
    <row r="8" spans="1:12" ht="12.75">
      <c r="A8" s="3275" t="s">
        <v>1264</v>
      </c>
      <c r="B8" s="3276">
        <v>15</v>
      </c>
      <c r="C8" s="3277"/>
      <c r="D8" s="3279"/>
      <c r="E8" s="123" t="s">
        <v>1265</v>
      </c>
      <c r="F8" s="1622"/>
      <c r="G8" s="1622"/>
      <c r="H8" s="1622"/>
      <c r="I8" s="1277"/>
    </row>
    <row r="9" spans="1:12" ht="12.75">
      <c r="A9" s="3275"/>
      <c r="B9" s="3276"/>
      <c r="C9" s="3278"/>
      <c r="D9" s="3279"/>
      <c r="E9" s="123" t="s">
        <v>1266</v>
      </c>
      <c r="F9" s="1622"/>
      <c r="G9" s="1622"/>
      <c r="H9" s="1622"/>
      <c r="I9" s="1277"/>
    </row>
    <row r="10" spans="1:12" ht="12.75">
      <c r="A10" s="3275" t="s">
        <v>1267</v>
      </c>
      <c r="B10" s="3276">
        <v>15</v>
      </c>
      <c r="C10" s="3277"/>
      <c r="D10" s="3279"/>
      <c r="E10" s="123" t="s">
        <v>1268</v>
      </c>
      <c r="F10" s="1622"/>
      <c r="G10" s="1622"/>
      <c r="H10" s="1622"/>
      <c r="I10" s="1277"/>
    </row>
    <row r="11" spans="1:12" ht="12.75">
      <c r="A11" s="3275"/>
      <c r="B11" s="3276"/>
      <c r="C11" s="3278"/>
      <c r="D11" s="3279"/>
      <c r="E11" s="123" t="s">
        <v>1269</v>
      </c>
      <c r="F11" s="1622"/>
      <c r="G11" s="1622"/>
      <c r="H11" s="1622"/>
      <c r="I11" s="1277"/>
    </row>
    <row r="12" spans="1:12" ht="12.75">
      <c r="A12" s="3275" t="s">
        <v>1270</v>
      </c>
      <c r="B12" s="3276">
        <v>15</v>
      </c>
      <c r="C12" s="3277"/>
      <c r="D12" s="3279"/>
      <c r="E12" s="123" t="s">
        <v>1271</v>
      </c>
      <c r="F12" s="1622"/>
      <c r="G12" s="1622"/>
      <c r="H12" s="1622"/>
      <c r="I12" s="1277"/>
    </row>
    <row r="13" spans="1:12" ht="12.75">
      <c r="A13" s="3275"/>
      <c r="B13" s="3276"/>
      <c r="C13" s="3278"/>
      <c r="D13" s="3279"/>
      <c r="E13" s="123" t="s">
        <v>1272</v>
      </c>
      <c r="F13" s="1622"/>
      <c r="G13" s="1622"/>
      <c r="H13" s="1622"/>
      <c r="I13" s="1277"/>
    </row>
    <row r="14" spans="1:12" ht="12.75">
      <c r="A14" s="3275" t="s">
        <v>1273</v>
      </c>
      <c r="B14" s="3276">
        <v>30</v>
      </c>
      <c r="C14" s="3277">
        <v>65</v>
      </c>
      <c r="D14" s="3279">
        <v>35</v>
      </c>
      <c r="E14" s="123" t="s">
        <v>1274</v>
      </c>
      <c r="F14" s="1622"/>
      <c r="G14" s="1622"/>
      <c r="H14" s="1622"/>
      <c r="I14" s="1277"/>
    </row>
    <row r="15" spans="1:12" ht="12.75">
      <c r="A15" s="3275"/>
      <c r="B15" s="3276"/>
      <c r="C15" s="3288"/>
      <c r="D15" s="3279"/>
      <c r="E15" s="123" t="s">
        <v>1275</v>
      </c>
      <c r="F15" s="1622"/>
      <c r="G15" s="1622"/>
      <c r="H15" s="1622"/>
      <c r="I15" s="1277"/>
    </row>
    <row r="16" spans="1:12" ht="12.75">
      <c r="A16" s="3275"/>
      <c r="B16" s="3276"/>
      <c r="C16" s="3278"/>
      <c r="D16" s="3279"/>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289" t="s">
        <v>2122</v>
      </c>
      <c r="F18" s="3290"/>
      <c r="G18" s="3290"/>
      <c r="H18" s="3290"/>
      <c r="I18" s="3290"/>
      <c r="K18" s="294" t="s">
        <v>1281</v>
      </c>
      <c r="L18" s="294">
        <f>IF(C1="",'数据-汇总表'!E3,SUMIF(项目类型,C1,'数据-汇总表'!E17:E26)+SUMIF(项目类型,C1,'数据-汇总表'!I17:I26))</f>
        <v>390.5</v>
      </c>
      <c r="M18" s="294">
        <f>IF(C1="",'数据-汇总表'!E3,SUMIF(项目类型,C1,'数据-汇总表'!E17:E26))</f>
        <v>390.5</v>
      </c>
    </row>
    <row r="19" spans="1:36" ht="15">
      <c r="A19" s="1625" t="s">
        <v>1282</v>
      </c>
      <c r="B19" s="1626" t="s">
        <v>1283</v>
      </c>
      <c r="C19" s="126">
        <f ca="1">SUMIF(INDIRECT("'"&amp;C4&amp;"'"&amp;"!A:A"),'结果表-办公'!B19,INDIRECT("'"&amp;C4&amp;"'"&amp;"!B:B"))</f>
        <v>1534.3136</v>
      </c>
      <c r="D19" s="127">
        <f ca="1">SUMIF(INDIRECT("'"&amp;D4&amp;"'"&amp;"!A:A"),'结果表-办公'!B19,INDIRECT("'"&amp;D4&amp;"'"&amp;"!B:B"))</f>
        <v>1265.9275</v>
      </c>
      <c r="E19" s="1625" t="s">
        <v>1284</v>
      </c>
      <c r="F19" s="1626" t="s">
        <v>1283</v>
      </c>
      <c r="G19" s="128">
        <f ca="1">ROUND(C19*$C$18+D19*$D$18,0)</f>
        <v>1440</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SUMIF(INDIRECT("'"&amp;C4&amp;"'"&amp;"!A:A"),'结果表-办公'!B20,INDIRECT("'"&amp;C4&amp;"'"&amp;"!B:B"))</f>
        <v>39291</v>
      </c>
      <c r="D20" s="130">
        <f ca="1">SUMIF(INDIRECT("'"&amp;D4&amp;"'"&amp;"!A:A"),'结果表-办公'!B20,INDIRECT("'"&amp;D4&amp;"'"&amp;"!B:B"))</f>
        <v>32418</v>
      </c>
      <c r="E20" s="1628"/>
      <c r="F20" s="43" t="s">
        <v>1287</v>
      </c>
      <c r="G20" s="131">
        <f ca="1">ROUND(C20*$C$18+D20*$D$18,0)</f>
        <v>36885</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0.21200748068116071</v>
      </c>
      <c r="E22" s="121"/>
      <c r="F22" s="121"/>
      <c r="G22" s="121"/>
      <c r="H22" s="121"/>
      <c r="I22" s="121"/>
    </row>
    <row r="23" spans="1:36" ht="13.5" thickBot="1">
      <c r="A23" s="646"/>
      <c r="B23" s="646"/>
      <c r="C23" s="646"/>
      <c r="D23" s="646"/>
      <c r="E23" s="121"/>
      <c r="F23" s="121"/>
      <c r="G23" s="121"/>
      <c r="H23" s="121"/>
      <c r="I23" s="121"/>
    </row>
    <row r="24" spans="1:36" ht="14.25">
      <c r="A24" s="3291" t="s">
        <v>1291</v>
      </c>
      <c r="B24" s="1626" t="s">
        <v>1283</v>
      </c>
      <c r="C24" s="128">
        <f>IF(B30=0,0,D30)</f>
        <v>0</v>
      </c>
      <c r="D24" s="1632"/>
      <c r="E24" s="121"/>
      <c r="F24" s="121"/>
      <c r="G24" s="121"/>
      <c r="H24" s="121"/>
      <c r="I24" s="121"/>
    </row>
    <row r="25" spans="1:36" ht="14.25">
      <c r="A25" s="3292"/>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1440</v>
      </c>
      <c r="D32" s="1636" t="s">
        <v>3468</v>
      </c>
      <c r="E32" s="121"/>
      <c r="F32" s="121"/>
      <c r="G32" s="121"/>
      <c r="H32" s="121"/>
      <c r="I32" s="121"/>
    </row>
    <row r="33" spans="1:15" ht="15">
      <c r="A33" s="737" t="s">
        <v>1298</v>
      </c>
      <c r="B33" s="123"/>
      <c r="C33" s="1637" t="s">
        <v>3469</v>
      </c>
      <c r="D33" s="1638" t="s">
        <v>3470</v>
      </c>
      <c r="E33" s="1639" t="s">
        <v>1299</v>
      </c>
      <c r="F33" s="1640" t="str">
        <f>IF(D32="楼面单价","取值（单价）","取值（总价）")</f>
        <v>取值（总价）</v>
      </c>
      <c r="G33" s="121"/>
      <c r="H33" s="121"/>
      <c r="I33" s="121"/>
    </row>
    <row r="34" spans="1:15" ht="15">
      <c r="A34" s="1641"/>
      <c r="B34" s="1642" t="s">
        <v>1300</v>
      </c>
      <c r="C34" s="140">
        <f ca="1">IF(C33="自定义",F34,C32-C35)</f>
        <v>416</v>
      </c>
      <c r="D34" s="805">
        <f ca="1">IF(C33="自定义",ROUND(C34/C32,3),IF(C33="收益比率",SUMIF(INDIRECT("'"&amp;D33&amp;"'"&amp;"!b:b"),"土地收益比率",INDIRECT("'"&amp;D33&amp;"'"&amp;"!c:c")),SUMIF(INDIRECT("'"&amp;D33&amp;"'"&amp;"!b:b"),"土地成本比率",INDIRECT("'"&amp;D33&amp;"'"&amp;"!c:c"))))</f>
        <v>0.28900000000000003</v>
      </c>
      <c r="E34" s="1643" t="s">
        <v>1301</v>
      </c>
      <c r="F34" s="1239"/>
      <c r="G34" s="121"/>
      <c r="H34" s="121"/>
      <c r="I34" s="121"/>
    </row>
    <row r="35" spans="1:15" ht="15.75" thickBot="1">
      <c r="A35" s="1644"/>
      <c r="B35" s="1645" t="s">
        <v>1302</v>
      </c>
      <c r="C35" s="1086">
        <f ca="1">IF(C33="自定义",F35,ROUND(C32*D35,0))</f>
        <v>1024</v>
      </c>
      <c r="D35" s="1087">
        <f ca="1">IF(C33="自定义",ROUND(C35/C32,3),IF(C33="收益比率",SUMIF(INDIRECT("'"&amp;D33&amp;"'"&amp;"!b:b"),"建筑物收益比率",INDIRECT("'"&amp;D33&amp;"'"&amp;"!c:c")),SUMIF(INDIRECT("'"&amp;D33&amp;"'"&amp;"!b:b"),"建筑物成本比率",INDIRECT("'"&amp;D33&amp;"'"&amp;"!c:c"))))</f>
        <v>0.71099999999999997</v>
      </c>
      <c r="E35" s="1646" t="s">
        <v>1303</v>
      </c>
      <c r="F35" s="146"/>
      <c r="G35" s="121"/>
      <c r="H35" s="121"/>
      <c r="I35" s="121"/>
    </row>
    <row r="36" spans="1:15" ht="15.75" thickBot="1">
      <c r="A36" s="3293" t="s">
        <v>1304</v>
      </c>
      <c r="B36" s="1647" t="s">
        <v>1305</v>
      </c>
      <c r="C36" s="137"/>
      <c r="D36" s="1648"/>
      <c r="E36" s="1563"/>
      <c r="F36" s="1649"/>
      <c r="G36" s="121"/>
      <c r="H36" s="121"/>
      <c r="I36" s="121"/>
    </row>
    <row r="37" spans="1:15" ht="15.75" thickBot="1">
      <c r="A37" s="3294"/>
      <c r="B37" s="1551" t="s">
        <v>1306</v>
      </c>
      <c r="C37" s="139"/>
      <c r="D37" s="1067"/>
      <c r="E37" s="1067"/>
      <c r="F37" s="1649"/>
      <c r="G37" s="121"/>
      <c r="H37" s="121"/>
      <c r="I37" s="121"/>
    </row>
    <row r="38" spans="1:15" ht="15.75" thickBot="1">
      <c r="A38" s="3295"/>
      <c r="B38" s="1650" t="s">
        <v>1307</v>
      </c>
      <c r="C38" s="641"/>
      <c r="D38" s="1651" t="s">
        <v>1308</v>
      </c>
      <c r="E38" s="1067"/>
      <c r="F38" s="1649"/>
      <c r="G38" s="121"/>
      <c r="H38" s="121"/>
      <c r="I38" s="121"/>
    </row>
    <row r="39" spans="1:15" ht="15">
      <c r="A39" s="1628" t="s">
        <v>1309</v>
      </c>
      <c r="B39" s="1652" t="s">
        <v>1293</v>
      </c>
      <c r="C39" s="1653" t="s">
        <v>1294</v>
      </c>
      <c r="D39" s="1653" t="s">
        <v>1312</v>
      </c>
      <c r="E39" s="1654" t="s">
        <v>1295</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296" t="s">
        <v>1318</v>
      </c>
      <c r="B45" s="3297"/>
      <c r="C45" s="3298"/>
      <c r="D45" s="147">
        <f ca="1">ROUND(H101*F45,0)</f>
        <v>1440</v>
      </c>
      <c r="E45" s="148" t="s">
        <v>1319</v>
      </c>
      <c r="F45" s="149">
        <v>1</v>
      </c>
      <c r="G45" s="150" t="s">
        <v>1320</v>
      </c>
      <c r="H45" s="121"/>
      <c r="I45" s="121"/>
      <c r="J45" s="3299" t="s">
        <v>1321</v>
      </c>
      <c r="K45" s="3299"/>
      <c r="L45" s="3299"/>
      <c r="M45" s="3299"/>
      <c r="N45" s="3299"/>
      <c r="O45" s="3299"/>
    </row>
    <row r="46" spans="1:15" ht="14.25" customHeight="1">
      <c r="A46" s="3300" t="s">
        <v>1322</v>
      </c>
      <c r="B46" s="3301"/>
      <c r="C46" s="3301"/>
      <c r="D46" s="3301"/>
      <c r="E46" s="3301"/>
      <c r="F46" s="3301"/>
      <c r="G46" s="3302"/>
      <c r="H46" s="1663"/>
      <c r="I46" s="151"/>
      <c r="J46" s="2305">
        <v>1</v>
      </c>
      <c r="K46" s="3303" t="s">
        <v>1323</v>
      </c>
      <c r="L46" s="3303"/>
      <c r="M46" s="3304"/>
      <c r="N46" s="3304"/>
      <c r="O46" s="3304"/>
    </row>
    <row r="47" spans="1:15" ht="12" customHeight="1">
      <c r="A47" s="152" t="s">
        <v>1324</v>
      </c>
      <c r="B47" s="153"/>
      <c r="C47" s="154"/>
      <c r="D47" s="1020" t="s">
        <v>1325</v>
      </c>
      <c r="E47" s="294" t="s">
        <v>1326</v>
      </c>
      <c r="F47" s="155" t="s">
        <v>1327</v>
      </c>
      <c r="G47" s="2328" t="s">
        <v>1328</v>
      </c>
      <c r="H47" s="2329"/>
      <c r="I47" s="151"/>
      <c r="J47" s="2305">
        <v>2</v>
      </c>
      <c r="K47" s="3303" t="s">
        <v>1329</v>
      </c>
      <c r="L47" s="3303"/>
      <c r="M47" s="3309">
        <f>'数据-取费表'!B2</f>
        <v>45943</v>
      </c>
      <c r="N47" s="3309"/>
      <c r="O47" s="3309"/>
    </row>
    <row r="48" spans="1:15" ht="25.5">
      <c r="A48" s="3310" t="s">
        <v>1330</v>
      </c>
      <c r="B48" s="3311"/>
      <c r="C48" s="331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03" t="s">
        <v>1332</v>
      </c>
      <c r="L48" s="3303"/>
      <c r="M48" s="3312">
        <f ca="1">H101</f>
        <v>1440</v>
      </c>
      <c r="N48" s="3312"/>
      <c r="O48" s="3312"/>
    </row>
    <row r="49" spans="1:35" ht="25.5" customHeight="1">
      <c r="A49" s="2147" t="s">
        <v>1333</v>
      </c>
      <c r="B49" s="3305" t="s">
        <v>1334</v>
      </c>
      <c r="C49" s="3305"/>
      <c r="D49" s="1474">
        <v>0</v>
      </c>
      <c r="E49" s="316" t="s">
        <v>1335</v>
      </c>
      <c r="F49" s="2228" t="s">
        <v>28</v>
      </c>
      <c r="G49" s="3313"/>
      <c r="H49" s="2129" t="s">
        <v>2125</v>
      </c>
      <c r="I49" s="2130"/>
      <c r="J49" s="2305">
        <v>4</v>
      </c>
      <c r="K49" s="3303" t="str">
        <f>IF(项目基本情况!E8="房地产抵押价值","房地产抵押价值","抵押担保权已注销时的房地产抵押价值")</f>
        <v>房地产抵押价值</v>
      </c>
      <c r="L49" s="3303"/>
      <c r="M49" s="3312">
        <f ca="1">IF(项目基本情况!E8="房地产抵押价值",H107,H109)</f>
        <v>1440</v>
      </c>
      <c r="N49" s="3312"/>
      <c r="O49" s="3312"/>
    </row>
    <row r="50" spans="1:35" ht="25.5" customHeight="1">
      <c r="A50" s="2333"/>
      <c r="B50" s="3305" t="s">
        <v>1336</v>
      </c>
      <c r="C50" s="3305"/>
      <c r="D50" s="2184"/>
      <c r="E50" s="323"/>
      <c r="F50" s="2228"/>
      <c r="G50" s="3314"/>
      <c r="H50" s="2131" t="s">
        <v>2126</v>
      </c>
      <c r="I50" s="2130"/>
      <c r="J50" s="3299" t="s">
        <v>1337</v>
      </c>
      <c r="K50" s="3299"/>
      <c r="L50" s="3299"/>
      <c r="M50" s="3299"/>
      <c r="N50" s="3299"/>
      <c r="O50" s="3299"/>
    </row>
    <row r="51" spans="1:35" ht="20.45" customHeight="1">
      <c r="A51" s="2334"/>
      <c r="B51" s="3305" t="s">
        <v>1338</v>
      </c>
      <c r="C51" s="3305"/>
      <c r="D51" s="1020"/>
      <c r="E51" s="319"/>
      <c r="F51" s="2228"/>
      <c r="G51" s="3315"/>
      <c r="H51" s="2131" t="s">
        <v>2127</v>
      </c>
      <c r="I51" s="2130"/>
      <c r="J51" s="2306" t="s">
        <v>1339</v>
      </c>
      <c r="K51" s="3303" t="s">
        <v>1340</v>
      </c>
      <c r="L51" s="3303"/>
      <c r="M51" s="2306" t="s">
        <v>1341</v>
      </c>
      <c r="N51" s="2306" t="s">
        <v>1342</v>
      </c>
      <c r="O51" s="2306" t="s">
        <v>1343</v>
      </c>
    </row>
    <row r="52" spans="1:35" ht="24" customHeight="1">
      <c r="A52" s="2148" t="s">
        <v>1344</v>
      </c>
      <c r="B52" s="3305" t="s">
        <v>1345</v>
      </c>
      <c r="C52" s="3305"/>
      <c r="D52" s="1020">
        <f ca="1">ROUND(D45*'数据-取费表'!B41/(1+'数据-取费表'!C42),0)</f>
        <v>77</v>
      </c>
      <c r="E52" s="1252" t="s">
        <v>1346</v>
      </c>
      <c r="F52" s="2335">
        <f>'数据-取费表'!B41</f>
        <v>5.6000000000000001E-2</v>
      </c>
      <c r="G52" s="2336"/>
      <c r="H52" s="2326"/>
      <c r="I52" s="1664"/>
      <c r="J52" s="2305">
        <v>1</v>
      </c>
      <c r="K52" s="3306" t="s">
        <v>1347</v>
      </c>
      <c r="L52" s="3306"/>
      <c r="M52" s="2307" t="b">
        <f>D48</f>
        <v>0</v>
      </c>
      <c r="N52" s="2305" t="str">
        <f>E48</f>
        <v>销售额×税（费）率</v>
      </c>
      <c r="O52" s="2308">
        <f>F48</f>
        <v>5.6000000000000001E-2</v>
      </c>
    </row>
    <row r="53" spans="1:35" ht="12" customHeight="1">
      <c r="A53" s="2148" t="s">
        <v>1348</v>
      </c>
      <c r="B53" s="3307" t="s">
        <v>2273</v>
      </c>
      <c r="C53" s="3308"/>
      <c r="D53" s="1020">
        <f ca="1">ROUND(D45*'数据-取费表'!B41/(1+'数据-取费表'!C42),0)</f>
        <v>77</v>
      </c>
      <c r="E53" s="1252" t="s">
        <v>1346</v>
      </c>
      <c r="F53" s="2335">
        <f>'数据-取费表'!B41</f>
        <v>5.6000000000000001E-2</v>
      </c>
      <c r="G53" s="2336"/>
      <c r="H53" s="2326"/>
      <c r="I53" s="1664"/>
      <c r="J53" s="2305">
        <v>2</v>
      </c>
      <c r="K53" s="3306" t="s">
        <v>1349</v>
      </c>
      <c r="L53" s="3306"/>
      <c r="M53" s="2307">
        <f t="shared" ref="M53:O54" ca="1" si="0">D55</f>
        <v>1</v>
      </c>
      <c r="N53" s="2305" t="str">
        <f t="shared" si="0"/>
        <v>销售额×税（费）率</v>
      </c>
      <c r="O53" s="2308" t="str">
        <f t="shared" si="0"/>
        <v>免征</v>
      </c>
    </row>
    <row r="54" spans="1:35" ht="12" customHeight="1">
      <c r="A54" s="2148" t="s">
        <v>1350</v>
      </c>
      <c r="B54" s="3307" t="s">
        <v>2274</v>
      </c>
      <c r="C54" s="3308"/>
      <c r="D54" s="1020">
        <f ca="1">C68</f>
        <v>77</v>
      </c>
      <c r="E54" s="319" t="s">
        <v>1351</v>
      </c>
      <c r="F54" s="2335">
        <f>'数据-取费表'!B41</f>
        <v>5.6000000000000001E-2</v>
      </c>
      <c r="G54" s="2336"/>
      <c r="H54" s="2337"/>
      <c r="I54" s="1664"/>
      <c r="J54" s="2305">
        <v>3</v>
      </c>
      <c r="K54" s="3306" t="s">
        <v>1352</v>
      </c>
      <c r="L54" s="3306"/>
      <c r="M54" s="2307">
        <f t="shared" ca="1" si="0"/>
        <v>815</v>
      </c>
      <c r="N54" s="2305" t="str">
        <f t="shared" si="0"/>
        <v>增值额×税（费）率</v>
      </c>
      <c r="O54" s="2309" t="str">
        <f t="shared" si="0"/>
        <v>免征</v>
      </c>
    </row>
    <row r="55" spans="1:35" ht="24" customHeight="1">
      <c r="A55" s="3322" t="s">
        <v>1353</v>
      </c>
      <c r="B55" s="3311"/>
      <c r="C55" s="3311"/>
      <c r="D55" s="12">
        <f ca="1">IF(H55="个人住宅",0,ROUND(D45*I55,0))</f>
        <v>1</v>
      </c>
      <c r="E55" s="1252" t="s">
        <v>1354</v>
      </c>
      <c r="F55" s="2335" t="str">
        <f>IF(H55="正常",I55,"免征")</f>
        <v>免征</v>
      </c>
      <c r="G55" s="2336"/>
      <c r="H55" s="2332"/>
      <c r="I55" s="157">
        <f>'数据-取费表'!B49</f>
        <v>5.0000000000000001E-4</v>
      </c>
      <c r="J55" s="2305">
        <f>IF(H59="非个人房产","",4)</f>
        <v>4</v>
      </c>
      <c r="K55" s="3306" t="str">
        <f>IF(H59="非个人房产","——","个人所得税")</f>
        <v>个人所得税</v>
      </c>
      <c r="L55" s="3306"/>
      <c r="M55" s="2310">
        <f ca="1">D59</f>
        <v>14</v>
      </c>
      <c r="N55" s="1878" t="str">
        <f>E59</f>
        <v>差额计税</v>
      </c>
      <c r="O55" s="2311">
        <f>F59</f>
        <v>0.01</v>
      </c>
    </row>
    <row r="56" spans="1:35" ht="24.75">
      <c r="A56" s="3322" t="s">
        <v>1355</v>
      </c>
      <c r="B56" s="3311"/>
      <c r="C56" s="3311"/>
      <c r="D56" s="12">
        <f ca="1">IF(H56="个人住宅",D57,D58)</f>
        <v>815</v>
      </c>
      <c r="E56" s="1252" t="s">
        <v>1356</v>
      </c>
      <c r="F56" s="2335" t="str">
        <f>IF(H56="正常",F58,"免征")</f>
        <v>免征</v>
      </c>
      <c r="G56" s="2338" t="s">
        <v>1357</v>
      </c>
      <c r="H56" s="2339"/>
      <c r="I56" s="1665"/>
      <c r="J56" s="2305" t="str">
        <f>IF(项目基本情况!K6="上海银行",IF(J55="",4,J55+1),"")</f>
        <v/>
      </c>
      <c r="K56" s="3316" t="str">
        <f>IF(项目基本情况!K6="上海银行","其他处置费用","")</f>
        <v/>
      </c>
      <c r="L56" s="3323"/>
      <c r="M56" s="2307" t="str">
        <f>IF(项目基本情况!K6="上海银行",M69,"")</f>
        <v/>
      </c>
      <c r="N56" s="3316" t="str">
        <f>IF(项目基本情况!K6="上海银行","包含处置中涉及的律师、诉讼、拍卖、评估等费用","")</f>
        <v/>
      </c>
      <c r="O56" s="3317"/>
    </row>
    <row r="57" spans="1:35" ht="12.75">
      <c r="A57" s="2148" t="s">
        <v>1333</v>
      </c>
      <c r="B57" s="3307" t="s">
        <v>1358</v>
      </c>
      <c r="C57" s="3308"/>
      <c r="D57" s="1474">
        <v>0</v>
      </c>
      <c r="E57" s="316" t="s">
        <v>1335</v>
      </c>
      <c r="F57" s="294"/>
      <c r="G57" s="2336"/>
      <c r="H57" s="2340"/>
      <c r="I57" s="1665"/>
      <c r="J57" s="3306">
        <f>IF(AND(J55="",J56=""),4,IF(项目基本情况!K6="上海银行",'结果表-办公'!J56+1,'结果表-办公'!J55+1))</f>
        <v>5</v>
      </c>
      <c r="K57" s="3306" t="s">
        <v>1359</v>
      </c>
      <c r="L57" s="2312" t="s">
        <v>1360</v>
      </c>
      <c r="M57" s="2313"/>
      <c r="N57" s="2314">
        <f ca="1">SUMIF(M52:M56,"&lt;9e307")</f>
        <v>830</v>
      </c>
      <c r="O57" s="2315"/>
      <c r="P57" s="2460">
        <f ca="1">N57/M49</f>
        <v>0.57638888888888884</v>
      </c>
    </row>
    <row r="58" spans="1:35" ht="24.75">
      <c r="A58" s="2148" t="s">
        <v>1344</v>
      </c>
      <c r="B58" s="3307" t="s">
        <v>1361</v>
      </c>
      <c r="C58" s="3305"/>
      <c r="D58" s="12">
        <f ca="1">IF(H58="转让取得",C81,C97)</f>
        <v>815</v>
      </c>
      <c r="E58" s="1252" t="s">
        <v>1356</v>
      </c>
      <c r="F58" s="294" t="s">
        <v>28</v>
      </c>
      <c r="G58" s="2336"/>
      <c r="H58" s="2339"/>
      <c r="I58" s="1665"/>
      <c r="J58" s="3306"/>
      <c r="K58" s="3306"/>
      <c r="L58" s="2312" t="s">
        <v>1362</v>
      </c>
      <c r="M58" s="2316"/>
      <c r="N58" s="2317" t="str">
        <f ca="1">NUMBERSTRING(INT(N57*10000),2)&amp;"元整"</f>
        <v>捌佰叁拾万元整</v>
      </c>
      <c r="O58" s="2318"/>
    </row>
    <row r="59" spans="1:35" ht="24.75" thickBot="1">
      <c r="A59" s="3318" t="s">
        <v>1363</v>
      </c>
      <c r="B59" s="3319"/>
      <c r="C59" s="3319"/>
      <c r="D59" s="2341">
        <f ca="1">IF(H59="非个人房产","——",IF(H59="个人住宅（满五唯一有凭证）",0,IF(H59="个人其他（无凭证）",ROUND(D45/(1+'数据-取费表'!C42)*F59,0),ROUND(C67*F59,0))))</f>
        <v>14</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20">
        <f>J57+1</f>
        <v>6</v>
      </c>
      <c r="K59" s="3306" t="s">
        <v>1364</v>
      </c>
      <c r="L59" s="2305" t="s">
        <v>1360</v>
      </c>
      <c r="M59" s="2319"/>
      <c r="N59" s="2320">
        <f ca="1">M49-N57</f>
        <v>610</v>
      </c>
      <c r="O59" s="2321"/>
    </row>
    <row r="60" spans="1:35" ht="12" customHeight="1">
      <c r="A60" s="1666"/>
      <c r="B60" s="646"/>
      <c r="C60" s="646"/>
      <c r="D60" s="646"/>
      <c r="E60" s="1462"/>
      <c r="F60" s="1665"/>
      <c r="G60" s="1665"/>
      <c r="H60" s="151"/>
      <c r="I60" s="121"/>
      <c r="J60" s="3321"/>
      <c r="K60" s="3306"/>
      <c r="L60" s="2312" t="s">
        <v>1362</v>
      </c>
      <c r="M60" s="2316"/>
      <c r="N60" s="2317" t="str">
        <f ca="1">NUMBERSTRING(INT(N59*10000),2)&amp;"元整"</f>
        <v>陆佰壹拾万元整</v>
      </c>
      <c r="O60" s="2318"/>
    </row>
    <row r="61" spans="1:35" ht="13.5" thickBot="1">
      <c r="A61" s="3334" t="s">
        <v>1365</v>
      </c>
      <c r="B61" s="3334"/>
      <c r="C61" s="3334"/>
      <c r="D61" s="3334"/>
      <c r="E61" s="3334"/>
      <c r="F61" s="1665"/>
      <c r="G61" s="1665"/>
      <c r="H61" s="151"/>
      <c r="I61" s="121"/>
      <c r="J61" s="2305">
        <f>J59+1</f>
        <v>7</v>
      </c>
      <c r="K61" s="3306" t="s">
        <v>1366</v>
      </c>
      <c r="L61" s="3306"/>
      <c r="M61" s="2322"/>
      <c r="N61" s="2323">
        <f ca="1">ROUND(N59*10000/'数据-汇总表'!E3,0)</f>
        <v>2800</v>
      </c>
      <c r="O61" s="2324"/>
    </row>
    <row r="62" spans="1:35" ht="12.75">
      <c r="A62" s="3330" t="s">
        <v>1367</v>
      </c>
      <c r="B62" s="3331"/>
      <c r="C62" s="1860"/>
      <c r="D62" s="1860" t="s">
        <v>1368</v>
      </c>
      <c r="E62" s="158" t="s">
        <v>1369</v>
      </c>
      <c r="F62" s="1665"/>
      <c r="G62" s="1665"/>
      <c r="H62" s="151"/>
      <c r="I62" s="121"/>
    </row>
    <row r="63" spans="1:35" ht="12.75">
      <c r="A63" s="165" t="s">
        <v>330</v>
      </c>
      <c r="B63" s="159" t="s">
        <v>1370</v>
      </c>
      <c r="C63" s="2345">
        <f ca="1">ROUND((C64+C65)/(1+'数据-取费表'!C42),0)</f>
        <v>1371</v>
      </c>
      <c r="D63" s="159"/>
      <c r="E63" s="160"/>
      <c r="F63" s="1665"/>
      <c r="G63" s="1665"/>
      <c r="H63" s="151"/>
      <c r="I63" s="121"/>
      <c r="J63" s="3335" t="s">
        <v>1371</v>
      </c>
      <c r="K63" s="1241" t="s">
        <v>1372</v>
      </c>
      <c r="L63" s="1241">
        <f ca="1">IF(M49&gt;10000,M49*0.5%,IF(AND(M49&gt;1000,M49&lt;=10000),M49*1%,IF(AND(M49&gt;100,M49&lt;=1000),M49*3%,IF(AND(M49&gt;10,M49&lt;=100),M49*5%,M49*8%))))</f>
        <v>14.4</v>
      </c>
      <c r="M63" s="294">
        <f ca="1">ROUND(L63,1)</f>
        <v>14.4</v>
      </c>
      <c r="N63" s="2325"/>
      <c r="Z63" s="1618"/>
      <c r="AI63" s="1557"/>
    </row>
    <row r="64" spans="1:35" ht="14.25" customHeight="1">
      <c r="A64" s="161" t="s">
        <v>325</v>
      </c>
      <c r="B64" s="162" t="s">
        <v>1373</v>
      </c>
      <c r="C64" s="2346">
        <f ca="1">D45</f>
        <v>1440</v>
      </c>
      <c r="D64" s="162" t="s">
        <v>26</v>
      </c>
      <c r="E64" s="164"/>
      <c r="F64" s="1665"/>
      <c r="G64" s="1665"/>
      <c r="H64" s="151"/>
      <c r="I64" s="121"/>
      <c r="J64" s="3335"/>
      <c r="K64" s="1241" t="s">
        <v>1374</v>
      </c>
      <c r="L64" s="1241">
        <f ca="1">IF(M49&gt;2000,M49*0.5%,IF(AND(M49&gt;1000,M49&lt;=2000),M49*0.6%,IF(AND(M49&gt;500,M49&lt;=1000),M49*0.7%,IF(AND(M49&gt;200,M49&lt;=500),M49*0.8%,IF(AND(M49&gt;100,M49&lt;=200),M49*0.9%,IF(AND(M49&gt;50,M49&lt;=100),M49*1%,IF(AND(M49&gt;20,M49&lt;=50),M49*1.5%,IF(AND(M49&gt;10,M49&lt;=20),M49*2%,IF(AND(M49&gt;1,M49&lt;=10),M49*2.5%)))))))))</f>
        <v>8.64</v>
      </c>
      <c r="M64" s="294">
        <f t="shared" ref="M64:M65" ca="1" si="1">ROUND(L64,1)</f>
        <v>8.6</v>
      </c>
      <c r="N64" s="2326" t="s">
        <v>1375</v>
      </c>
      <c r="Z64" s="1618"/>
      <c r="AI64" s="1557"/>
    </row>
    <row r="65" spans="1:35" ht="14.25" customHeight="1">
      <c r="A65" s="161" t="s">
        <v>326</v>
      </c>
      <c r="B65" s="162" t="s">
        <v>1376</v>
      </c>
      <c r="C65" s="2347"/>
      <c r="D65" s="162"/>
      <c r="E65" s="164"/>
      <c r="F65" s="1665"/>
      <c r="G65" s="1665"/>
      <c r="H65" s="151"/>
      <c r="I65" s="121"/>
      <c r="J65" s="3335"/>
      <c r="K65" s="1241" t="s">
        <v>1377</v>
      </c>
      <c r="L65" s="1241">
        <f ca="1">IF(M49&gt;1000,M49*0.1%,IF(AND(M49&gt;500,M49&lt;=1000),M49*0.5%,IF(AND(M49&gt;50,M49&lt;=500),M49*1%,IF(AND(M49&gt;1,M49&lt;=50),M49*1.5%))))</f>
        <v>1.44</v>
      </c>
      <c r="M65" s="294">
        <f t="shared" ca="1" si="1"/>
        <v>1.4</v>
      </c>
      <c r="N65" s="2326" t="s">
        <v>1375</v>
      </c>
      <c r="Z65" s="1618"/>
      <c r="AI65" s="1557"/>
    </row>
    <row r="66" spans="1:35" ht="14.25" customHeight="1">
      <c r="A66" s="165" t="s">
        <v>327</v>
      </c>
      <c r="B66" s="166" t="s">
        <v>1378</v>
      </c>
      <c r="C66" s="2348"/>
      <c r="D66" s="166" t="s">
        <v>26</v>
      </c>
      <c r="E66" s="1247" t="s">
        <v>663</v>
      </c>
      <c r="F66" s="1665"/>
      <c r="G66" s="1665"/>
      <c r="H66" s="151"/>
      <c r="I66" s="121"/>
      <c r="J66" s="3335"/>
      <c r="K66" s="1241" t="s">
        <v>1379</v>
      </c>
      <c r="L66" s="1241">
        <f ca="1">M49*0.5%</f>
        <v>7.2</v>
      </c>
      <c r="M66" s="294">
        <f ca="1">IF(L66&gt;0.5,0.5,ROUND(L66,0))</f>
        <v>0.5</v>
      </c>
      <c r="N66" s="2326" t="s">
        <v>1380</v>
      </c>
      <c r="Z66" s="1618"/>
      <c r="AI66" s="1557"/>
    </row>
    <row r="67" spans="1:35" ht="14.25" customHeight="1">
      <c r="A67" s="165" t="s">
        <v>328</v>
      </c>
      <c r="B67" s="166" t="s">
        <v>1381</v>
      </c>
      <c r="C67" s="2349">
        <f ca="1">C63-C66</f>
        <v>1371</v>
      </c>
      <c r="D67" s="162" t="s">
        <v>26</v>
      </c>
      <c r="E67" s="164"/>
      <c r="F67" s="1665"/>
      <c r="G67" s="1665"/>
      <c r="H67" s="151"/>
      <c r="I67" s="121"/>
      <c r="J67" s="3335"/>
      <c r="K67" s="1241" t="s">
        <v>1382</v>
      </c>
      <c r="L67" s="1241">
        <f ca="1">IF(M49&gt;=10000,(8.25+(M49-10000)*0.01%),IF(AND(M49&gt;=8000,M49&lt;10000),(7.85+(M49-8000)*0.02%),IF(AND(M49&gt;=5000,M49&lt;8000),(6.65+(M49-5000)*0.04%),IF(AND(M49&gt;=2000,M49&lt;5000),(4.25+(PM49-2000)*0.08%),IF(AND(M49&gt;=1000,M49&lt;2000),(2.75+(M49-1000)*0.15%),IF(AND(M49&gt;=100,M49&lt;1000),(0.5+(M49-100)*0.25%),IF(AND(M49&gt;0,M49&lt;100),M49*0.5%)))))))</f>
        <v>3.41</v>
      </c>
      <c r="M67" s="294">
        <f ca="1">ROUND(L67*0.9,1)</f>
        <v>3.1</v>
      </c>
      <c r="N67" s="2325"/>
      <c r="Z67" s="1618"/>
      <c r="AI67" s="1557"/>
    </row>
    <row r="68" spans="1:35" ht="14.25" customHeight="1" thickBot="1">
      <c r="A68" s="168" t="s">
        <v>329</v>
      </c>
      <c r="B68" s="169" t="s">
        <v>1383</v>
      </c>
      <c r="C68" s="2350">
        <f ca="1">IF(C67&lt;=0,0,ROUND(C67*D68,0))</f>
        <v>77</v>
      </c>
      <c r="D68" s="2351">
        <f>'数据-取费表'!B41</f>
        <v>5.6000000000000001E-2</v>
      </c>
      <c r="E68" s="170"/>
      <c r="F68" s="1665"/>
      <c r="G68" s="1665"/>
      <c r="H68" s="151"/>
      <c r="I68" s="121"/>
      <c r="J68" s="3335"/>
      <c r="K68" s="1241" t="s">
        <v>1384</v>
      </c>
      <c r="L68" s="1241">
        <f ca="1">IF(M49&gt;10000,M49*0.5%,IF(AND(M49&gt;5000,M49&lt;=10000),M49*1%,IF(AND(M49&gt;1000,M49&lt;=5000),M49*2%,IF(AND(M49&gt;200,M49&lt;=1000),M49*3%,M49*5%))))</f>
        <v>28.8</v>
      </c>
      <c r="M68" s="294">
        <f ca="1">ROUND(L68,1)</f>
        <v>28.8</v>
      </c>
      <c r="N68" s="2325"/>
      <c r="Z68" s="1618"/>
      <c r="AI68" s="1557"/>
    </row>
    <row r="69" spans="1:35" ht="16.5" customHeight="1">
      <c r="A69" s="1667"/>
      <c r="B69" s="1668"/>
      <c r="C69" s="1669"/>
      <c r="D69" s="1670"/>
      <c r="E69" s="1671"/>
      <c r="F69" s="1462"/>
      <c r="G69" s="1462"/>
      <c r="H69" s="1463"/>
      <c r="I69" s="646"/>
      <c r="J69" s="3335"/>
      <c r="K69" s="1241" t="s">
        <v>1385</v>
      </c>
      <c r="L69" s="1241"/>
      <c r="M69" s="294">
        <f ca="1">ROUND(SUM(M63:M68),0)</f>
        <v>57</v>
      </c>
      <c r="N69" s="2327">
        <f ca="1">M69/M49</f>
        <v>3.9583333333333331E-2</v>
      </c>
      <c r="Z69" s="1618"/>
      <c r="AI69" s="1557"/>
    </row>
    <row r="70" spans="1:35" s="642" customFormat="1" ht="15" thickBot="1">
      <c r="A70" s="3328" t="s">
        <v>1386</v>
      </c>
      <c r="B70" s="3329"/>
      <c r="C70" s="3329"/>
      <c r="D70" s="3329"/>
      <c r="E70" s="3329"/>
      <c r="F70" s="3329"/>
      <c r="G70" s="3329"/>
      <c r="H70" s="3329"/>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30" t="s">
        <v>1367</v>
      </c>
      <c r="B71" s="3331"/>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1371</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8</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07" t="s">
        <v>1394</v>
      </c>
      <c r="F76" s="3305"/>
      <c r="G76" s="3305"/>
      <c r="H76" s="3324"/>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8</v>
      </c>
      <c r="D78" s="2358">
        <f>'数据-取费表'!B43</f>
        <v>6.000000000000001E-3</v>
      </c>
      <c r="E78" s="3325" t="s">
        <v>1398</v>
      </c>
      <c r="F78" s="3326"/>
      <c r="G78" s="3326"/>
      <c r="H78" s="3327"/>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328</v>
      </c>
      <c r="B79" s="166" t="s">
        <v>1399</v>
      </c>
      <c r="C79" s="2349">
        <f ca="1">C72-C73</f>
        <v>1363</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f ca="1">IF(C79&lt;=0,0,C79/C73)</f>
        <v>170.375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f ca="1">ROUND(IF(C79&lt;=0,0,IF(C80&gt;=200%,C79*60%-C73*35%,IF(C80&gt;=100%,C79*50%-C73*15%,IF(C80&gt;=50%,C79*40%-C73*5%,IF(C80&lt;50%,C79*30%,0))))),0)</f>
        <v>815</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28" t="s">
        <v>1402</v>
      </c>
      <c r="B83" s="3329"/>
      <c r="C83" s="3329"/>
      <c r="D83" s="3329"/>
      <c r="E83" s="3329"/>
      <c r="F83" s="3329"/>
      <c r="G83" s="3329"/>
      <c r="H83" s="3329"/>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30" t="s">
        <v>1367</v>
      </c>
      <c r="B84" s="3331"/>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1371</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8</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32" t="s">
        <v>2120</v>
      </c>
      <c r="H90" s="3333"/>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325" t="s">
        <v>1411</v>
      </c>
      <c r="F91" s="3326"/>
      <c r="G91" s="3326"/>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325" t="s">
        <v>1414</v>
      </c>
      <c r="F92" s="3326"/>
      <c r="G92" s="3326"/>
      <c r="H92" s="3327"/>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8</v>
      </c>
      <c r="D93" s="2358">
        <f>'数据-取费表'!B43</f>
        <v>6.000000000000001E-3</v>
      </c>
      <c r="E93" s="3325" t="s">
        <v>1398</v>
      </c>
      <c r="F93" s="3326"/>
      <c r="G93" s="3326"/>
      <c r="H93" s="3327"/>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36" t="s">
        <v>1418</v>
      </c>
      <c r="F94" s="3337"/>
      <c r="G94" s="3337"/>
      <c r="H94" s="3338"/>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328</v>
      </c>
      <c r="B95" s="166" t="s">
        <v>1399</v>
      </c>
      <c r="C95" s="2349">
        <f ca="1">ROUND(C85-C86,0)</f>
        <v>1363</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f ca="1">IF(C95&lt;=0,0,C95/C86)</f>
        <v>170.375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f ca="1">ROUND(IF(C95&lt;=0,0,IF(C96&gt;=200%,C95*60%-C86*35%,IF(C96&gt;=100%,C95*50%-C86*15%,IF(C96&gt;=50%,C95*40%-C86*5%,IF(C96&lt;50%,C95*30%,0))))),0)</f>
        <v>815</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1" t="s">
        <v>1420</v>
      </c>
      <c r="B100" s="3262"/>
      <c r="C100" s="3262"/>
      <c r="D100" s="3339"/>
      <c r="E100" s="3262" t="s">
        <v>1421</v>
      </c>
      <c r="F100" s="3262"/>
      <c r="G100" s="3262"/>
      <c r="H100" s="3339"/>
      <c r="I100" s="121"/>
    </row>
    <row r="101" spans="1:35" ht="18.75" customHeight="1">
      <c r="A101" s="3340" t="s">
        <v>1422</v>
      </c>
      <c r="B101" s="3341"/>
      <c r="C101" s="2366" t="str">
        <f>C4</f>
        <v>比较法-办公</v>
      </c>
      <c r="D101" s="2367" t="str">
        <f>D4</f>
        <v>收益法-办公</v>
      </c>
      <c r="E101" s="3342" t="s">
        <v>1423</v>
      </c>
      <c r="F101" s="3343"/>
      <c r="G101" s="1682" t="s">
        <v>1424</v>
      </c>
      <c r="H101" s="2376">
        <f ca="1">H118</f>
        <v>1440</v>
      </c>
      <c r="I101" s="121"/>
    </row>
    <row r="102" spans="1:35" ht="18.75" customHeight="1">
      <c r="A102" s="3344" t="s">
        <v>1425</v>
      </c>
      <c r="B102" s="2365" t="s">
        <v>1424</v>
      </c>
      <c r="C102" s="2366">
        <f ca="1">IF(D32="楼面单价",ROUND(C19,0),C19)</f>
        <v>1534.3136</v>
      </c>
      <c r="D102" s="2367">
        <f ca="1">IF(D32="楼面单价",ROUND(D19,0),D19)</f>
        <v>1265.9275</v>
      </c>
      <c r="E102" s="3342"/>
      <c r="F102" s="3343"/>
      <c r="G102" s="1682" t="s">
        <v>1426</v>
      </c>
      <c r="H102" s="2336">
        <f ca="1">I118</f>
        <v>36876</v>
      </c>
      <c r="I102" s="121"/>
    </row>
    <row r="103" spans="1:35" ht="42.75" customHeight="1">
      <c r="A103" s="3344"/>
      <c r="B103" s="2365" t="s">
        <v>1426</v>
      </c>
      <c r="C103" s="2368">
        <f ca="1">C20</f>
        <v>39291</v>
      </c>
      <c r="D103" s="2369">
        <f ca="1">D20</f>
        <v>32418</v>
      </c>
      <c r="E103" s="3345" t="s">
        <v>1427</v>
      </c>
      <c r="F103" s="3346"/>
      <c r="G103" s="1683" t="s">
        <v>1428</v>
      </c>
      <c r="H103" s="2376">
        <f>IF(D36="正常操作",H104+H105+H106,H105+H106)</f>
        <v>0</v>
      </c>
      <c r="I103" s="121"/>
    </row>
    <row r="104" spans="1:35" ht="18.75" customHeight="1">
      <c r="A104" s="3344" t="s">
        <v>1429</v>
      </c>
      <c r="B104" s="2370" t="s">
        <v>1424</v>
      </c>
      <c r="C104" s="2371">
        <f ca="1">H118</f>
        <v>1440</v>
      </c>
      <c r="D104" s="2372"/>
      <c r="E104" s="1551" t="s">
        <v>1430</v>
      </c>
      <c r="F104" s="1544"/>
      <c r="G104" s="1683" t="s">
        <v>1428</v>
      </c>
      <c r="H104" s="2377">
        <f>IF(D36="同一抵押权人同一抵押物续贷",C36&amp;"（续贷，未扣减，详见特别提示）",C36)</f>
        <v>0</v>
      </c>
      <c r="I104" s="121"/>
    </row>
    <row r="105" spans="1:35" ht="18.75" customHeight="1" thickBot="1">
      <c r="A105" s="3352"/>
      <c r="B105" s="2373" t="s">
        <v>1426</v>
      </c>
      <c r="C105" s="2374">
        <f ca="1">I118</f>
        <v>36876</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353" t="str">
        <f>IF(项目基本情况!E8="已注销","——","3.房地产抵押价值")</f>
        <v>3.房地产抵押价值</v>
      </c>
      <c r="F107" s="3343"/>
      <c r="G107" s="1682" t="s">
        <v>1424</v>
      </c>
      <c r="H107" s="2376">
        <f ca="1">IF(E107="——","——",H101-H103)</f>
        <v>1440</v>
      </c>
      <c r="I107" s="121"/>
    </row>
    <row r="108" spans="1:35" ht="18.75" customHeight="1">
      <c r="A108" s="121"/>
      <c r="B108" s="121"/>
      <c r="C108" s="121"/>
      <c r="D108" s="121"/>
      <c r="E108" s="3353"/>
      <c r="F108" s="3343"/>
      <c r="G108" s="1682" t="s">
        <v>1426</v>
      </c>
      <c r="H108" s="2336">
        <f ca="1">IF(H107=H101,H102,ROUND(H107*10000/'数据-汇总表'!E3,0))</f>
        <v>36876</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43"/>
      <c r="G109" s="1682" t="s">
        <v>1424</v>
      </c>
      <c r="H109" s="2379" t="str">
        <f>IF(E109="——","——",H101-H105-H106)</f>
        <v>——</v>
      </c>
      <c r="I109" s="121"/>
    </row>
    <row r="110" spans="1:35" ht="18.75" customHeight="1">
      <c r="A110" s="121"/>
      <c r="B110" s="121"/>
      <c r="C110" s="121"/>
      <c r="D110" s="121"/>
      <c r="E110" s="3353"/>
      <c r="F110" s="3343"/>
      <c r="G110" s="1682" t="s">
        <v>1426</v>
      </c>
      <c r="H110" s="2336"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55"/>
      <c r="G111" s="1682" t="s">
        <v>1424</v>
      </c>
      <c r="H111" s="2376" t="str">
        <f>IF(E111="——","——",N59)</f>
        <v>——</v>
      </c>
      <c r="I111" s="121"/>
    </row>
    <row r="112" spans="1:35" ht="18.75" customHeight="1" thickBot="1">
      <c r="A112" s="121"/>
      <c r="B112" s="121"/>
      <c r="C112" s="121"/>
      <c r="D112" s="121"/>
      <c r="E112" s="3356"/>
      <c r="F112" s="3357"/>
      <c r="G112" s="1685" t="s">
        <v>1426</v>
      </c>
      <c r="H112" s="2380" t="str">
        <f>IF(E111="——","——",N61)</f>
        <v>——</v>
      </c>
      <c r="I112" s="121"/>
    </row>
    <row r="113" spans="1:27" ht="18.75" customHeight="1">
      <c r="A113" s="121"/>
      <c r="B113" s="121"/>
      <c r="C113" s="121"/>
      <c r="D113" s="121"/>
      <c r="E113" s="3358" t="s">
        <v>1432</v>
      </c>
      <c r="F113" s="3358"/>
      <c r="G113" s="3358"/>
      <c r="H113" s="3358"/>
      <c r="I113" s="121"/>
    </row>
    <row r="114" spans="1:27" ht="3.75" customHeight="1">
      <c r="A114" s="646"/>
      <c r="B114" s="646"/>
      <c r="C114" s="646"/>
      <c r="D114" s="646"/>
      <c r="E114" s="1666"/>
      <c r="F114" s="1666"/>
      <c r="G114" s="1666"/>
      <c r="H114" s="1666"/>
      <c r="I114" s="646"/>
    </row>
    <row r="115" spans="1:27" ht="18.75" customHeight="1">
      <c r="A115" s="3359" t="s">
        <v>1434</v>
      </c>
      <c r="B115" s="3360"/>
      <c r="C115" s="3360"/>
      <c r="D115" s="3360"/>
      <c r="E115" s="3360"/>
      <c r="F115" s="3360"/>
      <c r="G115" s="3360"/>
      <c r="H115" s="3360"/>
      <c r="I115" s="3361"/>
    </row>
    <row r="116" spans="1:27" ht="27" customHeight="1">
      <c r="A116" s="3275" t="s">
        <v>1435</v>
      </c>
      <c r="B116" s="3347" t="s">
        <v>1436</v>
      </c>
      <c r="C116" s="3347" t="s">
        <v>1437</v>
      </c>
      <c r="D116" s="3349" t="s">
        <v>1438</v>
      </c>
      <c r="E116" s="3350"/>
      <c r="F116" s="3351" t="s">
        <v>1439</v>
      </c>
      <c r="G116" s="3351"/>
      <c r="H116" s="3275" t="s">
        <v>1440</v>
      </c>
      <c r="I116" s="3275"/>
    </row>
    <row r="117" spans="1:27" ht="18.75" customHeight="1">
      <c r="A117" s="3275"/>
      <c r="B117" s="3348"/>
      <c r="C117" s="3348"/>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390.5</v>
      </c>
      <c r="C118" s="2145">
        <f>M19</f>
        <v>0</v>
      </c>
      <c r="D118" s="2145">
        <f ca="1">ROUND(IF(D32="总价",C34,E118*B118/10000),0)</f>
        <v>416</v>
      </c>
      <c r="E118" s="2145">
        <f ca="1">ROUND(IF(C33="自定义",IF(D32="楼面单价",C34,D118*10000/B118),I118-G118),0)</f>
        <v>10653</v>
      </c>
      <c r="F118" s="2145">
        <f ca="1">ROUND(IF(D32="总价",C35,G118*B118/10000),0)</f>
        <v>1024</v>
      </c>
      <c r="G118" s="2145">
        <f ca="1">ROUND(IF(D32="楼面单价",C35,F118*10000/B118),0)</f>
        <v>26223</v>
      </c>
      <c r="H118" s="2145">
        <f ca="1">ROUND(IF(D32="总价",C32,I118*B118/10000),0)</f>
        <v>1440</v>
      </c>
      <c r="I118" s="2145">
        <f ca="1">ROUND(IF(D32="楼面单价",C32,H118*10000/B118),0)</f>
        <v>36876</v>
      </c>
    </row>
    <row r="119" spans="1:27" ht="18.75" customHeight="1">
      <c r="A119" s="3275" t="s">
        <v>1444</v>
      </c>
      <c r="B119" s="3275"/>
      <c r="C119" s="3275"/>
      <c r="D119" s="3362" t="str">
        <f ca="1">NUMBERSTRING(INT(D118*10000),2)&amp;"元整"</f>
        <v>肆佰壹拾陆万元整</v>
      </c>
      <c r="E119" s="3364"/>
      <c r="F119" s="3362" t="str">
        <f ca="1">NUMBERSTRING(INT(F118*10000),2)&amp;"元整"</f>
        <v>壹仟零贰拾肆万元整</v>
      </c>
      <c r="G119" s="3364"/>
      <c r="H119" s="3362" t="str">
        <f ca="1">NUMBERSTRING(INT(H118*10000),2)&amp;"元整"</f>
        <v>壹仟肆佰肆拾万元整</v>
      </c>
      <c r="I119" s="3364"/>
    </row>
    <row r="120" spans="1:27" ht="18.75" customHeight="1">
      <c r="A120" s="3365" t="str">
        <f>IF(项目基本情况!B9="房地产市场价值","",MID(E103,3,LEN(E103)-2))</f>
        <v/>
      </c>
      <c r="B120" s="3366"/>
      <c r="C120" s="3367"/>
      <c r="D120" s="3365">
        <f>H103</f>
        <v>0</v>
      </c>
      <c r="E120" s="3366"/>
      <c r="F120" s="3366"/>
      <c r="G120" s="3366"/>
      <c r="H120" s="3366"/>
      <c r="I120" s="3367"/>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62" t="s">
        <v>1444</v>
      </c>
      <c r="B121" s="3363"/>
      <c r="C121" s="3364"/>
      <c r="D121" s="3362" t="str">
        <f>IF(D120=0,"零元整",NUMBERSTRING(INT(D120*10000),2)&amp;"元整")</f>
        <v>零元整</v>
      </c>
      <c r="E121" s="3363"/>
      <c r="F121" s="3363"/>
      <c r="G121" s="3363"/>
      <c r="H121" s="3363"/>
      <c r="I121" s="3364"/>
      <c r="AA121" s="684"/>
    </row>
    <row r="122" spans="1:27" ht="18.75" customHeight="1">
      <c r="A122" s="3355" t="str">
        <f>IF(项目基本情况!B9="房地产市场价值","",MID(E107,3,LEN(E107)-2))</f>
        <v/>
      </c>
      <c r="B122" s="3355"/>
      <c r="C122" s="3355"/>
      <c r="D122" s="3365">
        <f ca="1">H107</f>
        <v>1440</v>
      </c>
      <c r="E122" s="3366"/>
      <c r="F122" s="3366"/>
      <c r="G122" s="3366"/>
      <c r="H122" s="3366"/>
      <c r="I122" s="3367"/>
      <c r="AA122" s="684"/>
    </row>
    <row r="123" spans="1:27" ht="18.75" customHeight="1">
      <c r="A123" s="3275" t="s">
        <v>1444</v>
      </c>
      <c r="B123" s="3275"/>
      <c r="C123" s="3275"/>
      <c r="D123" s="3362" t="str">
        <f ca="1">NUMBERSTRING(INT(D122*10000),2)&amp;"元整"</f>
        <v>壹仟肆佰肆拾万元整</v>
      </c>
      <c r="E123" s="3363"/>
      <c r="F123" s="3363"/>
      <c r="G123" s="3363"/>
      <c r="H123" s="3363"/>
      <c r="I123" s="3364"/>
      <c r="AA123" s="684"/>
    </row>
    <row r="124" spans="1:27" ht="18.75" customHeight="1">
      <c r="A124" s="3355" t="str">
        <f>IF(项目基本情况!B9="房地产市场价值","",MID(E109,3,LEN(E109)-2))</f>
        <v/>
      </c>
      <c r="B124" s="3355"/>
      <c r="C124" s="3355"/>
      <c r="D124" s="3365" t="str">
        <f>H109</f>
        <v>——</v>
      </c>
      <c r="E124" s="3366"/>
      <c r="F124" s="3366"/>
      <c r="G124" s="3366"/>
      <c r="H124" s="3366"/>
      <c r="I124" s="3367"/>
      <c r="AA124" s="684"/>
    </row>
    <row r="125" spans="1:27" ht="18.75" customHeight="1">
      <c r="A125" s="3275" t="s">
        <v>1444</v>
      </c>
      <c r="B125" s="3275"/>
      <c r="C125" s="3275"/>
      <c r="D125" s="3362" t="e">
        <f>NUMBERSTRING(INT(D124*10000),2)&amp;"元整"</f>
        <v>#VALUE!</v>
      </c>
      <c r="E125" s="3363"/>
      <c r="F125" s="3363"/>
      <c r="G125" s="3363"/>
      <c r="H125" s="3363"/>
      <c r="I125" s="3364"/>
      <c r="AA125" s="684"/>
    </row>
    <row r="126" spans="1:27" ht="18.75" customHeight="1">
      <c r="A126" s="3355" t="str">
        <f>IF(项目基本情况!B9="房地产市场价值","",MID(E111,3,LEN(E111)-2))</f>
        <v/>
      </c>
      <c r="B126" s="3355"/>
      <c r="C126" s="3355"/>
      <c r="D126" s="3365" t="str">
        <f>H111</f>
        <v>——</v>
      </c>
      <c r="E126" s="3366"/>
      <c r="F126" s="3366"/>
      <c r="G126" s="3366"/>
      <c r="H126" s="3366"/>
      <c r="I126" s="3367"/>
      <c r="AA126" s="684"/>
    </row>
    <row r="127" spans="1:27" ht="18.75" customHeight="1">
      <c r="A127" s="3275" t="s">
        <v>1444</v>
      </c>
      <c r="B127" s="3275"/>
      <c r="C127" s="3275"/>
      <c r="D127" s="3362" t="e">
        <f>NUMBERSTRING(INT(D126*10000),2)&amp;"元整"</f>
        <v>#VALUE!</v>
      </c>
      <c r="E127" s="3363"/>
      <c r="F127" s="3363"/>
      <c r="G127" s="3363"/>
      <c r="H127" s="3363"/>
      <c r="I127" s="3364"/>
      <c r="AA127" s="684"/>
    </row>
    <row r="128" spans="1:27" ht="21.75" customHeight="1">
      <c r="A128" s="3368" t="s">
        <v>1445</v>
      </c>
      <c r="B128" s="3368"/>
      <c r="C128" s="3368"/>
      <c r="D128" s="3368"/>
      <c r="E128" s="3368"/>
      <c r="F128" s="3368"/>
      <c r="G128" s="3368"/>
      <c r="H128" s="3368"/>
      <c r="I128" s="3368"/>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6" stopIfTrue="1" operator="equal">
      <formula>25</formula>
    </cfRule>
  </conditionalFormatting>
  <conditionalFormatting sqref="C8:D13">
    <cfRule type="cellIs" dxfId="141" priority="5" stopIfTrue="1" operator="equal">
      <formula>15</formula>
    </cfRule>
  </conditionalFormatting>
  <conditionalFormatting sqref="C14:D16">
    <cfRule type="cellIs" dxfId="140" priority="4"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xr:uid="{7C391079-F91F-40AE-82BF-CD734C4B0432}">
      <formula1>"0,5%,10%"</formula1>
    </dataValidation>
    <dataValidation type="list" allowBlank="1" showInputMessage="1" showErrorMessage="1" sqref="H59" xr:uid="{6B6C824C-CD88-4219-A700-CCAE424A88C2}">
      <formula1>"非个人房产,个人住宅（满五唯一有凭证）,个人其他（有凭证）,个人其他（无凭证）"</formula1>
    </dataValidation>
    <dataValidation type="list" allowBlank="1" showInputMessage="1" showErrorMessage="1" sqref="E103" xr:uid="{7D0E4A44-76CA-4DC3-9FEE-9A3F3FF9EDD5}">
      <formula1>"2.估价师知悉的法定优先受偿款,2.估价师知悉的除抵押担保权以外的法定优先受偿款"</formula1>
    </dataValidation>
    <dataValidation type="list" allowBlank="1" showInputMessage="1" showErrorMessage="1" sqref="G77" xr:uid="{AE2EC1AF-238D-46F9-84DE-707D285E67B3}">
      <formula1>"个人住宅,2016年5月1日前购买,2016年5月1日后购买"</formula1>
    </dataValidation>
    <dataValidation type="list" allowBlank="1" showInputMessage="1" showErrorMessage="1" sqref="C1" xr:uid="{0465F855-511A-4F1B-9892-C26476FF9850}">
      <formula1>项目类型</formula1>
    </dataValidation>
    <dataValidation type="list" allowBlank="1" showInputMessage="1" showErrorMessage="1" sqref="I1" xr:uid="{D9431010-18B4-44F5-B936-BCF9BD3319B5}">
      <formula1>"项目局部,项目全部,——"</formula1>
    </dataValidation>
    <dataValidation type="list" showInputMessage="1" showErrorMessage="1" sqref="G1" xr:uid="{5141EF7B-908A-4500-906A-3AD2B1F14E08}">
      <formula1>"现房,在建,土地,-"</formula1>
    </dataValidation>
    <dataValidation type="list" allowBlank="1" showInputMessage="1" showErrorMessage="1" sqref="C129" xr:uid="{B74A97FA-5E91-4D1E-9B86-F028023DCAAC}">
      <formula1>"无,有"</formula1>
    </dataValidation>
    <dataValidation type="list" allowBlank="1" showInputMessage="1" showErrorMessage="1" sqref="F116:G116" xr:uid="{D086FC18-BE46-482C-AF58-1DA3237316E1}">
      <formula1>"建筑物价值,在建建筑物价值,建筑物/在建建筑物价值"</formula1>
    </dataValidation>
    <dataValidation type="list" allowBlank="1" showInputMessage="1" showErrorMessage="1" sqref="D116:E116" xr:uid="{3AB542E4-AD6C-410B-A5B3-9A49AD3CACD2}">
      <formula1>"出让国有建设用地使用权价值,划拨国有建设用地使用权价值"</formula1>
    </dataValidation>
    <dataValidation type="list" allowBlank="1" showInputMessage="1" showErrorMessage="1" sqref="C116:C117" xr:uid="{583D7A0F-B733-4101-B350-E2005DE4C1FA}">
      <formula1>"土地面积,分摊土地面积,（分摊）土地面积"</formula1>
    </dataValidation>
    <dataValidation type="list" allowBlank="1" showInputMessage="1" showErrorMessage="1" sqref="B116:B117" xr:uid="{B8B00E7E-68DF-423A-8DDF-9854CD0B1A79}">
      <formula1>"建筑面积,规划建筑面积,（规划）建筑面积"</formula1>
    </dataValidation>
    <dataValidation type="list" allowBlank="1" showInputMessage="1" showErrorMessage="1" sqref="D36" xr:uid="{373B187B-B2CB-475F-A3BD-F6C6E77F609A}">
      <formula1>"同一抵押权人同一抵押物续贷,注销后放款,正常操作"</formula1>
    </dataValidation>
    <dataValidation type="list" allowBlank="1" showInputMessage="1" showErrorMessage="1" sqref="F75" xr:uid="{CEC0A5DA-0B3A-4841-8DD1-01DD39EC0E81}">
      <formula1>"买卖合同,购房发票"</formula1>
    </dataValidation>
    <dataValidation type="list" allowBlank="1" showInputMessage="1" showErrorMessage="1" sqref="H88" xr:uid="{360C4F67-D044-499E-93BD-B98AD941004F}">
      <formula1>"仅含出让金,出让金+开发费"</formula1>
    </dataValidation>
    <dataValidation type="list" allowBlank="1" showInputMessage="1" showErrorMessage="1" sqref="H91" xr:uid="{A9AB85A1-BBBB-446B-BEAA-D303B58BA534}">
      <formula1>"企业提供（在右侧录入）,——"</formula1>
    </dataValidation>
    <dataValidation type="list" allowBlank="1" showInputMessage="1" showErrorMessage="1" sqref="C33" xr:uid="{A42B1851-F661-4A91-9E46-301E70D522B5}">
      <formula1>"成本比率,收益比率,自定义"</formula1>
    </dataValidation>
    <dataValidation type="list" allowBlank="1" showInputMessage="1" showErrorMessage="1" sqref="F45" xr:uid="{E3441437-06A3-48EF-B9A6-02C72ADDF8BF}">
      <formula1>"100%,70%,56%"</formula1>
    </dataValidation>
    <dataValidation type="list" allowBlank="1" showInputMessage="1" showErrorMessage="1" sqref="D32" xr:uid="{B89D5C97-2F94-403C-9317-23175B736E46}">
      <formula1>"总价,楼面单价"</formula1>
    </dataValidation>
    <dataValidation type="list" allowBlank="1" showInputMessage="1" showErrorMessage="1" sqref="H58" xr:uid="{FAC9D6C7-EB6E-4192-B37B-C2F107BD4317}">
      <formula1>"转让取得,自行开发建设"</formula1>
    </dataValidation>
    <dataValidation type="list" allowBlank="1" showInputMessage="1" showErrorMessage="1" sqref="H48" xr:uid="{C29875E8-0D5C-40B4-96F8-4D2B6BDAD971}">
      <formula1>"情况1,情况2,情况3,情况4"</formula1>
    </dataValidation>
    <dataValidation type="list" allowBlank="1" showInputMessage="1" showErrorMessage="1" sqref="H55:H56" xr:uid="{C643C683-E77C-449D-9864-7F07CBCA3CC5}">
      <formula1>"个人住宅,正常"</formula1>
    </dataValidation>
    <dataValidation type="list" allowBlank="1" showInputMessage="1" showErrorMessage="1" sqref="C4:D4 D33" xr:uid="{7EA276E3-6547-463D-8C4B-6BE3728BB4E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E8" sqref="E8:F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1802</v>
      </c>
      <c r="C1" s="1137" t="s">
        <v>1654</v>
      </c>
      <c r="D1" s="1138" t="s">
        <v>3427</v>
      </c>
      <c r="E1" s="3126" t="s">
        <v>3473</v>
      </c>
      <c r="F1" s="1730" t="s">
        <v>3474</v>
      </c>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IF(E1="项目模式",IF(C2="——",ROUND(C50*D3/10000,0),ROUND(C50*D3/10000,0)-D2),IF(E1="单套模式",IF(C2="——",ROUND(C50*D3/10000,4),ROUND(C50*D3/10000,4)-D2)))</f>
        <v>1534.3136</v>
      </c>
      <c r="C2" s="1732" t="s">
        <v>43</v>
      </c>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f>IF(C2="——",C50,ROUND(B2*10000/D3,0))</f>
        <v>39291</v>
      </c>
      <c r="C3" s="344" t="s">
        <v>1760</v>
      </c>
      <c r="D3" s="343">
        <f>IF(D1="",'数据-汇总表'!E3,SUMIF('数据-汇总表'!$C19:$C33,D1,'数据-汇总表'!$E19:$E33))</f>
        <v>390.5</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395" t="s">
        <v>1767</v>
      </c>
      <c r="Q4" s="3396"/>
      <c r="R4" s="3374" t="s">
        <v>1763</v>
      </c>
      <c r="S4" s="3375"/>
      <c r="T4" s="3374" t="s">
        <v>1764</v>
      </c>
      <c r="U4" s="3375"/>
      <c r="V4" s="3403" t="s">
        <v>1765</v>
      </c>
      <c r="W4" s="3403"/>
      <c r="X4" s="1804"/>
      <c r="Y4" s="3374" t="s">
        <v>1767</v>
      </c>
      <c r="Z4" s="3375"/>
      <c r="AA4" s="3369" t="s">
        <v>1763</v>
      </c>
      <c r="AB4" s="3369" t="s">
        <v>1764</v>
      </c>
      <c r="AC4" s="3388" t="s">
        <v>1765</v>
      </c>
    </row>
    <row r="5" spans="1:29" ht="15.75" thickBot="1">
      <c r="A5" s="348"/>
      <c r="B5" s="349"/>
      <c r="C5" s="3380" t="s">
        <v>1665</v>
      </c>
      <c r="D5" s="3381"/>
      <c r="E5" s="3378" t="s">
        <v>3477</v>
      </c>
      <c r="F5" s="3379"/>
      <c r="G5" s="3384" t="s">
        <v>3492</v>
      </c>
      <c r="H5" s="3381"/>
      <c r="I5" s="3384" t="s">
        <v>3493</v>
      </c>
      <c r="J5" s="3381"/>
      <c r="K5" s="537"/>
      <c r="L5" s="2482"/>
      <c r="M5" s="2483"/>
      <c r="N5" s="2483"/>
      <c r="O5" s="2483"/>
      <c r="P5" s="3397"/>
      <c r="Q5" s="3398"/>
      <c r="R5" s="3376"/>
      <c r="S5" s="3377"/>
      <c r="T5" s="3376"/>
      <c r="U5" s="3377"/>
      <c r="V5" s="3404"/>
      <c r="W5" s="3404"/>
      <c r="X5" s="1261"/>
      <c r="Y5" s="3376"/>
      <c r="Z5" s="3377"/>
      <c r="AA5" s="3370"/>
      <c r="AB5" s="3370"/>
      <c r="AC5" s="3389"/>
    </row>
    <row r="6" spans="1:29" ht="15.75" hidden="1" thickBot="1">
      <c r="A6" s="350"/>
      <c r="B6" s="351"/>
      <c r="C6" s="3382" t="s">
        <v>1669</v>
      </c>
      <c r="D6" s="3383"/>
      <c r="E6" s="3385" t="s">
        <v>1669</v>
      </c>
      <c r="F6" s="3386"/>
      <c r="G6" s="3382" t="s">
        <v>1669</v>
      </c>
      <c r="H6" s="3383"/>
      <c r="I6" s="3382" t="s">
        <v>1669</v>
      </c>
      <c r="J6" s="3383"/>
      <c r="K6" s="537" t="s">
        <v>1670</v>
      </c>
      <c r="L6" s="2482"/>
      <c r="M6" s="2483"/>
      <c r="N6" s="2483"/>
      <c r="O6" s="2483"/>
      <c r="P6" s="3399"/>
      <c r="Q6" s="3400"/>
      <c r="R6" s="3376"/>
      <c r="S6" s="3377"/>
      <c r="T6" s="3401"/>
      <c r="U6" s="3402"/>
      <c r="V6" s="3404"/>
      <c r="W6" s="3404"/>
      <c r="X6" s="1261"/>
      <c r="Y6" s="3401"/>
      <c r="Z6" s="3402"/>
      <c r="AA6" s="3371"/>
      <c r="AB6" s="3371"/>
      <c r="AC6" s="3390"/>
    </row>
    <row r="7" spans="1:29" s="102" customFormat="1" ht="15.75" thickBot="1">
      <c r="A7" s="352" t="s">
        <v>1671</v>
      </c>
      <c r="B7" s="353"/>
      <c r="C7" s="354">
        <f>'数据-取费表'!B2</f>
        <v>45943</v>
      </c>
      <c r="D7" s="355">
        <v>100</v>
      </c>
      <c r="E7" s="356">
        <f>C7</f>
        <v>45943</v>
      </c>
      <c r="F7" s="357">
        <f>SUMIF(59:59,YEAR(E7)&amp;"-"&amp;MONTH(E7),60:60)</f>
        <v>100</v>
      </c>
      <c r="G7" s="356">
        <f>E7</f>
        <v>45943</v>
      </c>
      <c r="H7" s="355">
        <f>SUMIF(59:59,YEAR(G7)&amp;"-"&amp;MONTH(G7),60:60)</f>
        <v>100</v>
      </c>
      <c r="I7" s="356">
        <f>G7</f>
        <v>45943</v>
      </c>
      <c r="J7" s="355">
        <f>SUMIF(59:59,YEAR(I7)&amp;"-"&amp;MONTH(I7),60:60)</f>
        <v>100</v>
      </c>
      <c r="K7" s="38"/>
      <c r="L7" s="2484"/>
      <c r="M7" s="2435"/>
      <c r="N7" s="2435"/>
      <c r="O7" s="2435"/>
      <c r="P7" s="3405" t="s">
        <v>1672</v>
      </c>
      <c r="Q7" s="3406"/>
      <c r="R7" s="664" t="s">
        <v>14</v>
      </c>
      <c r="S7" s="665">
        <f t="shared" ref="S7:S15" si="0">F7</f>
        <v>100</v>
      </c>
      <c r="T7" s="664" t="s">
        <v>14</v>
      </c>
      <c r="U7" s="665">
        <f t="shared" ref="U7:U15" si="1">H7</f>
        <v>100</v>
      </c>
      <c r="V7" s="664" t="s">
        <v>14</v>
      </c>
      <c r="W7" s="665">
        <f t="shared" ref="W7:W15" si="2">J7</f>
        <v>100</v>
      </c>
      <c r="X7" s="666"/>
      <c r="Y7" s="3372" t="s">
        <v>1672</v>
      </c>
      <c r="Z7" s="3373"/>
      <c r="AA7" s="50">
        <f>D7/F7</f>
        <v>1</v>
      </c>
      <c r="AB7" s="50">
        <f>D7/H7</f>
        <v>1</v>
      </c>
      <c r="AC7" s="799">
        <f>D7/J7</f>
        <v>1</v>
      </c>
    </row>
    <row r="8" spans="1:29" s="102" customFormat="1" ht="15.75" thickBot="1">
      <c r="A8" s="352" t="s">
        <v>1673</v>
      </c>
      <c r="B8" s="353"/>
      <c r="C8" s="358" t="s">
        <v>3476</v>
      </c>
      <c r="D8" s="355">
        <v>100</v>
      </c>
      <c r="E8" s="358" t="s">
        <v>3524</v>
      </c>
      <c r="F8" s="357">
        <f>SUMIF(62:62,E8,63:63)-SUMIF(62:62,C8,63:63)+100</f>
        <v>103</v>
      </c>
      <c r="G8" s="358" t="s">
        <v>3524</v>
      </c>
      <c r="H8" s="355">
        <f>SUMIF(62:62,G8,63:63)-SUMIF(62:62,C8,63:63)+100</f>
        <v>103</v>
      </c>
      <c r="I8" s="358" t="s">
        <v>3524</v>
      </c>
      <c r="J8" s="355">
        <f>SUMIF(62:62,I8,63:63)-SUMIF(62:62,C8,63:63)+100</f>
        <v>103</v>
      </c>
      <c r="K8" s="38"/>
      <c r="L8" s="2484"/>
      <c r="M8" s="2435"/>
      <c r="N8" s="2435"/>
      <c r="O8" s="2435"/>
      <c r="P8" s="3405" t="s">
        <v>1675</v>
      </c>
      <c r="Q8" s="3373"/>
      <c r="R8" s="664" t="s">
        <v>14</v>
      </c>
      <c r="S8" s="665">
        <f t="shared" si="0"/>
        <v>103</v>
      </c>
      <c r="T8" s="664" t="s">
        <v>14</v>
      </c>
      <c r="U8" s="665">
        <f t="shared" si="1"/>
        <v>103</v>
      </c>
      <c r="V8" s="664" t="s">
        <v>14</v>
      </c>
      <c r="W8" s="665">
        <f t="shared" si="2"/>
        <v>103</v>
      </c>
      <c r="X8" s="666"/>
      <c r="Y8" s="3372" t="s">
        <v>1675</v>
      </c>
      <c r="Z8" s="3373"/>
      <c r="AA8" s="50">
        <f t="shared" ref="AA8:AA47" si="3">D8/F8</f>
        <v>0.970873786407767</v>
      </c>
      <c r="AB8" s="50">
        <f t="shared" ref="AB8:AB47" si="4">D8/H8</f>
        <v>0.970873786407767</v>
      </c>
      <c r="AC8" s="799">
        <f t="shared" ref="AC8:AC47" si="5">D8/J8</f>
        <v>0.970873786407767</v>
      </c>
    </row>
    <row r="9" spans="1:29" s="102" customFormat="1">
      <c r="A9" s="359" t="s">
        <v>1676</v>
      </c>
      <c r="B9" s="60" t="s">
        <v>1677</v>
      </c>
      <c r="C9" s="3167" t="s">
        <v>3475</v>
      </c>
      <c r="D9" s="59">
        <v>100</v>
      </c>
      <c r="E9" s="362" t="s">
        <v>21</v>
      </c>
      <c r="F9" s="59">
        <f>SUMIF(64:64,E9,65:65)-SUMIF(64:64,C9,65:65)+100</f>
        <v>100</v>
      </c>
      <c r="G9" s="361" t="s">
        <v>21</v>
      </c>
      <c r="H9" s="59">
        <f>SUMIF(64:64,G9,65:65)-SUMIF(64:64,C9,65:65)+100</f>
        <v>100</v>
      </c>
      <c r="I9" s="361" t="s">
        <v>21</v>
      </c>
      <c r="J9" s="59">
        <f>SUMIF(64:64,I9,65:65)-SUMIF(64:64,C9,65:65)+100</f>
        <v>100</v>
      </c>
      <c r="K9" s="38"/>
      <c r="L9" s="2484"/>
      <c r="M9" s="2435"/>
      <c r="N9" s="2435"/>
      <c r="O9" s="2435"/>
      <c r="P9" s="3387" t="s">
        <v>1678</v>
      </c>
      <c r="Q9" s="530" t="str">
        <f t="shared" ref="Q9:Q15" si="6">B9</f>
        <v>用途</v>
      </c>
      <c r="R9" s="664" t="s">
        <v>14</v>
      </c>
      <c r="S9" s="665">
        <f t="shared" si="0"/>
        <v>100</v>
      </c>
      <c r="T9" s="664" t="s">
        <v>14</v>
      </c>
      <c r="U9" s="665">
        <f t="shared" si="1"/>
        <v>100</v>
      </c>
      <c r="V9" s="664" t="s">
        <v>14</v>
      </c>
      <c r="W9" s="665">
        <f t="shared" si="2"/>
        <v>100</v>
      </c>
      <c r="X9" s="666"/>
      <c r="Y9" s="3276" t="s">
        <v>1679</v>
      </c>
      <c r="Z9" s="50" t="str">
        <f t="shared" ref="Z9:Z15" si="7">Q9</f>
        <v>用途</v>
      </c>
      <c r="AA9" s="50">
        <f t="shared" si="3"/>
        <v>1</v>
      </c>
      <c r="AB9" s="50">
        <f t="shared" si="4"/>
        <v>1</v>
      </c>
      <c r="AC9" s="799">
        <f t="shared" si="5"/>
        <v>1</v>
      </c>
    </row>
    <row r="10" spans="1:29" s="366" customFormat="1" ht="27.75" thickBot="1">
      <c r="A10" s="363"/>
      <c r="B10" s="364" t="s">
        <v>1680</v>
      </c>
      <c r="C10" s="3127" t="s">
        <v>3489</v>
      </c>
      <c r="D10" s="119">
        <v>100</v>
      </c>
      <c r="E10" s="3127" t="s">
        <v>3489</v>
      </c>
      <c r="F10" s="119">
        <f>SUMIF(66:66,E10,67:67)-SUMIF(66:66,C10,67:67)+100</f>
        <v>100</v>
      </c>
      <c r="G10" s="3128" t="s">
        <v>3490</v>
      </c>
      <c r="H10" s="119">
        <f>SUMIF(66:66,G10,67:67)-SUMIF(66:66,C10,67:67)+100</f>
        <v>102</v>
      </c>
      <c r="I10" s="3127" t="s">
        <v>3489</v>
      </c>
      <c r="J10" s="119">
        <f>SUMIF(66:66,I10,67:67)-SUMIF(66:66,C10,67:67)+100</f>
        <v>100</v>
      </c>
      <c r="K10" s="38"/>
      <c r="L10" s="2485"/>
      <c r="M10" s="2486"/>
      <c r="N10" s="2486"/>
      <c r="O10" s="2486"/>
      <c r="P10" s="3387"/>
      <c r="Q10" s="530" t="str">
        <f t="shared" si="6"/>
        <v>土地使用年限（年）</v>
      </c>
      <c r="R10" s="664" t="s">
        <v>14</v>
      </c>
      <c r="S10" s="665">
        <f t="shared" si="0"/>
        <v>100</v>
      </c>
      <c r="T10" s="664" t="s">
        <v>14</v>
      </c>
      <c r="U10" s="665">
        <f t="shared" si="1"/>
        <v>102</v>
      </c>
      <c r="V10" s="664" t="s">
        <v>14</v>
      </c>
      <c r="W10" s="665">
        <f t="shared" si="2"/>
        <v>100</v>
      </c>
      <c r="X10" s="666"/>
      <c r="Y10" s="3276"/>
      <c r="Z10" s="50" t="str">
        <f t="shared" si="7"/>
        <v>土地使用年限（年）</v>
      </c>
      <c r="AA10" s="50">
        <f t="shared" si="3"/>
        <v>1</v>
      </c>
      <c r="AB10" s="50">
        <f t="shared" si="4"/>
        <v>0.98039215686274506</v>
      </c>
      <c r="AC10" s="799">
        <f t="shared" si="5"/>
        <v>1</v>
      </c>
    </row>
    <row r="11" spans="1:29" ht="15" hidden="1">
      <c r="A11" s="367"/>
      <c r="B11" s="364" t="s">
        <v>1681</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87"/>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799">
        <f t="shared" si="5"/>
        <v>1</v>
      </c>
    </row>
    <row r="12" spans="1:29" s="102" customFormat="1" ht="15" hidden="1">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4"/>
      <c r="M12" s="2435"/>
      <c r="N12" s="2435"/>
      <c r="O12" s="2435"/>
      <c r="P12" s="3387"/>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799">
        <f>D12/J12</f>
        <v>1</v>
      </c>
    </row>
    <row r="13" spans="1:29" ht="15" hidden="1">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8"/>
      <c r="M13" s="2483"/>
      <c r="N13" s="2483"/>
      <c r="O13" s="2483"/>
      <c r="P13" s="3387"/>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799">
        <f t="shared" si="5"/>
        <v>1</v>
      </c>
    </row>
    <row r="14" spans="1:29" ht="15.75" hidden="1"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8"/>
      <c r="M14" s="2483"/>
      <c r="N14" s="2483"/>
      <c r="O14" s="2483"/>
      <c r="P14" s="3387"/>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799">
        <f t="shared" si="5"/>
        <v>1</v>
      </c>
    </row>
    <row r="15" spans="1:29" ht="15">
      <c r="A15" s="379" t="s">
        <v>1682</v>
      </c>
      <c r="B15" s="554" t="s">
        <v>1803</v>
      </c>
      <c r="C15" s="1806">
        <f>估价对象房地状况!C5</f>
        <v>0</v>
      </c>
      <c r="D15" s="380">
        <v>100</v>
      </c>
      <c r="E15" s="383"/>
      <c r="F15" s="380">
        <f>SUMIF(77:77,E16,78:78)-SUMIF(77:77,C16,78:78)+100</f>
        <v>100</v>
      </c>
      <c r="G15" s="381"/>
      <c r="H15" s="380">
        <f>SUMIF(77:77,G16,78:78)-SUMIF(77:77,C16,78:78)+100</f>
        <v>100</v>
      </c>
      <c r="I15" s="381"/>
      <c r="J15" s="380">
        <f>SUMIF(77:77,I16,78:78)-SUMIF(77:77,C16,78:78)+100</f>
        <v>97</v>
      </c>
      <c r="K15" s="540">
        <v>3</v>
      </c>
      <c r="L15" s="2488"/>
      <c r="M15" s="2483"/>
      <c r="N15" s="2483"/>
      <c r="O15" s="2483"/>
      <c r="P15" s="3407" t="s">
        <v>1683</v>
      </c>
      <c r="Q15" s="1259" t="str">
        <f t="shared" si="6"/>
        <v>办公集聚程度</v>
      </c>
      <c r="R15" s="667" t="s">
        <v>14</v>
      </c>
      <c r="S15" s="668">
        <f t="shared" si="0"/>
        <v>100</v>
      </c>
      <c r="T15" s="667" t="s">
        <v>14</v>
      </c>
      <c r="U15" s="668">
        <f t="shared" si="1"/>
        <v>100</v>
      </c>
      <c r="V15" s="667" t="s">
        <v>14</v>
      </c>
      <c r="W15" s="668">
        <f t="shared" si="2"/>
        <v>97</v>
      </c>
      <c r="X15" s="1261"/>
      <c r="Y15" s="3409" t="s">
        <v>1683</v>
      </c>
      <c r="Z15" s="1260" t="str">
        <f t="shared" si="7"/>
        <v>办公集聚程度</v>
      </c>
      <c r="AA15" s="1260">
        <f t="shared" si="3"/>
        <v>1</v>
      </c>
      <c r="AB15" s="1260">
        <f t="shared" si="4"/>
        <v>1</v>
      </c>
      <c r="AC15" s="1807">
        <f t="shared" si="5"/>
        <v>1.0309278350515463</v>
      </c>
    </row>
    <row r="16" spans="1:29" ht="15">
      <c r="A16" s="367"/>
      <c r="B16" s="555"/>
      <c r="C16" s="1753" t="s">
        <v>3461</v>
      </c>
      <c r="D16" s="387"/>
      <c r="E16" s="386" t="s">
        <v>3461</v>
      </c>
      <c r="F16" s="387"/>
      <c r="G16" s="386" t="s">
        <v>3461</v>
      </c>
      <c r="H16" s="389"/>
      <c r="I16" s="386" t="s">
        <v>3463</v>
      </c>
      <c r="J16" s="387"/>
      <c r="K16" s="541"/>
      <c r="L16" s="2488"/>
      <c r="M16" s="2483"/>
      <c r="N16" s="2483"/>
      <c r="O16" s="2483"/>
      <c r="P16" s="3408"/>
      <c r="Q16" s="1259"/>
      <c r="R16" s="667"/>
      <c r="S16" s="668"/>
      <c r="T16" s="667"/>
      <c r="U16" s="668"/>
      <c r="V16" s="667"/>
      <c r="W16" s="668"/>
      <c r="X16" s="1261"/>
      <c r="Y16" s="3410"/>
      <c r="Z16" s="1260"/>
      <c r="AA16" s="1260">
        <v>1</v>
      </c>
      <c r="AB16" s="1260">
        <v>1</v>
      </c>
      <c r="AC16" s="1807">
        <v>1</v>
      </c>
    </row>
    <row r="17" spans="1:29" ht="15">
      <c r="A17" s="367"/>
      <c r="B17" s="556" t="s">
        <v>1251</v>
      </c>
      <c r="C17" s="1808">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88"/>
      <c r="M17" s="2483"/>
      <c r="N17" s="2483"/>
      <c r="O17" s="2483"/>
      <c r="P17" s="3408"/>
      <c r="Q17" s="1259" t="str">
        <f>B17</f>
        <v>交通便捷度</v>
      </c>
      <c r="R17" s="667" t="s">
        <v>14</v>
      </c>
      <c r="S17" s="668">
        <f>F17</f>
        <v>100</v>
      </c>
      <c r="T17" s="667" t="s">
        <v>14</v>
      </c>
      <c r="U17" s="668">
        <f>H17</f>
        <v>100</v>
      </c>
      <c r="V17" s="667" t="s">
        <v>14</v>
      </c>
      <c r="W17" s="668">
        <f>J17</f>
        <v>100</v>
      </c>
      <c r="X17" s="1261"/>
      <c r="Y17" s="3410"/>
      <c r="Z17" s="1260" t="str">
        <f>Q17</f>
        <v>交通便捷度</v>
      </c>
      <c r="AA17" s="1260">
        <f t="shared" si="3"/>
        <v>1</v>
      </c>
      <c r="AB17" s="1260">
        <f t="shared" si="4"/>
        <v>1</v>
      </c>
      <c r="AC17" s="1807">
        <f t="shared" si="5"/>
        <v>1</v>
      </c>
    </row>
    <row r="18" spans="1:29" ht="15">
      <c r="A18" s="367"/>
      <c r="B18" s="401"/>
      <c r="C18" s="1809" t="s">
        <v>3461</v>
      </c>
      <c r="D18" s="389"/>
      <c r="E18" s="1751" t="s">
        <v>3461</v>
      </c>
      <c r="F18" s="389"/>
      <c r="G18" s="1751" t="s">
        <v>3461</v>
      </c>
      <c r="H18" s="387"/>
      <c r="I18" s="1751" t="s">
        <v>3461</v>
      </c>
      <c r="J18" s="387"/>
      <c r="K18" s="541"/>
      <c r="L18" s="2488"/>
      <c r="M18" s="2483"/>
      <c r="N18" s="2483"/>
      <c r="O18" s="2483"/>
      <c r="P18" s="3408"/>
      <c r="Q18" s="1259"/>
      <c r="R18" s="667"/>
      <c r="S18" s="668"/>
      <c r="T18" s="667"/>
      <c r="U18" s="668"/>
      <c r="V18" s="667"/>
      <c r="W18" s="668"/>
      <c r="X18" s="1261"/>
      <c r="Y18" s="3410"/>
      <c r="Z18" s="1260"/>
      <c r="AA18" s="1260">
        <v>1</v>
      </c>
      <c r="AB18" s="1260">
        <v>1</v>
      </c>
      <c r="AC18" s="1807">
        <v>1</v>
      </c>
    </row>
    <row r="19" spans="1:29" ht="15">
      <c r="A19" s="367"/>
      <c r="B19" s="556" t="s">
        <v>1804</v>
      </c>
      <c r="C19" s="1808">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408"/>
      <c r="Q19" s="1259" t="str">
        <f>B19</f>
        <v>公共配套设施</v>
      </c>
      <c r="R19" s="667" t="s">
        <v>14</v>
      </c>
      <c r="S19" s="668">
        <f>F19</f>
        <v>100</v>
      </c>
      <c r="T19" s="667" t="s">
        <v>14</v>
      </c>
      <c r="U19" s="668">
        <f>H19</f>
        <v>100</v>
      </c>
      <c r="V19" s="667" t="s">
        <v>14</v>
      </c>
      <c r="W19" s="668">
        <f>J19</f>
        <v>100</v>
      </c>
      <c r="X19" s="1261"/>
      <c r="Y19" s="3410"/>
      <c r="Z19" s="1260" t="str">
        <f>Q19</f>
        <v>公共配套设施</v>
      </c>
      <c r="AA19" s="1260">
        <f t="shared" si="3"/>
        <v>1</v>
      </c>
      <c r="AB19" s="1260">
        <f t="shared" si="4"/>
        <v>1</v>
      </c>
      <c r="AC19" s="1807">
        <f t="shared" si="5"/>
        <v>1</v>
      </c>
    </row>
    <row r="20" spans="1:29" ht="15">
      <c r="A20" s="367"/>
      <c r="B20" s="401"/>
      <c r="C20" s="1753" t="s">
        <v>3461</v>
      </c>
      <c r="D20" s="387"/>
      <c r="E20" s="1746" t="s">
        <v>3461</v>
      </c>
      <c r="F20" s="387"/>
      <c r="G20" s="1746" t="s">
        <v>3461</v>
      </c>
      <c r="H20" s="387"/>
      <c r="I20" s="1746" t="s">
        <v>3461</v>
      </c>
      <c r="J20" s="387"/>
      <c r="K20" s="541"/>
      <c r="L20" s="2488"/>
      <c r="M20" s="2483"/>
      <c r="N20" s="2483"/>
      <c r="O20" s="2483"/>
      <c r="P20" s="3408"/>
      <c r="Q20" s="1259"/>
      <c r="R20" s="667"/>
      <c r="S20" s="668"/>
      <c r="T20" s="667"/>
      <c r="U20" s="668"/>
      <c r="V20" s="667"/>
      <c r="W20" s="668"/>
      <c r="X20" s="1261"/>
      <c r="Y20" s="3410"/>
      <c r="Z20" s="1260"/>
      <c r="AA20" s="1260">
        <v>1</v>
      </c>
      <c r="AB20" s="1260">
        <v>1</v>
      </c>
      <c r="AC20" s="1807">
        <v>1</v>
      </c>
    </row>
    <row r="21" spans="1:29" ht="15">
      <c r="A21" s="367"/>
      <c r="B21" s="557" t="s">
        <v>1805</v>
      </c>
      <c r="C21" s="1808">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88"/>
      <c r="M21" s="2483"/>
      <c r="N21" s="2483"/>
      <c r="O21" s="2483"/>
      <c r="P21" s="3408"/>
      <c r="Q21" s="1259" t="str">
        <f>B21</f>
        <v>基础设施水平</v>
      </c>
      <c r="R21" s="667" t="s">
        <v>14</v>
      </c>
      <c r="S21" s="668">
        <f>F21</f>
        <v>100</v>
      </c>
      <c r="T21" s="667" t="s">
        <v>14</v>
      </c>
      <c r="U21" s="668">
        <f>H21</f>
        <v>100</v>
      </c>
      <c r="V21" s="667" t="s">
        <v>14</v>
      </c>
      <c r="W21" s="668">
        <f>J21</f>
        <v>100</v>
      </c>
      <c r="X21" s="1261"/>
      <c r="Y21" s="3410"/>
      <c r="Z21" s="1260" t="str">
        <f>Q21</f>
        <v>基础设施水平</v>
      </c>
      <c r="AA21" s="1260">
        <f t="shared" ref="AA21" si="8">D21/F21</f>
        <v>1</v>
      </c>
      <c r="AB21" s="1260">
        <f t="shared" ref="AB21" si="9">D21/H21</f>
        <v>1</v>
      </c>
      <c r="AC21" s="1807">
        <f t="shared" ref="AC21" si="10">D21/J21</f>
        <v>1</v>
      </c>
    </row>
    <row r="22" spans="1:29" ht="15">
      <c r="A22" s="367"/>
      <c r="B22" s="557"/>
      <c r="C22" s="1809" t="s">
        <v>3478</v>
      </c>
      <c r="D22" s="387"/>
      <c r="E22" s="386" t="s">
        <v>3478</v>
      </c>
      <c r="F22" s="387"/>
      <c r="G22" s="386" t="s">
        <v>3478</v>
      </c>
      <c r="H22" s="387"/>
      <c r="I22" s="386" t="s">
        <v>3478</v>
      </c>
      <c r="J22" s="387"/>
      <c r="K22" s="1060"/>
      <c r="L22" s="2488"/>
      <c r="M22" s="2483"/>
      <c r="N22" s="2483"/>
      <c r="O22" s="2483"/>
      <c r="P22" s="3408"/>
      <c r="Q22" s="1259"/>
      <c r="R22" s="667"/>
      <c r="S22" s="668"/>
      <c r="T22" s="667"/>
      <c r="U22" s="668"/>
      <c r="V22" s="667"/>
      <c r="W22" s="668"/>
      <c r="X22" s="1261"/>
      <c r="Y22" s="3410"/>
      <c r="Z22" s="1260"/>
      <c r="AA22" s="1260">
        <v>1</v>
      </c>
      <c r="AB22" s="1260">
        <v>1</v>
      </c>
      <c r="AC22" s="1807">
        <v>1</v>
      </c>
    </row>
    <row r="23" spans="1:29" ht="15">
      <c r="A23" s="367"/>
      <c r="B23" s="556" t="s">
        <v>1806</v>
      </c>
      <c r="C23" s="1808">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88"/>
      <c r="M23" s="2483"/>
      <c r="N23" s="2483"/>
      <c r="O23" s="2483"/>
      <c r="P23" s="3408"/>
      <c r="Q23" s="1259" t="str">
        <f>B23</f>
        <v>环境质量</v>
      </c>
      <c r="R23" s="667" t="s">
        <v>14</v>
      </c>
      <c r="S23" s="668">
        <f>F23</f>
        <v>100</v>
      </c>
      <c r="T23" s="667" t="s">
        <v>14</v>
      </c>
      <c r="U23" s="668">
        <f>H23</f>
        <v>100</v>
      </c>
      <c r="V23" s="667" t="s">
        <v>14</v>
      </c>
      <c r="W23" s="668">
        <f>J23</f>
        <v>100</v>
      </c>
      <c r="X23" s="1261"/>
      <c r="Y23" s="3410"/>
      <c r="Z23" s="1260" t="str">
        <f>Q23</f>
        <v>环境质量</v>
      </c>
      <c r="AA23" s="1260">
        <f t="shared" si="3"/>
        <v>1</v>
      </c>
      <c r="AB23" s="1260">
        <f t="shared" si="4"/>
        <v>1</v>
      </c>
      <c r="AC23" s="1807">
        <f t="shared" si="5"/>
        <v>1</v>
      </c>
    </row>
    <row r="24" spans="1:29" ht="15">
      <c r="A24" s="367"/>
      <c r="B24" s="557"/>
      <c r="C24" s="1753" t="s">
        <v>3461</v>
      </c>
      <c r="D24" s="387"/>
      <c r="E24" s="1746" t="s">
        <v>3461</v>
      </c>
      <c r="F24" s="387"/>
      <c r="G24" s="1746" t="s">
        <v>3461</v>
      </c>
      <c r="H24" s="387"/>
      <c r="I24" s="1746" t="s">
        <v>3461</v>
      </c>
      <c r="J24" s="387"/>
      <c r="K24" s="541"/>
      <c r="L24" s="2488"/>
      <c r="M24" s="2483"/>
      <c r="N24" s="2483"/>
      <c r="O24" s="2483"/>
      <c r="P24" s="3408"/>
      <c r="Q24" s="1259"/>
      <c r="R24" s="667"/>
      <c r="S24" s="668"/>
      <c r="T24" s="667"/>
      <c r="U24" s="668"/>
      <c r="V24" s="667"/>
      <c r="W24" s="668"/>
      <c r="X24" s="1261"/>
      <c r="Y24" s="3410"/>
      <c r="Z24" s="1260"/>
      <c r="AA24" s="1260">
        <v>1</v>
      </c>
      <c r="AB24" s="1260">
        <v>1</v>
      </c>
      <c r="AC24" s="1807">
        <v>1</v>
      </c>
    </row>
    <row r="25" spans="1:29" ht="27" hidden="1">
      <c r="A25" s="348"/>
      <c r="B25" s="556" t="s">
        <v>1807</v>
      </c>
      <c r="C25" s="1757"/>
      <c r="D25" s="374">
        <v>100</v>
      </c>
      <c r="E25" s="373"/>
      <c r="F25" s="374">
        <f>SUMIF(87:87,E26,88:88)-SUMIF(87:87,C26,88:88)+100</f>
        <v>100</v>
      </c>
      <c r="G25" s="373"/>
      <c r="H25" s="374">
        <f>SUMIF(87:87,G26,88:88)-SUMIF(87:87,C26,88:88)+100</f>
        <v>100</v>
      </c>
      <c r="I25" s="373"/>
      <c r="J25" s="374">
        <f>SUMIF(87:87,I26,88:88)-SUMIF(87:87,C26,88:88)+100</f>
        <v>100</v>
      </c>
      <c r="K25" s="540"/>
      <c r="L25" s="2488"/>
      <c r="M25" s="2483"/>
      <c r="N25" s="2483"/>
      <c r="O25" s="2483"/>
      <c r="P25" s="3408"/>
      <c r="Q25" s="1259" t="str">
        <f>B25</f>
        <v>毗邻道路的类型与等级</v>
      </c>
      <c r="R25" s="667" t="s">
        <v>14</v>
      </c>
      <c r="S25" s="668">
        <f>F25</f>
        <v>100</v>
      </c>
      <c r="T25" s="667" t="s">
        <v>14</v>
      </c>
      <c r="U25" s="668">
        <f>H25</f>
        <v>100</v>
      </c>
      <c r="V25" s="667" t="s">
        <v>14</v>
      </c>
      <c r="W25" s="668">
        <f>J25</f>
        <v>100</v>
      </c>
      <c r="X25" s="1261"/>
      <c r="Y25" s="3410"/>
      <c r="Z25" s="1260" t="str">
        <f>Q25</f>
        <v>毗邻道路的类型与等级</v>
      </c>
      <c r="AA25" s="1260">
        <f t="shared" si="3"/>
        <v>1</v>
      </c>
      <c r="AB25" s="1260">
        <f t="shared" si="4"/>
        <v>1</v>
      </c>
      <c r="AC25" s="1807">
        <f t="shared" si="5"/>
        <v>1</v>
      </c>
    </row>
    <row r="26" spans="1:29" ht="15" hidden="1">
      <c r="A26" s="348"/>
      <c r="B26" s="401"/>
      <c r="C26" s="558"/>
      <c r="D26" s="374"/>
      <c r="E26" s="542"/>
      <c r="F26" s="374"/>
      <c r="G26" s="542"/>
      <c r="H26" s="374"/>
      <c r="I26" s="542"/>
      <c r="J26" s="374"/>
      <c r="K26" s="541"/>
      <c r="L26" s="2488"/>
      <c r="M26" s="2483"/>
      <c r="N26" s="2483"/>
      <c r="O26" s="2483"/>
      <c r="P26" s="3408"/>
      <c r="Q26" s="1259"/>
      <c r="R26" s="667"/>
      <c r="S26" s="668"/>
      <c r="T26" s="667"/>
      <c r="U26" s="668"/>
      <c r="V26" s="667"/>
      <c r="W26" s="668"/>
      <c r="X26" s="1261"/>
      <c r="Y26" s="3410"/>
      <c r="Z26" s="1260"/>
      <c r="AA26" s="1260">
        <v>1</v>
      </c>
      <c r="AB26" s="1260">
        <v>1</v>
      </c>
      <c r="AC26" s="1807">
        <v>1</v>
      </c>
    </row>
    <row r="27" spans="1:29" ht="15.75" thickBot="1">
      <c r="A27" s="367"/>
      <c r="B27" s="401" t="s">
        <v>1775</v>
      </c>
      <c r="C27" s="3168" t="s">
        <v>3480</v>
      </c>
      <c r="D27" s="374">
        <v>100</v>
      </c>
      <c r="E27" s="3169" t="s">
        <v>3481</v>
      </c>
      <c r="F27" s="374">
        <f>SUMIF(89:89,E27,90:90)-SUMIF(89:89,C27,90:90)+100</f>
        <v>106</v>
      </c>
      <c r="G27" s="3169" t="s">
        <v>3481</v>
      </c>
      <c r="H27" s="374">
        <f>SUMIF(89:89,G27,90:90)-SUMIF(89:89,C27,90:90)+100</f>
        <v>106</v>
      </c>
      <c r="I27" s="3169" t="s">
        <v>3481</v>
      </c>
      <c r="J27" s="374">
        <f>SUMIF(89:89,I27,90:90)-SUMIF(89:89,C27,90:90)+100</f>
        <v>106</v>
      </c>
      <c r="K27" s="538">
        <v>3</v>
      </c>
      <c r="L27" s="2488"/>
      <c r="M27" s="2483"/>
      <c r="N27" s="2483"/>
      <c r="O27" s="2483"/>
      <c r="P27" s="3408"/>
      <c r="Q27" s="1259" t="str">
        <f t="shared" ref="Q27:Q47" si="11">B27</f>
        <v>楼层</v>
      </c>
      <c r="R27" s="667" t="s">
        <v>14</v>
      </c>
      <c r="S27" s="668">
        <f>F27</f>
        <v>106</v>
      </c>
      <c r="T27" s="667" t="s">
        <v>14</v>
      </c>
      <c r="U27" s="668">
        <f>H27</f>
        <v>106</v>
      </c>
      <c r="V27" s="667" t="s">
        <v>14</v>
      </c>
      <c r="W27" s="668">
        <f>J27</f>
        <v>106</v>
      </c>
      <c r="X27" s="1261"/>
      <c r="Y27" s="3410"/>
      <c r="Z27" s="1260" t="str">
        <f>Q27</f>
        <v>楼层</v>
      </c>
      <c r="AA27" s="1260">
        <f t="shared" si="3"/>
        <v>0.94339622641509435</v>
      </c>
      <c r="AB27" s="1260">
        <f t="shared" si="4"/>
        <v>0.94339622641509435</v>
      </c>
      <c r="AC27" s="1807">
        <f t="shared" si="5"/>
        <v>0.94339622641509435</v>
      </c>
    </row>
    <row r="28" spans="1:29" s="102" customFormat="1" ht="15" hidden="1">
      <c r="A28" s="370"/>
      <c r="B28" s="556" t="s">
        <v>1808</v>
      </c>
      <c r="C28" s="1810"/>
      <c r="D28" s="401">
        <v>100</v>
      </c>
      <c r="E28" s="1802"/>
      <c r="F28" s="401">
        <f>SUMIF(91:91,E28,92:92)-SUMIF(91:91,C28,92:92)+100</f>
        <v>100</v>
      </c>
      <c r="G28" s="1810"/>
      <c r="H28" s="401">
        <f>SUMIF(91:91,G28,92:92)-SUMIF(91:91,C28,92:92)+100</f>
        <v>100</v>
      </c>
      <c r="I28" s="1802"/>
      <c r="J28" s="401">
        <f>SUMIF(91:91,I28,92:92)-SUMIF(91:91,C28,92:92)+100</f>
        <v>100</v>
      </c>
      <c r="K28" s="538"/>
      <c r="L28" s="2484"/>
      <c r="M28" s="2435"/>
      <c r="N28" s="2435"/>
      <c r="O28" s="2435"/>
      <c r="P28" s="3408"/>
      <c r="Q28" s="530" t="str">
        <f t="shared" si="11"/>
        <v>朝向</v>
      </c>
      <c r="R28" s="664" t="s">
        <v>14</v>
      </c>
      <c r="S28" s="665">
        <f>F28</f>
        <v>100</v>
      </c>
      <c r="T28" s="664" t="s">
        <v>14</v>
      </c>
      <c r="U28" s="665">
        <f>H28</f>
        <v>100</v>
      </c>
      <c r="V28" s="664" t="s">
        <v>14</v>
      </c>
      <c r="W28" s="665">
        <f>J28</f>
        <v>100</v>
      </c>
      <c r="X28" s="666"/>
      <c r="Y28" s="3410"/>
      <c r="Z28" s="50" t="str">
        <f>Q28</f>
        <v>朝向</v>
      </c>
      <c r="AA28" s="1260">
        <f>D28/F28</f>
        <v>1</v>
      </c>
      <c r="AB28" s="1260">
        <f>D28/H28</f>
        <v>1</v>
      </c>
      <c r="AC28" s="1807">
        <f>D28/J28</f>
        <v>1</v>
      </c>
    </row>
    <row r="29" spans="1:29" ht="15" hidden="1">
      <c r="A29" s="367"/>
      <c r="B29" s="1095">
        <v>111</v>
      </c>
      <c r="C29" s="1757"/>
      <c r="D29" s="374">
        <v>100</v>
      </c>
      <c r="E29" s="371"/>
      <c r="F29" s="374">
        <f>SUMIF(93:93,E29,94:94)-SUMIF(93:93,C29,94:94)+100</f>
        <v>100</v>
      </c>
      <c r="G29" s="1805"/>
      <c r="H29" s="374">
        <f>SUMIF(93:93,G29,94:94)-SUMIF(93:93,C29,94:94)+100</f>
        <v>100</v>
      </c>
      <c r="I29" s="371"/>
      <c r="J29" s="374">
        <f>SUMIF(93:93,I29,94:94)-SUMIF(93:93,C29,94:94)+100</f>
        <v>100</v>
      </c>
      <c r="K29" s="539"/>
      <c r="L29" s="2488"/>
      <c r="M29" s="2483"/>
      <c r="N29" s="2483"/>
      <c r="O29" s="2483"/>
      <c r="P29" s="3408"/>
      <c r="Q29" s="1259">
        <f t="shared" si="11"/>
        <v>111</v>
      </c>
      <c r="R29" s="667" t="s">
        <v>14</v>
      </c>
      <c r="S29" s="668">
        <f t="shared" ref="S29:S47" si="12">F29</f>
        <v>100</v>
      </c>
      <c r="T29" s="667" t="s">
        <v>14</v>
      </c>
      <c r="U29" s="668">
        <f t="shared" ref="U29:U47" si="13">H29</f>
        <v>100</v>
      </c>
      <c r="V29" s="667" t="s">
        <v>14</v>
      </c>
      <c r="W29" s="668">
        <f t="shared" ref="W29:W47" si="14">J29</f>
        <v>100</v>
      </c>
      <c r="X29" s="1261"/>
      <c r="Y29" s="3410"/>
      <c r="Z29" s="1260">
        <f t="shared" ref="Z29:Z47" si="15">Q29</f>
        <v>111</v>
      </c>
      <c r="AA29" s="1260">
        <f t="shared" si="3"/>
        <v>1</v>
      </c>
      <c r="AB29" s="1260">
        <f t="shared" si="4"/>
        <v>1</v>
      </c>
      <c r="AC29" s="1807">
        <f t="shared" si="5"/>
        <v>1</v>
      </c>
    </row>
    <row r="30" spans="1:29" ht="15" hidden="1">
      <c r="A30" s="367"/>
      <c r="B30" s="1095">
        <v>111</v>
      </c>
      <c r="C30" s="1757"/>
      <c r="D30" s="374">
        <v>100</v>
      </c>
      <c r="E30" s="371"/>
      <c r="F30" s="374">
        <f>SUMIF(95:95,E30,96:96)-SUMIF(95:95,C30,96:96)+100</f>
        <v>100</v>
      </c>
      <c r="G30" s="1805"/>
      <c r="H30" s="374">
        <f>SUMIF(95:95,G30,96:96)-SUMIF(95:95,C30,96:96)+100</f>
        <v>100</v>
      </c>
      <c r="I30" s="371"/>
      <c r="J30" s="374">
        <f>SUMIF(95:95,I30,96:96)-SUMIF(95:95,C30,96:96)+100</f>
        <v>100</v>
      </c>
      <c r="K30" s="539"/>
      <c r="L30" s="2488"/>
      <c r="M30" s="2483"/>
      <c r="N30" s="2483"/>
      <c r="O30" s="2483"/>
      <c r="P30" s="3408"/>
      <c r="Q30" s="1259">
        <f t="shared" si="11"/>
        <v>111</v>
      </c>
      <c r="R30" s="667" t="s">
        <v>14</v>
      </c>
      <c r="S30" s="668">
        <f t="shared" si="12"/>
        <v>100</v>
      </c>
      <c r="T30" s="667" t="s">
        <v>14</v>
      </c>
      <c r="U30" s="668">
        <f t="shared" si="13"/>
        <v>100</v>
      </c>
      <c r="V30" s="667" t="s">
        <v>14</v>
      </c>
      <c r="W30" s="668">
        <f t="shared" si="14"/>
        <v>100</v>
      </c>
      <c r="X30" s="1261"/>
      <c r="Y30" s="3410"/>
      <c r="Z30" s="1260">
        <f t="shared" si="15"/>
        <v>111</v>
      </c>
      <c r="AA30" s="1260">
        <f t="shared" si="3"/>
        <v>1</v>
      </c>
      <c r="AB30" s="1260">
        <f t="shared" si="4"/>
        <v>1</v>
      </c>
      <c r="AC30" s="1807">
        <f t="shared" si="5"/>
        <v>1</v>
      </c>
    </row>
    <row r="31" spans="1:29" ht="15" hidden="1">
      <c r="A31" s="367"/>
      <c r="B31" s="1095">
        <v>111</v>
      </c>
      <c r="C31" s="1757"/>
      <c r="D31" s="374">
        <v>100</v>
      </c>
      <c r="E31" s="371"/>
      <c r="F31" s="374">
        <f>SUMIF(97:97,E31,98:98)-SUMIF(97:97,C31,98:98)+100</f>
        <v>100</v>
      </c>
      <c r="G31" s="1805"/>
      <c r="H31" s="374">
        <f>SUMIF(97:97,G31,98:98)-SUMIF(97:97,C31,98:98)+100</f>
        <v>100</v>
      </c>
      <c r="I31" s="371"/>
      <c r="J31" s="374">
        <f>SUMIF(97:97,I31,98:98)-SUMIF(97:97,C31,98:98)+100</f>
        <v>100</v>
      </c>
      <c r="K31" s="539"/>
      <c r="L31" s="2488"/>
      <c r="M31" s="2483"/>
      <c r="N31" s="2483"/>
      <c r="O31" s="2483"/>
      <c r="P31" s="3408"/>
      <c r="Q31" s="1259">
        <f t="shared" si="11"/>
        <v>111</v>
      </c>
      <c r="R31" s="667" t="s">
        <v>14</v>
      </c>
      <c r="S31" s="668">
        <f t="shared" si="12"/>
        <v>100</v>
      </c>
      <c r="T31" s="667" t="s">
        <v>14</v>
      </c>
      <c r="U31" s="668">
        <f t="shared" si="13"/>
        <v>100</v>
      </c>
      <c r="V31" s="667" t="s">
        <v>14</v>
      </c>
      <c r="W31" s="668">
        <f t="shared" si="14"/>
        <v>100</v>
      </c>
      <c r="X31" s="1261"/>
      <c r="Y31" s="3410"/>
      <c r="Z31" s="1260">
        <f t="shared" si="15"/>
        <v>111</v>
      </c>
      <c r="AA31" s="1260">
        <f t="shared" si="3"/>
        <v>1</v>
      </c>
      <c r="AB31" s="1260">
        <f t="shared" si="4"/>
        <v>1</v>
      </c>
      <c r="AC31" s="1807">
        <f t="shared" si="5"/>
        <v>1</v>
      </c>
    </row>
    <row r="32" spans="1:29" ht="15.75" hidden="1"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8"/>
      <c r="M32" s="2483"/>
      <c r="N32" s="2483"/>
      <c r="O32" s="2483"/>
      <c r="P32" s="3408"/>
      <c r="Q32" s="1259">
        <f t="shared" si="11"/>
        <v>111</v>
      </c>
      <c r="R32" s="667" t="s">
        <v>14</v>
      </c>
      <c r="S32" s="668">
        <f t="shared" si="12"/>
        <v>100</v>
      </c>
      <c r="T32" s="667" t="s">
        <v>14</v>
      </c>
      <c r="U32" s="668">
        <f t="shared" si="13"/>
        <v>100</v>
      </c>
      <c r="V32" s="667" t="s">
        <v>14</v>
      </c>
      <c r="W32" s="668">
        <f t="shared" si="14"/>
        <v>100</v>
      </c>
      <c r="X32" s="1261"/>
      <c r="Y32" s="3410"/>
      <c r="Z32" s="1260">
        <f t="shared" si="15"/>
        <v>111</v>
      </c>
      <c r="AA32" s="1260">
        <f t="shared" si="3"/>
        <v>1</v>
      </c>
      <c r="AB32" s="1260">
        <f t="shared" si="4"/>
        <v>1</v>
      </c>
      <c r="AC32" s="1807">
        <f t="shared" si="5"/>
        <v>1</v>
      </c>
    </row>
    <row r="33" spans="1:29" ht="15">
      <c r="A33" s="379" t="s">
        <v>1686</v>
      </c>
      <c r="B33" s="60" t="s">
        <v>1809</v>
      </c>
      <c r="C33" s="3170" t="s">
        <v>3482</v>
      </c>
      <c r="D33" s="405">
        <v>100</v>
      </c>
      <c r="E33" s="3170" t="s">
        <v>3482</v>
      </c>
      <c r="F33" s="400">
        <f>SUMIF(101:101,E33,102:102)-SUMIF(101:101,C33,102:102)+100</f>
        <v>100</v>
      </c>
      <c r="G33" s="3170" t="s">
        <v>3482</v>
      </c>
      <c r="H33" s="374">
        <f>SUMIF(101:101,G33,102:102)-SUMIF(101:101,C33,102:102)+100</f>
        <v>100</v>
      </c>
      <c r="I33" s="3170" t="s">
        <v>3482</v>
      </c>
      <c r="J33" s="405">
        <f>SUMIF(101:101,I33,102:102)-SUMIF(101:101,C33,102:102)+100</f>
        <v>100</v>
      </c>
      <c r="K33" s="538">
        <v>5</v>
      </c>
      <c r="L33" s="2488"/>
      <c r="M33" s="2483"/>
      <c r="N33" s="2483"/>
      <c r="O33" s="2483"/>
      <c r="P33" s="3411" t="s">
        <v>1688</v>
      </c>
      <c r="Q33" s="1259" t="str">
        <f t="shared" si="11"/>
        <v>建筑类型</v>
      </c>
      <c r="R33" s="667" t="s">
        <v>14</v>
      </c>
      <c r="S33" s="668">
        <f t="shared" si="12"/>
        <v>100</v>
      </c>
      <c r="T33" s="667" t="s">
        <v>14</v>
      </c>
      <c r="U33" s="668">
        <f t="shared" si="13"/>
        <v>100</v>
      </c>
      <c r="V33" s="667" t="s">
        <v>14</v>
      </c>
      <c r="W33" s="668">
        <f t="shared" si="14"/>
        <v>100</v>
      </c>
      <c r="X33" s="1261"/>
      <c r="Y33" s="3414" t="s">
        <v>1688</v>
      </c>
      <c r="Z33" s="1260" t="str">
        <f t="shared" si="15"/>
        <v>建筑类型</v>
      </c>
      <c r="AA33" s="1260">
        <f t="shared" si="3"/>
        <v>1</v>
      </c>
      <c r="AB33" s="1260">
        <f t="shared" si="4"/>
        <v>1</v>
      </c>
      <c r="AC33" s="1807">
        <f t="shared" si="5"/>
        <v>1</v>
      </c>
    </row>
    <row r="34" spans="1:29" s="408" customFormat="1" ht="15">
      <c r="A34" s="406"/>
      <c r="B34" s="364" t="s">
        <v>1689</v>
      </c>
      <c r="C34" s="407">
        <f>'数据-汇总表'!F19</f>
        <v>390.5</v>
      </c>
      <c r="D34" s="119">
        <v>100</v>
      </c>
      <c r="E34" s="407">
        <v>234.07</v>
      </c>
      <c r="F34" s="364">
        <f>LOOKUP(E34,104:104,105:105)-LOOKUP(C34,104:104,105:105)+100</f>
        <v>100</v>
      </c>
      <c r="G34" s="407">
        <v>440.41</v>
      </c>
      <c r="H34" s="119">
        <f>LOOKUP(G34,104:104,105:105)-LOOKUP(C34,104:104,105:105)+100</f>
        <v>100</v>
      </c>
      <c r="I34" s="407">
        <v>141.07</v>
      </c>
      <c r="J34" s="119">
        <f>LOOKUP(I34,104:104,105:105)-LOOKUP(C34,104:104,105:105)+100</f>
        <v>101</v>
      </c>
      <c r="K34" s="539"/>
      <c r="L34" s="2487"/>
      <c r="M34" s="2489"/>
      <c r="N34" s="2489"/>
      <c r="O34" s="2489"/>
      <c r="P34" s="3412"/>
      <c r="Q34" s="531" t="str">
        <f t="shared" si="11"/>
        <v>项目建筑规模</v>
      </c>
      <c r="R34" s="669" t="s">
        <v>14</v>
      </c>
      <c r="S34" s="670">
        <f t="shared" si="12"/>
        <v>100</v>
      </c>
      <c r="T34" s="669" t="s">
        <v>14</v>
      </c>
      <c r="U34" s="670">
        <f t="shared" si="13"/>
        <v>100</v>
      </c>
      <c r="V34" s="669" t="s">
        <v>14</v>
      </c>
      <c r="W34" s="670">
        <f t="shared" si="14"/>
        <v>101</v>
      </c>
      <c r="X34" s="671"/>
      <c r="Y34" s="3414"/>
      <c r="Z34" s="672" t="str">
        <f t="shared" si="15"/>
        <v>项目建筑规模</v>
      </c>
      <c r="AA34" s="1260">
        <f t="shared" si="3"/>
        <v>1</v>
      </c>
      <c r="AB34" s="1260">
        <f t="shared" si="4"/>
        <v>1</v>
      </c>
      <c r="AC34" s="1807">
        <f t="shared" si="5"/>
        <v>0.99009900990099009</v>
      </c>
    </row>
    <row r="35" spans="1:29" ht="15">
      <c r="A35" s="409"/>
      <c r="B35" s="364" t="s">
        <v>1690</v>
      </c>
      <c r="C35" s="3171" t="s">
        <v>3483</v>
      </c>
      <c r="D35" s="374">
        <v>100</v>
      </c>
      <c r="E35" s="3171" t="s">
        <v>3483</v>
      </c>
      <c r="F35" s="400">
        <f>SUMIF(106:106,E35,107:107)-SUMIF(106:106,C35,107:107)+100</f>
        <v>100</v>
      </c>
      <c r="G35" s="3171" t="s">
        <v>3483</v>
      </c>
      <c r="H35" s="374">
        <f>SUMIF(106:106,G35,107:107)-SUMIF(106:106,C35,107:107)+100</f>
        <v>100</v>
      </c>
      <c r="I35" s="3171" t="s">
        <v>3483</v>
      </c>
      <c r="J35" s="374">
        <f>SUMIF(106:106,I35,107:107)-SUMIF(106:106,C35,107:107)+100</f>
        <v>100</v>
      </c>
      <c r="K35" s="538">
        <v>2</v>
      </c>
      <c r="L35" s="2488"/>
      <c r="M35" s="2483"/>
      <c r="N35" s="2483"/>
      <c r="O35" s="2483"/>
      <c r="P35" s="3412"/>
      <c r="Q35" s="1259" t="str">
        <f t="shared" si="11"/>
        <v>建筑结构</v>
      </c>
      <c r="R35" s="667" t="s">
        <v>14</v>
      </c>
      <c r="S35" s="668">
        <f t="shared" si="12"/>
        <v>100</v>
      </c>
      <c r="T35" s="667" t="s">
        <v>14</v>
      </c>
      <c r="U35" s="668">
        <f t="shared" si="13"/>
        <v>100</v>
      </c>
      <c r="V35" s="667" t="s">
        <v>14</v>
      </c>
      <c r="W35" s="668">
        <f t="shared" si="14"/>
        <v>100</v>
      </c>
      <c r="X35" s="1261"/>
      <c r="Y35" s="3414"/>
      <c r="Z35" s="1260" t="str">
        <f t="shared" si="15"/>
        <v>建筑结构</v>
      </c>
      <c r="AA35" s="1260">
        <f t="shared" si="3"/>
        <v>1</v>
      </c>
      <c r="AB35" s="1260">
        <f t="shared" si="4"/>
        <v>1</v>
      </c>
      <c r="AC35" s="1807">
        <f t="shared" si="5"/>
        <v>1</v>
      </c>
    </row>
    <row r="36" spans="1:29" ht="15">
      <c r="A36" s="409"/>
      <c r="B36" s="364" t="s">
        <v>1777</v>
      </c>
      <c r="C36" s="3171" t="s">
        <v>3484</v>
      </c>
      <c r="D36" s="374">
        <v>100</v>
      </c>
      <c r="E36" s="3171" t="s">
        <v>3484</v>
      </c>
      <c r="F36" s="400">
        <f>SUMIF(108:108,E36,109:109)-SUMIF(108:108,C36,109:109)+100</f>
        <v>100</v>
      </c>
      <c r="G36" s="3171" t="s">
        <v>3484</v>
      </c>
      <c r="H36" s="374">
        <f>SUMIF(108:108,G36,109:109)-SUMIF(108:108,C36,109:109)+100</f>
        <v>100</v>
      </c>
      <c r="I36" s="3171" t="s">
        <v>3484</v>
      </c>
      <c r="J36" s="374">
        <f>SUMIF(108:108,I36,109:109)-SUMIF(108:108,C36,109:109)+100</f>
        <v>100</v>
      </c>
      <c r="K36" s="538">
        <v>1</v>
      </c>
      <c r="L36" s="2488"/>
      <c r="M36" s="2483"/>
      <c r="N36" s="2483"/>
      <c r="O36" s="2483"/>
      <c r="P36" s="3412"/>
      <c r="Q36" s="1259" t="str">
        <f t="shared" si="11"/>
        <v>公共部分装修</v>
      </c>
      <c r="R36" s="667" t="s">
        <v>14</v>
      </c>
      <c r="S36" s="668">
        <f t="shared" si="12"/>
        <v>100</v>
      </c>
      <c r="T36" s="667" t="s">
        <v>14</v>
      </c>
      <c r="U36" s="668">
        <f t="shared" si="13"/>
        <v>100</v>
      </c>
      <c r="V36" s="667" t="s">
        <v>14</v>
      </c>
      <c r="W36" s="668">
        <f t="shared" si="14"/>
        <v>100</v>
      </c>
      <c r="X36" s="1261"/>
      <c r="Y36" s="3414"/>
      <c r="Z36" s="1260" t="str">
        <f t="shared" si="15"/>
        <v>公共部分装修</v>
      </c>
      <c r="AA36" s="1260">
        <f t="shared" si="3"/>
        <v>1</v>
      </c>
      <c r="AB36" s="1260">
        <f t="shared" si="4"/>
        <v>1</v>
      </c>
      <c r="AC36" s="1807">
        <f t="shared" si="5"/>
        <v>1</v>
      </c>
    </row>
    <row r="37" spans="1:29" ht="15">
      <c r="A37" s="409"/>
      <c r="B37" s="364" t="s">
        <v>1778</v>
      </c>
      <c r="C37" s="411">
        <f>'数据-取费表'!N22</f>
        <v>0.81</v>
      </c>
      <c r="D37" s="374">
        <v>100</v>
      </c>
      <c r="E37" s="411">
        <v>0.75</v>
      </c>
      <c r="F37" s="400">
        <f>LOOKUP(E37,111:111,112:112)-LOOKUP(C37,111:111,112:112)+100</f>
        <v>98</v>
      </c>
      <c r="G37" s="411">
        <v>0.8</v>
      </c>
      <c r="H37" s="400">
        <f>LOOKUP(G37,111:111,112:112)-LOOKUP(C37,111:111,112:112)+100</f>
        <v>100</v>
      </c>
      <c r="I37" s="411">
        <v>0.75</v>
      </c>
      <c r="J37" s="374">
        <f>LOOKUP(I37,111:111,112:112)-LOOKUP(C37,111:111,112:112)+100</f>
        <v>98</v>
      </c>
      <c r="K37" s="538">
        <v>2</v>
      </c>
      <c r="L37" s="2488"/>
      <c r="M37" s="2483"/>
      <c r="N37" s="2483"/>
      <c r="O37" s="2483"/>
      <c r="P37" s="3412"/>
      <c r="Q37" s="1259" t="str">
        <f t="shared" si="11"/>
        <v>成新度</v>
      </c>
      <c r="R37" s="667" t="s">
        <v>14</v>
      </c>
      <c r="S37" s="668">
        <f t="shared" si="12"/>
        <v>98</v>
      </c>
      <c r="T37" s="667" t="s">
        <v>14</v>
      </c>
      <c r="U37" s="668">
        <f t="shared" si="13"/>
        <v>100</v>
      </c>
      <c r="V37" s="667" t="s">
        <v>14</v>
      </c>
      <c r="W37" s="668">
        <f t="shared" si="14"/>
        <v>98</v>
      </c>
      <c r="X37" s="1261"/>
      <c r="Y37" s="3414"/>
      <c r="Z37" s="1260" t="str">
        <f t="shared" si="15"/>
        <v>成新度</v>
      </c>
      <c r="AA37" s="1260">
        <f t="shared" si="3"/>
        <v>1.0204081632653061</v>
      </c>
      <c r="AB37" s="1260">
        <f t="shared" si="4"/>
        <v>1</v>
      </c>
      <c r="AC37" s="1807">
        <f t="shared" si="5"/>
        <v>1.0204081632653061</v>
      </c>
    </row>
    <row r="38" spans="1:29" s="102" customFormat="1" ht="15" hidden="1">
      <c r="A38" s="410"/>
      <c r="B38" s="364" t="s">
        <v>1810</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799">
        <f t="shared" si="5"/>
        <v>1</v>
      </c>
    </row>
    <row r="39" spans="1:29" ht="15">
      <c r="A39" s="409"/>
      <c r="B39" s="364" t="s">
        <v>1811</v>
      </c>
      <c r="C39" s="3171" t="s">
        <v>3485</v>
      </c>
      <c r="D39" s="374">
        <v>100</v>
      </c>
      <c r="E39" s="3171" t="s">
        <v>3485</v>
      </c>
      <c r="F39" s="400">
        <f>SUMIF(115:115,E39,116:116)-SUMIF(115:115,C39,116:116)+100</f>
        <v>100</v>
      </c>
      <c r="G39" s="3171" t="s">
        <v>3485</v>
      </c>
      <c r="H39" s="374">
        <f>SUMIF(115:115,G39,116:116)-SUMIF(115:115,C39,116:116)+100</f>
        <v>100</v>
      </c>
      <c r="I39" s="3171" t="s">
        <v>3485</v>
      </c>
      <c r="J39" s="374">
        <f>SUMIF(115:115,I39,116:116)-SUMIF(115:115,C39,116:116)+100</f>
        <v>100</v>
      </c>
      <c r="K39" s="538">
        <v>2</v>
      </c>
      <c r="L39" s="2488"/>
      <c r="M39" s="2483"/>
      <c r="N39" s="2483"/>
      <c r="O39" s="2483"/>
      <c r="P39" s="3412" t="s">
        <v>1688</v>
      </c>
      <c r="Q39" s="1259" t="str">
        <f t="shared" si="11"/>
        <v>物业管理</v>
      </c>
      <c r="R39" s="667" t="s">
        <v>14</v>
      </c>
      <c r="S39" s="668">
        <f t="shared" si="12"/>
        <v>100</v>
      </c>
      <c r="T39" s="667" t="s">
        <v>14</v>
      </c>
      <c r="U39" s="668">
        <f t="shared" si="13"/>
        <v>100</v>
      </c>
      <c r="V39" s="667" t="s">
        <v>14</v>
      </c>
      <c r="W39" s="668">
        <f t="shared" si="14"/>
        <v>100</v>
      </c>
      <c r="X39" s="1261"/>
      <c r="Y39" s="3414" t="s">
        <v>1688</v>
      </c>
      <c r="Z39" s="1260" t="str">
        <f t="shared" si="15"/>
        <v>物业管理</v>
      </c>
      <c r="AA39" s="1260">
        <f t="shared" si="3"/>
        <v>1</v>
      </c>
      <c r="AB39" s="1260">
        <f t="shared" si="4"/>
        <v>1</v>
      </c>
      <c r="AC39" s="1807">
        <f t="shared" si="5"/>
        <v>1</v>
      </c>
    </row>
    <row r="40" spans="1:29" ht="15" hidden="1">
      <c r="A40" s="409"/>
      <c r="B40" s="364" t="s">
        <v>1779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12"/>
      <c r="Q40" s="1259" t="str">
        <f t="shared" si="11"/>
        <v>市政基础设施</v>
      </c>
      <c r="R40" s="667" t="s">
        <v>14</v>
      </c>
      <c r="S40" s="668">
        <f t="shared" si="12"/>
        <v>100</v>
      </c>
      <c r="T40" s="667" t="s">
        <v>14</v>
      </c>
      <c r="U40" s="668">
        <f t="shared" si="13"/>
        <v>100</v>
      </c>
      <c r="V40" s="667" t="s">
        <v>14</v>
      </c>
      <c r="W40" s="668">
        <f t="shared" si="14"/>
        <v>100</v>
      </c>
      <c r="X40" s="1261"/>
      <c r="Y40" s="3414"/>
      <c r="Z40" s="1260" t="str">
        <f t="shared" si="15"/>
        <v>市政基础设施</v>
      </c>
      <c r="AA40" s="1260">
        <f t="shared" si="3"/>
        <v>1</v>
      </c>
      <c r="AB40" s="1260">
        <f t="shared" si="4"/>
        <v>1</v>
      </c>
      <c r="AC40" s="1807">
        <f t="shared" si="5"/>
        <v>1</v>
      </c>
    </row>
    <row r="41" spans="1:29" ht="15">
      <c r="A41" s="409"/>
      <c r="B41" s="364" t="s">
        <v>1781</v>
      </c>
      <c r="C41" s="3169" t="s">
        <v>3486</v>
      </c>
      <c r="D41" s="374">
        <v>100</v>
      </c>
      <c r="E41" s="3169" t="s">
        <v>3486</v>
      </c>
      <c r="F41" s="400">
        <f>SUMIF(119:119,E41,120:120)-SUMIF(119:119,C41,120:120)+100</f>
        <v>100</v>
      </c>
      <c r="G41" s="3169" t="s">
        <v>3486</v>
      </c>
      <c r="H41" s="374">
        <f>SUMIF(119:119,G41,120:120)-SUMIF(119:119,C41,120:120)+100</f>
        <v>100</v>
      </c>
      <c r="I41" s="3169" t="s">
        <v>3486</v>
      </c>
      <c r="J41" s="374">
        <f>SUMIF(119:119,I41,120:120)-SUMIF(119:119,C41,120:120)+100</f>
        <v>100</v>
      </c>
      <c r="K41" s="538">
        <v>5</v>
      </c>
      <c r="L41" s="2488"/>
      <c r="M41" s="2483"/>
      <c r="N41" s="2483"/>
      <c r="O41" s="2483"/>
      <c r="P41" s="3412"/>
      <c r="Q41" s="1259" t="str">
        <f t="shared" si="11"/>
        <v>层高</v>
      </c>
      <c r="R41" s="667" t="s">
        <v>14</v>
      </c>
      <c r="S41" s="668">
        <f t="shared" si="12"/>
        <v>100</v>
      </c>
      <c r="T41" s="667" t="s">
        <v>14</v>
      </c>
      <c r="U41" s="668">
        <f t="shared" si="13"/>
        <v>100</v>
      </c>
      <c r="V41" s="667" t="s">
        <v>14</v>
      </c>
      <c r="W41" s="668">
        <f t="shared" si="14"/>
        <v>100</v>
      </c>
      <c r="X41" s="1261"/>
      <c r="Y41" s="3414"/>
      <c r="Z41" s="1260" t="str">
        <f t="shared" si="15"/>
        <v>层高</v>
      </c>
      <c r="AA41" s="1260">
        <f t="shared" si="3"/>
        <v>1</v>
      </c>
      <c r="AB41" s="1260">
        <f t="shared" si="4"/>
        <v>1</v>
      </c>
      <c r="AC41" s="1807">
        <f t="shared" si="5"/>
        <v>1</v>
      </c>
    </row>
    <row r="42" spans="1:29" s="408" customFormat="1" ht="15" hidden="1">
      <c r="A42" s="406"/>
      <c r="B42" s="400" t="s">
        <v>1812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0">
        <f t="shared" si="3"/>
        <v>1</v>
      </c>
      <c r="AB42" s="1260">
        <f t="shared" si="4"/>
        <v>1</v>
      </c>
      <c r="AC42" s="1807">
        <f t="shared" si="5"/>
        <v>1</v>
      </c>
    </row>
    <row r="43" spans="1:29" ht="15">
      <c r="A43" s="409"/>
      <c r="B43" s="364" t="s">
        <v>1784</v>
      </c>
      <c r="C43" s="3171" t="s">
        <v>3487</v>
      </c>
      <c r="D43" s="374">
        <v>100</v>
      </c>
      <c r="E43" s="3171" t="s">
        <v>3487</v>
      </c>
      <c r="F43" s="400">
        <f>SUMIF(123:123,E43,124:124)-SUMIF(123:123,C43,124:124)+100</f>
        <v>100</v>
      </c>
      <c r="G43" s="3171" t="s">
        <v>3487</v>
      </c>
      <c r="H43" s="374">
        <f>SUMIF(123:123,G43,124:124)-SUMIF(123:123,C43,124:124)+100</f>
        <v>100</v>
      </c>
      <c r="I43" s="3171" t="s">
        <v>3487</v>
      </c>
      <c r="J43" s="374">
        <f>SUMIF(123:123,I43,124:124)-SUMIF(123:123,C43,124:124)+100</f>
        <v>100</v>
      </c>
      <c r="K43" s="538">
        <v>2</v>
      </c>
      <c r="L43" s="2488"/>
      <c r="M43" s="2483"/>
      <c r="N43" s="2483"/>
      <c r="O43" s="2483"/>
      <c r="P43" s="3412"/>
      <c r="Q43" s="1259" t="str">
        <f t="shared" si="11"/>
        <v>内部装修</v>
      </c>
      <c r="R43" s="667" t="s">
        <v>14</v>
      </c>
      <c r="S43" s="668">
        <f t="shared" si="12"/>
        <v>100</v>
      </c>
      <c r="T43" s="667" t="s">
        <v>14</v>
      </c>
      <c r="U43" s="668">
        <f t="shared" si="13"/>
        <v>100</v>
      </c>
      <c r="V43" s="667" t="s">
        <v>14</v>
      </c>
      <c r="W43" s="668">
        <f t="shared" si="14"/>
        <v>100</v>
      </c>
      <c r="X43" s="1261"/>
      <c r="Y43" s="3414"/>
      <c r="Z43" s="1260" t="str">
        <f t="shared" si="15"/>
        <v>内部装修</v>
      </c>
      <c r="AA43" s="1260">
        <f t="shared" si="3"/>
        <v>1</v>
      </c>
      <c r="AB43" s="1260">
        <f t="shared" si="4"/>
        <v>1</v>
      </c>
      <c r="AC43" s="1807">
        <f t="shared" si="5"/>
        <v>1</v>
      </c>
    </row>
    <row r="44" spans="1:29" ht="15.75" thickBot="1">
      <c r="A44" s="409"/>
      <c r="B44" s="364" t="s">
        <v>1699</v>
      </c>
      <c r="C44" s="3171" t="s">
        <v>3488</v>
      </c>
      <c r="D44" s="374">
        <v>100</v>
      </c>
      <c r="E44" s="3171" t="s">
        <v>3488</v>
      </c>
      <c r="F44" s="400">
        <f>SUMIF(125:125,E44,126:126)-SUMIF(125:125,C44,126:126)+100</f>
        <v>100</v>
      </c>
      <c r="G44" s="3171" t="s">
        <v>3488</v>
      </c>
      <c r="H44" s="374">
        <f>SUMIF(125:125,G44,126:126)-SUMIF(125:125,C44,126:126)+100</f>
        <v>100</v>
      </c>
      <c r="I44" s="3171" t="s">
        <v>3488</v>
      </c>
      <c r="J44" s="374">
        <f>SUMIF(125:125,I44,126:126)-SUMIF(125:125,C44,126:126)+100</f>
        <v>100</v>
      </c>
      <c r="K44" s="538">
        <v>2</v>
      </c>
      <c r="L44" s="2488"/>
      <c r="M44" s="2483"/>
      <c r="N44" s="2483"/>
      <c r="O44" s="2483"/>
      <c r="P44" s="3412"/>
      <c r="Q44" s="1259" t="str">
        <f t="shared" si="11"/>
        <v>内部装修维护情况</v>
      </c>
      <c r="R44" s="667" t="s">
        <v>14</v>
      </c>
      <c r="S44" s="668">
        <f t="shared" si="12"/>
        <v>100</v>
      </c>
      <c r="T44" s="667" t="s">
        <v>14</v>
      </c>
      <c r="U44" s="668">
        <f t="shared" si="13"/>
        <v>100</v>
      </c>
      <c r="V44" s="667" t="s">
        <v>14</v>
      </c>
      <c r="W44" s="668">
        <f t="shared" si="14"/>
        <v>100</v>
      </c>
      <c r="X44" s="1261"/>
      <c r="Y44" s="3414"/>
      <c r="Z44" s="1260" t="str">
        <f t="shared" si="15"/>
        <v>内部装修维护情况</v>
      </c>
      <c r="AA44" s="1260">
        <f t="shared" si="3"/>
        <v>1</v>
      </c>
      <c r="AB44" s="1260">
        <f t="shared" si="4"/>
        <v>1</v>
      </c>
      <c r="AC44" s="1807">
        <f t="shared" si="5"/>
        <v>1</v>
      </c>
    </row>
    <row r="45" spans="1:29" s="102" customFormat="1" ht="15" hidden="1">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799">
        <f t="shared" si="5"/>
        <v>1</v>
      </c>
    </row>
    <row r="46" spans="1:29" ht="15" hidden="1">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12"/>
      <c r="Q46" s="1259">
        <f t="shared" si="11"/>
        <v>111</v>
      </c>
      <c r="R46" s="667" t="s">
        <v>14</v>
      </c>
      <c r="S46" s="668">
        <f t="shared" si="12"/>
        <v>100</v>
      </c>
      <c r="T46" s="667" t="s">
        <v>14</v>
      </c>
      <c r="U46" s="668">
        <f t="shared" si="13"/>
        <v>100</v>
      </c>
      <c r="V46" s="667" t="s">
        <v>14</v>
      </c>
      <c r="W46" s="668">
        <f t="shared" si="14"/>
        <v>100</v>
      </c>
      <c r="X46" s="1261"/>
      <c r="Y46" s="3414"/>
      <c r="Z46" s="1260">
        <f t="shared" si="15"/>
        <v>111</v>
      </c>
      <c r="AA46" s="1260">
        <f t="shared" si="3"/>
        <v>1</v>
      </c>
      <c r="AB46" s="1260">
        <f t="shared" si="4"/>
        <v>1</v>
      </c>
      <c r="AC46" s="1807">
        <f t="shared" si="5"/>
        <v>1</v>
      </c>
    </row>
    <row r="47" spans="1:29" ht="15.75" hidden="1"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13"/>
      <c r="Q47" s="1259">
        <f t="shared" si="11"/>
        <v>111</v>
      </c>
      <c r="R47" s="667" t="s">
        <v>14</v>
      </c>
      <c r="S47" s="668">
        <f t="shared" si="12"/>
        <v>100</v>
      </c>
      <c r="T47" s="667" t="s">
        <v>14</v>
      </c>
      <c r="U47" s="668">
        <f t="shared" si="13"/>
        <v>100</v>
      </c>
      <c r="V47" s="667" t="s">
        <v>14</v>
      </c>
      <c r="W47" s="668">
        <f t="shared" si="14"/>
        <v>100</v>
      </c>
      <c r="X47" s="1261"/>
      <c r="Y47" s="3415"/>
      <c r="Z47" s="1260">
        <f t="shared" si="15"/>
        <v>111</v>
      </c>
      <c r="AA47" s="1260">
        <f t="shared" si="3"/>
        <v>1</v>
      </c>
      <c r="AB47" s="1260">
        <f t="shared" si="4"/>
        <v>1</v>
      </c>
      <c r="AC47" s="1807">
        <f t="shared" si="5"/>
        <v>1</v>
      </c>
    </row>
    <row r="48" spans="1:29" ht="15">
      <c r="A48" s="416" t="s">
        <v>1700</v>
      </c>
      <c r="B48" s="417"/>
      <c r="C48" s="1077" t="s">
        <v>0</v>
      </c>
      <c r="D48" s="418"/>
      <c r="E48" s="419">
        <v>40159</v>
      </c>
      <c r="F48" s="420"/>
      <c r="G48" s="421">
        <v>45413</v>
      </c>
      <c r="H48" s="422"/>
      <c r="I48" s="419">
        <v>41469</v>
      </c>
      <c r="J48" s="422"/>
      <c r="K48" s="674"/>
      <c r="L48" s="2490"/>
      <c r="M48" s="2483"/>
      <c r="N48" s="2483"/>
      <c r="O48" s="2483"/>
      <c r="P48" s="3387" t="str">
        <f>A48</f>
        <v>成交单价（元/平方米）</v>
      </c>
      <c r="Q48" s="3416"/>
      <c r="R48" s="3404">
        <f>E48</f>
        <v>40159</v>
      </c>
      <c r="S48" s="3404"/>
      <c r="T48" s="3404">
        <f>G48</f>
        <v>45413</v>
      </c>
      <c r="U48" s="3404"/>
      <c r="V48" s="3404">
        <f>I48</f>
        <v>41469</v>
      </c>
      <c r="W48" s="3404"/>
      <c r="X48" s="385"/>
      <c r="Y48" s="673"/>
      <c r="Z48" s="385"/>
      <c r="AA48" s="385"/>
      <c r="AB48" s="385"/>
      <c r="AC48" s="555"/>
    </row>
    <row r="49" spans="1:29" ht="15.75" thickBot="1">
      <c r="A49" s="423" t="s">
        <v>1785</v>
      </c>
      <c r="B49" s="424"/>
      <c r="C49" s="1078">
        <f>R50</f>
        <v>39291</v>
      </c>
      <c r="D49" s="2136" t="s">
        <v>2129</v>
      </c>
      <c r="E49" s="1079">
        <f>R49</f>
        <v>37533</v>
      </c>
      <c r="F49" s="2137"/>
      <c r="G49" s="1078">
        <f>T49</f>
        <v>40779</v>
      </c>
      <c r="H49" s="2137"/>
      <c r="I49" s="1079">
        <f>V49</f>
        <v>39560</v>
      </c>
      <c r="J49" s="2137"/>
      <c r="K49" s="2139">
        <f>F49+H49+J49</f>
        <v>0</v>
      </c>
      <c r="L49" s="2490"/>
      <c r="M49" s="2483"/>
      <c r="N49" s="2483"/>
      <c r="O49" s="2483"/>
      <c r="P49" s="3387" t="str">
        <f>A49</f>
        <v>比较价值（元/平方米）</v>
      </c>
      <c r="Q49" s="3416"/>
      <c r="R49" s="3404">
        <f>IF(F1="售价",ROUND(PRODUCT(R48,AA7:AA47),0),ROUND(PRODUCT(R48,AA7:AA47),1))</f>
        <v>37533</v>
      </c>
      <c r="S49" s="3404"/>
      <c r="T49" s="3404">
        <f>IF(F1="售价",ROUND(PRODUCT(T48,AB7:AB47),0),ROUND(PRODUCT(T48,AB7:AB47),1))</f>
        <v>40779</v>
      </c>
      <c r="U49" s="3404"/>
      <c r="V49" s="3404">
        <f>IF(F1="售价",ROUND(PRODUCT(V48,AC7:AC47),0),ROUND(PRODUCT(V48,AC7:AC47),1))</f>
        <v>39560</v>
      </c>
      <c r="W49" s="3404"/>
      <c r="X49" s="385"/>
      <c r="Y49" s="385"/>
      <c r="Z49" s="385"/>
      <c r="AA49" s="385"/>
      <c r="AB49" s="385"/>
      <c r="AC49" s="555"/>
    </row>
    <row r="50" spans="1:29" ht="15.75" thickBot="1">
      <c r="A50" s="427" t="s">
        <v>1786</v>
      </c>
      <c r="B50" s="428"/>
      <c r="C50" s="351">
        <f>R50</f>
        <v>39291</v>
      </c>
      <c r="D50" s="351"/>
      <c r="E50" s="351"/>
      <c r="F50" s="351"/>
      <c r="G50" s="351"/>
      <c r="H50" s="351"/>
      <c r="I50" s="351"/>
      <c r="J50" s="429"/>
      <c r="K50" s="675"/>
      <c r="L50" s="2490"/>
      <c r="M50" s="2483"/>
      <c r="N50" s="2483"/>
      <c r="O50" s="2483"/>
      <c r="P50" s="3417" t="str">
        <f>A50</f>
        <v>估价对象XX用房的比较价值（楼面单价，元/平方米）</v>
      </c>
      <c r="Q50" s="3418"/>
      <c r="R50" s="3419">
        <f>IF(F1="售价",ROUND(IF(D49="简单平均",AVERAGE(R49:V49),R49*F49+T49*H49+V49*J49),0),ROUND(IF(D49="简单平均",AVERAGE(R49:V49),R49*F49+T49*H49+V49*J49),1))</f>
        <v>39291</v>
      </c>
      <c r="S50" s="3419"/>
      <c r="T50" s="3419"/>
      <c r="U50" s="3419"/>
      <c r="V50" s="3419"/>
      <c r="W50" s="3419"/>
      <c r="X50" s="1793"/>
      <c r="Y50" s="1793"/>
      <c r="Z50" s="1793"/>
      <c r="AA50" s="1793"/>
      <c r="AB50" s="1793"/>
      <c r="AC50" s="1794"/>
    </row>
    <row r="51" spans="1:29">
      <c r="A51" s="2483"/>
      <c r="B51" s="2483"/>
      <c r="C51" s="2483"/>
      <c r="D51" s="2483"/>
      <c r="E51" s="2483">
        <v>2001</v>
      </c>
      <c r="F51" s="2483"/>
      <c r="G51" s="2483">
        <v>2007</v>
      </c>
      <c r="H51" s="2483"/>
      <c r="I51" s="2483">
        <v>2003</v>
      </c>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1787</v>
      </c>
      <c r="D53" s="433"/>
      <c r="E53" s="434">
        <f>IF(E48&lt;E49,E49/E48-1,E48/E49-1)</f>
        <v>6.9965097380971342E-2</v>
      </c>
      <c r="F53" s="435" t="str">
        <f>IF(OR(E53&gt;=0.3,E53&lt;=-0.3),"超过30%","")</f>
        <v/>
      </c>
      <c r="G53" s="434">
        <f>IF(G48&lt;G49,G49/G48-1,G48/G49-1)</f>
        <v>0.11363692096422184</v>
      </c>
      <c r="H53" s="435" t="str">
        <f>IF(OR(G53&gt;=0.3,G53&lt;=-0.3),"超过30%","")</f>
        <v/>
      </c>
      <c r="I53" s="434">
        <f>IF(I48&lt;I49,I49/I48-1,I48/I49-1)</f>
        <v>4.8255813953488325E-2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1788</v>
      </c>
      <c r="D54" s="436"/>
      <c r="E54" s="434">
        <f>IF(E49&lt;G49,G49/E49-1,E49/G49-1)</f>
        <v>8.6483894173127629E-2</v>
      </c>
      <c r="F54" s="435" t="str">
        <f>IF(OR(E54&gt;=0.2,E54&lt;=-0.2),"超过20%","")</f>
        <v/>
      </c>
      <c r="G54" s="434">
        <f>IF(G49&lt;I49,I49/G49-1,G49/I49-1)</f>
        <v>3.0813953488372015E-2</v>
      </c>
      <c r="H54" s="435" t="str">
        <f>IF(OR(G54&gt;=0.2,G54&lt;=-0.2),"超过20%","")</f>
        <v/>
      </c>
      <c r="I54" s="434">
        <f>IF(I49&lt;E49,E49/I49-1,I49/E49-1)</f>
        <v>5.4005808222097995E-2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1789</v>
      </c>
      <c r="D55" s="436"/>
      <c r="E55" s="434">
        <f>IF(E48&lt;G48,G48/E48-1,E48/G48-1)</f>
        <v>0.13082995094499372</v>
      </c>
      <c r="F55" s="435" t="str">
        <f>IF(OR(E55&gt;=0.3,E55&lt;=-0.3),"超过30%","")</f>
        <v/>
      </c>
      <c r="G55" s="434">
        <f>IF(G48&lt;I48,I48/G48-1,G48/I48-1)</f>
        <v>9.5107188502254747E-2</v>
      </c>
      <c r="H55" s="435" t="str">
        <f>IF(OR(G55&gt;=0.3,G55&lt;=-0.3),"超过30%","")</f>
        <v/>
      </c>
      <c r="I55" s="434">
        <f>IF(I48&lt;E48,E48/I48-1,I48/E48-1)</f>
        <v>3.2620334171667542E-2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1790</v>
      </c>
      <c r="B58" s="385"/>
      <c r="C58" s="659"/>
      <c r="D58" s="659"/>
      <c r="E58" s="659"/>
      <c r="F58" s="660"/>
      <c r="G58" s="660"/>
      <c r="H58" s="659"/>
      <c r="I58" s="659"/>
      <c r="J58" s="659"/>
      <c r="K58" s="661"/>
      <c r="L58" s="885"/>
      <c r="M58" s="883"/>
      <c r="N58" s="2533"/>
      <c r="O58" s="2533"/>
      <c r="P58" s="2522"/>
      <c r="Q58" s="2504"/>
      <c r="R58" s="2483"/>
      <c r="S58" s="2483"/>
      <c r="T58" s="2483"/>
      <c r="U58" s="2483"/>
      <c r="V58" s="2483"/>
      <c r="W58" s="2483"/>
      <c r="X58" s="2483"/>
      <c r="Y58" s="2483"/>
      <c r="Z58" s="2483"/>
      <c r="AA58" s="2483"/>
      <c r="AB58" s="2483"/>
      <c r="AC58" s="2483"/>
    </row>
    <row r="59" spans="1:29" s="442" customFormat="1" ht="15">
      <c r="A59" s="440" t="s">
        <v>1671</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3"/>
      <c r="Q59" s="2506"/>
      <c r="R59" s="2506"/>
      <c r="S59" s="2506"/>
      <c r="T59" s="2506"/>
      <c r="U59" s="2506"/>
      <c r="V59" s="2506"/>
      <c r="W59" s="2506"/>
      <c r="X59" s="2506"/>
      <c r="Y59" s="2506"/>
      <c r="Z59" s="2506"/>
      <c r="AA59" s="2506"/>
      <c r="AB59" s="2506"/>
      <c r="AC59" s="2506"/>
    </row>
    <row r="60" spans="1:29" s="102" customFormat="1" ht="15">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1708</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1673</v>
      </c>
      <c r="B62" s="444"/>
      <c r="C62" s="456" t="s">
        <v>1768</v>
      </c>
      <c r="D62" s="3519" t="s">
        <v>3525</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103</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1711</v>
      </c>
      <c r="B64" s="460" t="s">
        <v>1677</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1680</v>
      </c>
      <c r="C66" s="513" t="s">
        <v>3490</v>
      </c>
      <c r="D66" s="513" t="s">
        <v>3489</v>
      </c>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v>100</v>
      </c>
      <c r="D67" s="467">
        <v>98</v>
      </c>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1681</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1682</v>
      </c>
      <c r="B77" s="460" t="s">
        <v>1813</v>
      </c>
      <c r="C77" s="504" t="s">
        <v>1713</v>
      </c>
      <c r="D77" s="504" t="s">
        <v>1714</v>
      </c>
      <c r="E77" s="504" t="s">
        <v>1715</v>
      </c>
      <c r="F77" s="504" t="s">
        <v>1716</v>
      </c>
      <c r="G77" s="504" t="s">
        <v>1717</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1718</v>
      </c>
      <c r="C79" s="509" t="s">
        <v>1713</v>
      </c>
      <c r="D79" s="509" t="s">
        <v>1714</v>
      </c>
      <c r="E79" s="509" t="s">
        <v>1715</v>
      </c>
      <c r="F79" s="509" t="s">
        <v>1716</v>
      </c>
      <c r="G79" s="509" t="s">
        <v>1717</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1719</v>
      </c>
      <c r="C81" s="509" t="s">
        <v>1713</v>
      </c>
      <c r="D81" s="509" t="s">
        <v>1714</v>
      </c>
      <c r="E81" s="509" t="s">
        <v>1715</v>
      </c>
      <c r="F81" s="509" t="s">
        <v>1716</v>
      </c>
      <c r="G81" s="509" t="s">
        <v>1717</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1805</v>
      </c>
      <c r="C83" s="581" t="s">
        <v>1791</v>
      </c>
      <c r="D83" s="581" t="s">
        <v>1792</v>
      </c>
      <c r="E83" s="581" t="s">
        <v>1793</v>
      </c>
      <c r="F83" s="581" t="s">
        <v>1794</v>
      </c>
      <c r="G83" s="581" t="s">
        <v>1795</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98</v>
      </c>
      <c r="E84" s="475">
        <f>D84-$K21</f>
        <v>96</v>
      </c>
      <c r="F84" s="475">
        <f>E84-$K21</f>
        <v>94</v>
      </c>
      <c r="G84" s="475">
        <f>F84-$K21</f>
        <v>92</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1814</v>
      </c>
      <c r="C85" s="509" t="s">
        <v>1713</v>
      </c>
      <c r="D85" s="509" t="s">
        <v>1714</v>
      </c>
      <c r="E85" s="509" t="s">
        <v>1715</v>
      </c>
      <c r="F85" s="509" t="s">
        <v>1716</v>
      </c>
      <c r="G85" s="509" t="s">
        <v>1717</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1815</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72" t="s">
        <v>3481</v>
      </c>
      <c r="D89" s="3172" t="s">
        <v>3491</v>
      </c>
      <c r="E89" s="3172" t="s">
        <v>3480</v>
      </c>
      <c r="F89" s="1775"/>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1686</v>
      </c>
      <c r="B101" s="460" t="s">
        <v>1728</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1729</v>
      </c>
      <c r="C103" s="509" t="str">
        <f>C104&amp;"(含)"&amp;"-"&amp;D104</f>
        <v>0(含)-200</v>
      </c>
      <c r="D103" s="509" t="str">
        <f t="shared" ref="D103:L103" si="23">D104&amp;"(含)"&amp;"-"&amp;E104</f>
        <v>200(含)-500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v>
      </c>
      <c r="E104" s="6">
        <v>500</v>
      </c>
      <c r="F104" s="6">
        <v>1000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v>99</v>
      </c>
      <c r="E105" s="467">
        <v>98</v>
      </c>
      <c r="F105" s="467">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1730</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1732</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1182</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1816</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1733</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1734</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1817</v>
      </c>
      <c r="C119" s="513"/>
      <c r="D119" s="513"/>
      <c r="E119" s="513"/>
      <c r="F119" s="513"/>
      <c r="G119" s="513"/>
      <c r="H119" s="513"/>
      <c r="I119" s="513"/>
      <c r="J119" s="513"/>
      <c r="K119" s="513"/>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1800</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1736</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1737</v>
      </c>
      <c r="C125" s="509" t="s">
        <v>1713</v>
      </c>
      <c r="D125" s="509" t="s">
        <v>1714</v>
      </c>
      <c r="E125" s="509" t="s">
        <v>1715</v>
      </c>
      <c r="F125" s="509" t="s">
        <v>1716</v>
      </c>
      <c r="G125" s="509" t="s">
        <v>1717</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6.75" style="250" bestFit="1"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3427</v>
      </c>
      <c r="D1" s="1267" t="s">
        <v>43</v>
      </c>
      <c r="E1" s="1268" t="s">
        <v>670</v>
      </c>
      <c r="F1" s="995">
        <f ca="1">J53</f>
        <v>28.89</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870</v>
      </c>
      <c r="B2" s="3119">
        <f ca="1">ROUND(D2/10000,4)</f>
        <v>1265.9275</v>
      </c>
      <c r="C2" s="1285" t="s">
        <v>871</v>
      </c>
      <c r="D2" s="1371">
        <f ca="1">C40+J29+L46</f>
        <v>12659275</v>
      </c>
      <c r="E2" s="1291" t="s">
        <v>872</v>
      </c>
      <c r="F2" s="1292"/>
      <c r="G2" s="2474"/>
      <c r="H2" s="2464"/>
      <c r="I2" s="2464"/>
      <c r="J2" s="2464"/>
      <c r="K2" s="2465"/>
      <c r="L2" s="2464"/>
      <c r="M2" s="2464"/>
    </row>
    <row r="3" spans="1:37" ht="18" customHeight="1" thickBot="1">
      <c r="A3" s="1293" t="s">
        <v>873</v>
      </c>
      <c r="B3" s="1294">
        <f ca="1">IF(ISERROR(D2/F43),0,ROUND(D2/F43,0))</f>
        <v>32418</v>
      </c>
      <c r="C3" s="1285" t="s">
        <v>874</v>
      </c>
      <c r="D3" s="1285"/>
      <c r="E3" s="1291"/>
      <c r="F3" s="1292"/>
      <c r="G3" s="2474"/>
      <c r="H3" s="649" t="s">
        <v>868</v>
      </c>
      <c r="I3" s="1286"/>
      <c r="J3" s="1286"/>
      <c r="K3" s="1287"/>
      <c r="L3" s="1286"/>
      <c r="M3" s="1286"/>
    </row>
    <row r="4" spans="1:37" ht="18" customHeight="1">
      <c r="A4" s="287" t="s">
        <v>875</v>
      </c>
      <c r="B4" s="288" t="s">
        <v>876</v>
      </c>
      <c r="C4" s="288" t="s">
        <v>877</v>
      </c>
      <c r="D4" s="288" t="s">
        <v>878</v>
      </c>
      <c r="E4" s="289" t="s">
        <v>879</v>
      </c>
      <c r="F4" s="290"/>
      <c r="G4" s="1288"/>
      <c r="H4" s="287" t="s">
        <v>875</v>
      </c>
      <c r="I4" s="288" t="s">
        <v>876</v>
      </c>
      <c r="J4" s="288" t="s">
        <v>877</v>
      </c>
      <c r="K4" s="288" t="s">
        <v>878</v>
      </c>
      <c r="L4" s="289" t="s">
        <v>879</v>
      </c>
      <c r="M4" s="290"/>
    </row>
    <row r="5" spans="1:37" ht="18" customHeight="1">
      <c r="A5" s="291">
        <v>1</v>
      </c>
      <c r="B5" s="292" t="s">
        <v>880</v>
      </c>
      <c r="C5" s="1003">
        <f ca="1">C6+C10+C12</f>
        <v>770638</v>
      </c>
      <c r="D5" s="1269" t="s">
        <v>881</v>
      </c>
      <c r="E5" s="1004"/>
      <c r="F5" s="1005"/>
      <c r="G5" s="1288"/>
      <c r="H5" s="291">
        <v>1</v>
      </c>
      <c r="I5" s="292" t="s">
        <v>880</v>
      </c>
      <c r="J5" s="1003">
        <f ca="1">J6+J10+J12</f>
        <v>0</v>
      </c>
      <c r="K5" s="1269" t="s">
        <v>881</v>
      </c>
      <c r="L5" s="1004"/>
      <c r="M5" s="1005"/>
    </row>
    <row r="6" spans="1:37" ht="18" customHeight="1">
      <c r="A6" s="1002" t="s">
        <v>398</v>
      </c>
      <c r="B6" s="3272" t="s">
        <v>686</v>
      </c>
      <c r="C6" s="1007">
        <f ca="1">ROUND(F6*F8*F7*(1-F9),0)</f>
        <v>769676</v>
      </c>
      <c r="D6" s="147" t="s">
        <v>2097</v>
      </c>
      <c r="E6" s="294" t="s">
        <v>688</v>
      </c>
      <c r="F6" s="295">
        <f ca="1">INDIRECT("'数据-取费表'!u"&amp;$G$1)</f>
        <v>6</v>
      </c>
      <c r="G6" s="1288"/>
      <c r="H6" s="1002" t="s">
        <v>398</v>
      </c>
      <c r="I6" s="3272" t="s">
        <v>686</v>
      </c>
      <c r="J6" s="293">
        <f ca="1">ROUND(M6*M8*M7*(1-M9),0)</f>
        <v>0</v>
      </c>
      <c r="K6" s="1280" t="s">
        <v>2098</v>
      </c>
      <c r="L6" s="294" t="s">
        <v>688</v>
      </c>
      <c r="M6" s="295">
        <f ca="1">INDIRECT("'数据-取费表'!z"&amp;$G$1)</f>
        <v>0</v>
      </c>
    </row>
    <row r="7" spans="1:37" ht="18" customHeight="1">
      <c r="A7" s="1006"/>
      <c r="B7" s="3273"/>
      <c r="C7" s="1008"/>
      <c r="D7" s="299"/>
      <c r="E7" s="1009" t="s">
        <v>689</v>
      </c>
      <c r="F7" s="295">
        <f ca="1">IF(INDIRECT("'数据-取费表'!ah"&amp;$G$1)="",INDIRECT("'数据-取费表'!k"&amp;$G$1),INDIRECT("'数据-取费表'!ah"&amp;$G$1))</f>
        <v>390.5</v>
      </c>
      <c r="G7" s="1288">
        <f ca="1">F6*F7*F8</f>
        <v>855195</v>
      </c>
      <c r="H7" s="296"/>
      <c r="I7" s="3273"/>
      <c r="J7" s="298"/>
      <c r="K7" s="299"/>
      <c r="L7" s="294" t="s">
        <v>689</v>
      </c>
      <c r="M7" s="295">
        <f ca="1">F7</f>
        <v>390.5</v>
      </c>
    </row>
    <row r="8" spans="1:37" ht="18" customHeight="1">
      <c r="A8" s="296"/>
      <c r="B8" s="3273"/>
      <c r="C8" s="298"/>
      <c r="D8" s="299"/>
      <c r="E8" s="294" t="s">
        <v>690</v>
      </c>
      <c r="F8" s="295">
        <f ca="1">INDIRECT("'数据-取费表'!ai"&amp;$G$1)</f>
        <v>365</v>
      </c>
      <c r="G8" s="3518">
        <f ca="1">G7*F9</f>
        <v>85519.5</v>
      </c>
      <c r="H8" s="296"/>
      <c r="I8" s="3273"/>
      <c r="J8" s="298"/>
      <c r="K8" s="299"/>
      <c r="L8" s="294" t="s">
        <v>690</v>
      </c>
      <c r="M8" s="295">
        <f ca="1">INDIRECT("'数据-取费表'!ai"&amp;$G$1)</f>
        <v>365</v>
      </c>
    </row>
    <row r="9" spans="1:37" ht="18" customHeight="1">
      <c r="A9" s="296"/>
      <c r="B9" s="3274"/>
      <c r="C9" s="298"/>
      <c r="D9" s="299"/>
      <c r="E9" s="294" t="s">
        <v>691</v>
      </c>
      <c r="F9" s="304">
        <f ca="1">INDIRECT("'数据-取费表'!w"&amp;$G$1)</f>
        <v>0.1</v>
      </c>
      <c r="G9" s="3518"/>
      <c r="H9" s="296"/>
      <c r="I9" s="3274"/>
      <c r="J9" s="298"/>
      <c r="K9" s="299"/>
      <c r="L9" s="305" t="s">
        <v>691</v>
      </c>
      <c r="M9" s="306">
        <f ca="1">INDIRECT("'数据-取费表'!ab"&amp;$G$1)</f>
        <v>0</v>
      </c>
    </row>
    <row r="10" spans="1:37" ht="18" customHeight="1">
      <c r="A10" s="1002" t="s">
        <v>402</v>
      </c>
      <c r="B10" s="1270" t="s">
        <v>692</v>
      </c>
      <c r="C10" s="308">
        <f ca="1">ROUND(IF(F10="押一",C6/12*F11,IF(F10="押二",C6/12*2*F11,IF(F10="押三",C6/12*3*F11,C11*F11))),0)</f>
        <v>962</v>
      </c>
      <c r="D10" s="150" t="s">
        <v>2107</v>
      </c>
      <c r="E10" s="305" t="s">
        <v>693</v>
      </c>
      <c r="F10" s="1049" t="s">
        <v>3454</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2160545</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1757250</v>
      </c>
      <c r="D14" s="1253" t="s">
        <v>700</v>
      </c>
      <c r="E14" s="1251"/>
      <c r="F14" s="311"/>
      <c r="G14" s="1288"/>
      <c r="H14" s="925" t="s">
        <v>398</v>
      </c>
      <c r="I14" s="294" t="s">
        <v>701</v>
      </c>
      <c r="J14" s="21">
        <f ca="1">C29</f>
        <v>2667339</v>
      </c>
      <c r="K14" s="12"/>
      <c r="L14" s="756"/>
      <c r="M14" s="757"/>
    </row>
    <row r="15" spans="1:37" s="1300" customFormat="1" ht="18" customHeight="1" thickBot="1">
      <c r="A15" s="925" t="s">
        <v>399</v>
      </c>
      <c r="B15" s="294" t="s">
        <v>702</v>
      </c>
      <c r="C15" s="21">
        <f ca="1">ROUND(C14*F15,0)</f>
        <v>87863</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5335</v>
      </c>
      <c r="K16" s="1020" t="s">
        <v>707</v>
      </c>
      <c r="L16" s="1021"/>
      <c r="M16" s="1005"/>
    </row>
    <row r="17" spans="1:37" s="1300" customFormat="1" ht="18" customHeight="1">
      <c r="A17" s="925" t="s">
        <v>673</v>
      </c>
      <c r="B17" s="294" t="s">
        <v>708</v>
      </c>
      <c r="C17" s="21">
        <f ca="1">ROUND(F17*(F43+INDIRECT("'数据-取费表'!S"&amp;$G$1)),0)</f>
        <v>78100</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35145</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1958358</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39167</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5335</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62523</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736</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ROUND(J5*M24,0)</f>
        <v>0</v>
      </c>
      <c r="K24" s="1025" t="s">
        <v>740</v>
      </c>
      <c r="L24" s="1023" t="s">
        <v>736</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-5335</v>
      </c>
      <c r="K25" s="1028" t="s">
        <v>745</v>
      </c>
      <c r="L25" s="1029"/>
      <c r="M25" s="1030"/>
    </row>
    <row r="26" spans="1:37" ht="18" customHeight="1">
      <c r="A26" s="925" t="s">
        <v>397</v>
      </c>
      <c r="B26" s="294" t="s">
        <v>746</v>
      </c>
      <c r="C26" s="21">
        <f ca="1">ROUND((C19+C20)*F26,0)</f>
        <v>399505</v>
      </c>
      <c r="D26" s="315" t="s">
        <v>747</v>
      </c>
      <c r="E26" s="305" t="s">
        <v>748</v>
      </c>
      <c r="F26" s="304">
        <f ca="1">INDIRECT("'数据-取费表'!q"&amp;$G$1)</f>
        <v>0.2</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4.0000000000000001E-3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2667339</v>
      </c>
      <c r="D29" s="1025"/>
      <c r="E29" s="1023"/>
      <c r="F29" s="1026"/>
      <c r="G29" s="1299"/>
      <c r="H29" s="325" t="s">
        <v>396</v>
      </c>
      <c r="I29" s="326" t="s">
        <v>760</v>
      </c>
      <c r="J29" s="327">
        <f ca="1">ROUND(J26/(1+F40)^F41,0)</f>
        <v>0</v>
      </c>
      <c r="K29" s="328" t="s">
        <v>761</v>
      </c>
      <c r="L29" s="329"/>
      <c r="M29" s="330">
        <f ca="1">INDIRECT("'数据-取费表'!k"&amp;$G$1)</f>
        <v>390.5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66514</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51312</v>
      </c>
      <c r="D31" s="1253" t="s">
        <v>712</v>
      </c>
      <c r="E31" s="1252" t="s">
        <v>762</v>
      </c>
      <c r="F31" s="2134">
        <f ca="1">IF(项目基本情况!B11="企业","——",IF(M47="住宅",IF(F6*F7*F8/12/(1+'数据-取费表'!F30)&gt;100000,4%,2.5%),IF(F6*F7*F8/12/(1+'数据-取费表'!F30)&gt;100000,12%,7%)))</f>
        <v>7.0000000000000007E-2</v>
      </c>
      <c r="G31" s="1288"/>
      <c r="H31" s="3521"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5335</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2161</v>
      </c>
      <c r="D37" s="1252" t="s">
        <v>735</v>
      </c>
      <c r="E37" s="294" t="s">
        <v>736</v>
      </c>
      <c r="F37" s="321">
        <f ca="1">INDIRECT("'数据-取费表'!Al"&amp;$G$1)</f>
        <v>1E-3</v>
      </c>
      <c r="G37" s="1288"/>
      <c r="H37" s="2469"/>
      <c r="I37" s="1301"/>
      <c r="J37" s="1302"/>
      <c r="K37" s="2326"/>
      <c r="L37" s="2469"/>
      <c r="M37" s="2469"/>
    </row>
    <row r="38" spans="1:18" ht="18" customHeight="1" thickBot="1">
      <c r="A38" s="1022" t="s">
        <v>676</v>
      </c>
      <c r="B38" s="1023" t="s">
        <v>720</v>
      </c>
      <c r="C38" s="1024">
        <f ca="1">ROUND(C5*F38,0)</f>
        <v>7706</v>
      </c>
      <c r="D38" s="1025" t="s">
        <v>740</v>
      </c>
      <c r="E38" s="1023" t="s">
        <v>736</v>
      </c>
      <c r="F38" s="1019">
        <f ca="1">INDIRECT("'数据-取费表'!Am"&amp;$G$1)</f>
        <v>0.01</v>
      </c>
      <c r="G38" s="1288"/>
      <c r="H38" s="2469"/>
      <c r="I38" s="1301"/>
      <c r="J38" s="1302"/>
      <c r="K38" s="2467"/>
      <c r="L38" s="2469"/>
      <c r="M38" s="2469"/>
    </row>
    <row r="39" spans="1:18" ht="24.6" customHeight="1" thickTop="1">
      <c r="A39" s="1012" t="s">
        <v>394</v>
      </c>
      <c r="B39" s="1027" t="s">
        <v>764</v>
      </c>
      <c r="C39" s="302">
        <f ca="1">C5-C30</f>
        <v>704124</v>
      </c>
      <c r="D39" s="1028" t="s">
        <v>765</v>
      </c>
      <c r="E39" s="1029"/>
      <c r="F39" s="1030"/>
      <c r="G39" s="1288"/>
      <c r="H39" s="2469"/>
      <c r="I39" s="1301"/>
      <c r="J39" s="1302"/>
      <c r="K39" s="2467"/>
      <c r="L39" s="2469"/>
      <c r="M39" s="2469"/>
    </row>
    <row r="40" spans="1:18" ht="18" customHeight="1">
      <c r="A40" s="291" t="s">
        <v>395</v>
      </c>
      <c r="B40" s="292" t="s">
        <v>766</v>
      </c>
      <c r="C40" s="293">
        <f ca="1">ROUND(C39*(1-((1+F42)/(1+F40))^F41)/(F40-F42),0)</f>
        <v>12527222</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0.02</v>
      </c>
      <c r="G42" s="1288"/>
      <c r="H42" s="121"/>
      <c r="I42" s="1301"/>
      <c r="J42" s="1302"/>
      <c r="K42" s="2326"/>
      <c r="L42" s="121"/>
      <c r="M42" s="121"/>
    </row>
    <row r="43" spans="1:18" ht="18" customHeight="1" thickBot="1">
      <c r="A43" s="325" t="s">
        <v>396</v>
      </c>
      <c r="B43" s="326" t="s">
        <v>768</v>
      </c>
      <c r="C43" s="327">
        <f ca="1">ROUND(C40/F43,0)</f>
        <v>32080</v>
      </c>
      <c r="D43" s="328" t="s">
        <v>769</v>
      </c>
      <c r="E43" s="329" t="s">
        <v>770</v>
      </c>
      <c r="F43" s="330">
        <f ca="1">INDIRECT("'数据-取费表'!k"&amp;$G$1)</f>
        <v>390.5</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-1263.4493</v>
      </c>
      <c r="D45" s="3125" t="s">
        <v>3333</v>
      </c>
      <c r="E45" s="1303"/>
      <c r="F45" s="1303"/>
      <c r="O45" s="1306" t="s">
        <v>800</v>
      </c>
      <c r="P45" s="1362"/>
      <c r="Q45" s="1362"/>
      <c r="R45" s="1362"/>
    </row>
    <row r="46" spans="1:18" s="1288" customFormat="1" ht="13.5" thickBot="1">
      <c r="A46" s="1307" t="s">
        <v>801</v>
      </c>
      <c r="C46" s="1308">
        <f ca="1">ROUND(C45,0)</f>
        <v>-1263</v>
      </c>
      <c r="D46" s="1309" t="str">
        <f>C2</f>
        <v>万元</v>
      </c>
      <c r="I46" s="1310" t="s">
        <v>802</v>
      </c>
      <c r="J46" s="1311"/>
      <c r="K46" s="1312"/>
      <c r="L46" s="1313">
        <f ca="1">IF(M47="住宅",0,IF(L48&gt;J51,L60,J60))</f>
        <v>132053</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3455</v>
      </c>
      <c r="K47" s="1319" t="s">
        <v>808</v>
      </c>
      <c r="L47" s="1320">
        <f ca="1">INDIRECT("'数据-取费表'!d"&amp;$G$1)</f>
        <v>50</v>
      </c>
      <c r="M47" s="1284" t="str">
        <f>IF(ISNUMBER(FIND("住宅",C1)),"住宅","非住宅")</f>
        <v>非住宅</v>
      </c>
      <c r="O47" s="1321" t="s">
        <v>403</v>
      </c>
      <c r="P47" s="1322" t="s">
        <v>809</v>
      </c>
      <c r="Q47" s="1323">
        <f ca="1">C40+J29</f>
        <v>12527222</v>
      </c>
      <c r="R47" s="1323" t="s">
        <v>810</v>
      </c>
    </row>
    <row r="48" spans="1:18" s="1288" customFormat="1" ht="28.5" thickBot="1">
      <c r="A48" s="1043" t="s">
        <v>438</v>
      </c>
      <c r="B48" s="292" t="s">
        <v>684</v>
      </c>
      <c r="C48" s="1264">
        <f ca="1">C49+C53+C55</f>
        <v>0</v>
      </c>
      <c r="D48" s="1045"/>
      <c r="E48" s="1046"/>
      <c r="F48" s="905"/>
      <c r="G48" s="681"/>
      <c r="H48" s="682"/>
      <c r="I48" s="1324" t="s">
        <v>811</v>
      </c>
      <c r="J48" s="1325" t="s">
        <v>3456</v>
      </c>
      <c r="K48" s="1326" t="s">
        <v>812</v>
      </c>
      <c r="L48" s="1327">
        <f ca="1">INDIRECT("'数据-取费表'!f"&amp;$G$1)</f>
        <v>28.89</v>
      </c>
      <c r="O48" s="1321" t="s">
        <v>404</v>
      </c>
      <c r="P48" s="1322" t="s">
        <v>813</v>
      </c>
      <c r="Q48" s="1323">
        <f ca="1">J60</f>
        <v>132053</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2667339</v>
      </c>
      <c r="R49" s="1323" t="s">
        <v>810</v>
      </c>
    </row>
    <row r="50" spans="1:18" s="1288" customFormat="1" ht="13.5" thickBot="1">
      <c r="A50" s="919"/>
      <c r="B50" s="922"/>
      <c r="C50" s="923"/>
      <c r="D50" s="896"/>
      <c r="E50" s="989" t="s">
        <v>689</v>
      </c>
      <c r="F50" s="990">
        <f ca="1">F7</f>
        <v>390.5</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365</v>
      </c>
      <c r="I51" s="1334" t="s">
        <v>821</v>
      </c>
      <c r="J51" s="1327">
        <f>IF(J49="",J50,J49+J50-YEAR('数据-取费表'!B2))</f>
        <v>43</v>
      </c>
      <c r="K51" s="1335" t="s">
        <v>822</v>
      </c>
      <c r="L51" s="1336">
        <f ca="1">ROUND(-PV(INDIRECT("'数据-取费表'!h"&amp;$G$1),J51,(C39-C13*C76),0),0)</f>
        <v>9700886</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270" t="s">
        <v>829</v>
      </c>
      <c r="L53" s="3271"/>
      <c r="O53" s="1321" t="s">
        <v>409</v>
      </c>
      <c r="P53" s="1322" t="s">
        <v>830</v>
      </c>
      <c r="Q53" s="1323">
        <f ca="1">Q47+Q48</f>
        <v>12659275</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2160545</v>
      </c>
      <c r="D56" s="1348"/>
      <c r="E56" s="1349"/>
      <c r="F56" s="1341"/>
      <c r="I56" s="1350" t="s">
        <v>834</v>
      </c>
      <c r="J56" s="1351"/>
      <c r="K56" s="1324" t="s">
        <v>835</v>
      </c>
      <c r="L56" s="1327" t="str">
        <f ca="1">IF(L48&lt;J51,"——",L48-J51)</f>
        <v>——</v>
      </c>
      <c r="O56" s="1321" t="s">
        <v>403</v>
      </c>
      <c r="P56" s="1322" t="s">
        <v>809</v>
      </c>
      <c r="Q56" s="1323">
        <f ca="1">C40+J29</f>
        <v>12527222</v>
      </c>
      <c r="R56" s="1323" t="s">
        <v>810</v>
      </c>
    </row>
    <row r="57" spans="1:18" s="1288" customFormat="1" ht="24.75" thickBot="1">
      <c r="A57" s="1352"/>
      <c r="B57" s="893" t="s">
        <v>759</v>
      </c>
      <c r="C57" s="230">
        <f ca="1">C29</f>
        <v>2667339</v>
      </c>
      <c r="D57" s="1353"/>
      <c r="E57" s="1354"/>
      <c r="F57" s="1355"/>
      <c r="I57" s="1356" t="s">
        <v>836</v>
      </c>
      <c r="J57" s="1357">
        <f ca="1">IF(OR(M47="住宅",J51&lt;L48,J56="是"),"——",J51-L48)</f>
        <v>14.11</v>
      </c>
      <c r="K57" s="1324" t="s">
        <v>884</v>
      </c>
      <c r="L57" s="1327" t="str">
        <f ca="1">IF(L48&lt;J51,"——",IF(L55="比较法",L49,IF(L55="基准地价",L50,L51)))</f>
        <v>——</v>
      </c>
      <c r="O57" s="1321" t="s">
        <v>404</v>
      </c>
      <c r="P57" s="1322" t="s">
        <v>885</v>
      </c>
      <c r="Q57" s="1323">
        <f ca="1">L60</f>
        <v>0</v>
      </c>
      <c r="R57" s="1323" t="s">
        <v>886</v>
      </c>
    </row>
    <row r="58" spans="1:18" s="1288" customFormat="1" ht="24.75" thickBot="1">
      <c r="A58" s="307" t="s">
        <v>393</v>
      </c>
      <c r="B58" s="901" t="s">
        <v>706</v>
      </c>
      <c r="C58" s="308">
        <f ca="1">ROUND(C59+C64+C65+C66,0)</f>
        <v>7496</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1066936</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132053</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IF(项目基本情况!B11="自然人","——",IF(D61="按租金收入计税",ROUND(C49*F61/(1+'数据-取费表'!C42),0),IF(D61="按房产原值计税",ROUND(C57*F61*0.7,0),INDIRECT("'数据-取费表'!Aj"&amp;$G$1))))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IF(项目基本情况!B11="自然人","——",ROUND(F62*F63,0))</f>
        <v>——</v>
      </c>
      <c r="D62" s="908" t="s">
        <v>778</v>
      </c>
      <c r="E62" s="893" t="s">
        <v>779</v>
      </c>
      <c r="F62" s="317">
        <f t="shared" si="0"/>
        <v>0</v>
      </c>
      <c r="I62" s="1363" t="s">
        <v>850</v>
      </c>
      <c r="J62" s="610" t="s">
        <v>851</v>
      </c>
      <c r="K62" s="610" t="s">
        <v>852</v>
      </c>
      <c r="L62" s="610" t="s">
        <v>853</v>
      </c>
      <c r="M62" s="1364" t="s">
        <v>854</v>
      </c>
      <c r="O62" s="1321" t="s">
        <v>409</v>
      </c>
      <c r="P62" s="1322" t="s">
        <v>855</v>
      </c>
      <c r="Q62" s="1323">
        <f ca="1">Q56+Q57</f>
        <v>12527222</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ROUND(C57*F64,0)</f>
        <v>5335</v>
      </c>
      <c r="D64" s="907" t="s">
        <v>783</v>
      </c>
      <c r="E64" s="893" t="s">
        <v>775</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2161</v>
      </c>
      <c r="D65" s="907" t="s">
        <v>735</v>
      </c>
      <c r="E65" s="893" t="s">
        <v>736</v>
      </c>
      <c r="F65" s="321">
        <f t="shared" ca="1" si="0"/>
        <v>1E-3</v>
      </c>
      <c r="I65" s="1363" t="s">
        <v>859</v>
      </c>
      <c r="J65" s="610">
        <v>40</v>
      </c>
      <c r="K65" s="610">
        <v>30</v>
      </c>
      <c r="L65" s="610">
        <v>50</v>
      </c>
      <c r="M65" s="1365">
        <v>0.02</v>
      </c>
      <c r="O65" s="1321" t="s">
        <v>403</v>
      </c>
      <c r="P65" s="1322" t="s">
        <v>860</v>
      </c>
      <c r="Q65" s="1323">
        <f ca="1">C40+J29</f>
        <v>12527222</v>
      </c>
      <c r="R65" s="1323" t="s">
        <v>810</v>
      </c>
    </row>
    <row r="66" spans="1:18" s="1288" customFormat="1" ht="16.5" thickBot="1">
      <c r="A66" s="925" t="s">
        <v>785</v>
      </c>
      <c r="B66" s="893" t="s">
        <v>720</v>
      </c>
      <c r="C66" s="21">
        <f ca="1">ROUND(C48*F66,0)</f>
        <v>0</v>
      </c>
      <c r="D66" s="907" t="s">
        <v>786</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-7496</v>
      </c>
      <c r="D67" s="906" t="s">
        <v>745</v>
      </c>
      <c r="E67" s="911"/>
      <c r="F67" s="912"/>
      <c r="O67" s="1330" t="s">
        <v>405</v>
      </c>
      <c r="P67" s="1322" t="s">
        <v>842</v>
      </c>
      <c r="Q67" s="1366">
        <f ca="1">L51</f>
        <v>9700886</v>
      </c>
      <c r="R67" s="1323" t="s">
        <v>862</v>
      </c>
    </row>
    <row r="68" spans="1:18" s="1288" customFormat="1" ht="16.5" thickBot="1">
      <c r="A68" s="890" t="s">
        <v>395</v>
      </c>
      <c r="B68" s="891" t="s">
        <v>766</v>
      </c>
      <c r="C68" s="293">
        <f ca="1">ROUND(C67*(1-((1+F70)/(1+F68))^F69)/(F68-F70),0)</f>
        <v>-107271</v>
      </c>
      <c r="D68" s="908" t="s">
        <v>750</v>
      </c>
      <c r="E68" s="893" t="s">
        <v>751</v>
      </c>
      <c r="F68" s="304">
        <f ca="1">F40</f>
        <v>5.5E-2</v>
      </c>
      <c r="O68" s="1330" t="s">
        <v>406</v>
      </c>
      <c r="P68" s="1367" t="s">
        <v>863</v>
      </c>
      <c r="Q68" s="1323">
        <f ca="1">ROUND(Q69-Q70*Q71,0)</f>
        <v>552886</v>
      </c>
      <c r="R68" s="1323" t="s">
        <v>414</v>
      </c>
    </row>
    <row r="69" spans="1:18" s="1288" customFormat="1" ht="13.5" thickBot="1">
      <c r="A69" s="894"/>
      <c r="B69" s="895"/>
      <c r="C69" s="298"/>
      <c r="D69" s="913" t="s">
        <v>754</v>
      </c>
      <c r="E69" s="893" t="s">
        <v>755</v>
      </c>
      <c r="F69" s="324">
        <f ca="1">F41</f>
        <v>28.89</v>
      </c>
      <c r="O69" s="1330" t="s">
        <v>411</v>
      </c>
      <c r="P69" s="1367" t="s">
        <v>864</v>
      </c>
      <c r="Q69" s="1323">
        <f ca="1">C39</f>
        <v>704124</v>
      </c>
      <c r="R69" s="1323" t="s">
        <v>810</v>
      </c>
    </row>
    <row r="70" spans="1:18" s="1288" customFormat="1" ht="13.5" thickBot="1">
      <c r="A70" s="897"/>
      <c r="B70" s="898"/>
      <c r="C70" s="302"/>
      <c r="D70" s="909"/>
      <c r="E70" s="893" t="s">
        <v>758</v>
      </c>
      <c r="F70" s="987"/>
      <c r="O70" s="1330" t="s">
        <v>412</v>
      </c>
      <c r="P70" s="1367" t="s">
        <v>865</v>
      </c>
      <c r="Q70" s="1323">
        <f ca="1">C13</f>
        <v>2160545</v>
      </c>
      <c r="R70" s="1323" t="s">
        <v>810</v>
      </c>
    </row>
    <row r="71" spans="1:18" s="1288" customFormat="1" ht="13.5" thickBot="1">
      <c r="A71" s="914" t="s">
        <v>396</v>
      </c>
      <c r="B71" s="915" t="s">
        <v>768</v>
      </c>
      <c r="C71" s="327">
        <f ca="1">ROUND(C68/F71,0)</f>
        <v>-275</v>
      </c>
      <c r="D71" s="916" t="s">
        <v>769</v>
      </c>
      <c r="E71" s="917" t="s">
        <v>770</v>
      </c>
      <c r="F71" s="330">
        <f ca="1">F43</f>
        <v>390.5</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151238</v>
      </c>
      <c r="D75" s="1288"/>
      <c r="E75" s="1288"/>
      <c r="F75" s="1288"/>
      <c r="K75" s="1305"/>
      <c r="L75" s="1288"/>
      <c r="O75" s="1321" t="s">
        <v>409</v>
      </c>
      <c r="P75" s="1322" t="s">
        <v>830</v>
      </c>
      <c r="Q75" s="1323">
        <f ca="1">Q65+Q66</f>
        <v>12527222</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0.78500000000000003</v>
      </c>
    </row>
    <row r="80" spans="1:18">
      <c r="B80" s="331" t="s">
        <v>792</v>
      </c>
      <c r="C80" s="266">
        <f ca="1">ROUND(C75/C39,3)</f>
        <v>0.215</v>
      </c>
    </row>
    <row r="81" spans="2:3">
      <c r="B81" s="262" t="s">
        <v>793</v>
      </c>
      <c r="C81" s="230"/>
    </row>
    <row r="82" spans="2:3">
      <c r="B82" s="265" t="s">
        <v>794</v>
      </c>
      <c r="C82" s="267">
        <f ca="1">1-C83</f>
        <v>0.82800000000000007</v>
      </c>
    </row>
    <row r="83" spans="2:3">
      <c r="B83" s="265" t="s">
        <v>795</v>
      </c>
      <c r="C83" s="266">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L14" sqref="L14"/>
      <selection pane="bottomLeft" activeCell="R22" sqref="R22:S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3" t="s">
        <v>2076</v>
      </c>
      <c r="D1" s="3424"/>
      <c r="E1" s="3424"/>
      <c r="F1" s="3424"/>
      <c r="G1" s="3424"/>
      <c r="H1" s="3424"/>
      <c r="I1" s="3424"/>
      <c r="J1" s="3424"/>
      <c r="K1" s="3424"/>
      <c r="L1" s="3424"/>
      <c r="M1" s="3424"/>
      <c r="N1" s="3424"/>
      <c r="O1" s="3424"/>
      <c r="P1" s="3424"/>
      <c r="Q1" s="3424"/>
      <c r="R1" s="3424"/>
      <c r="S1" s="3425"/>
      <c r="T1" s="926" t="s">
        <v>2077</v>
      </c>
    </row>
    <row r="2" spans="1:45" s="625" customFormat="1" ht="38.25">
      <c r="A2" s="927"/>
      <c r="B2" s="622" t="s">
        <v>2078</v>
      </c>
      <c r="C2" s="14" t="str">
        <f t="shared" ref="C2:L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f>'比较法-办公'!C104</f>
        <v>0</v>
      </c>
      <c r="D3" s="627">
        <f>'比较法-办公'!D104</f>
        <v>200</v>
      </c>
      <c r="E3" s="627">
        <f>'比较法-办公'!E104</f>
        <v>500</v>
      </c>
      <c r="F3" s="627">
        <f>'比较法-办公'!F104</f>
        <v>1000</v>
      </c>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627">
        <f>'比较法-办公'!C105</f>
        <v>100</v>
      </c>
      <c r="D4" s="627">
        <f>'比较法-办公'!D105</f>
        <v>99</v>
      </c>
      <c r="E4" s="627">
        <f>'比较法-办公'!E105</f>
        <v>98</v>
      </c>
      <c r="F4" s="627">
        <f>'比较法-办公'!F105</f>
        <v>97</v>
      </c>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7208</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36674</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1965.41</v>
      </c>
      <c r="C22" s="3420" t="s">
        <v>27</v>
      </c>
      <c r="D22" s="3421"/>
      <c r="E22" s="3421"/>
      <c r="F22" s="3421"/>
      <c r="G22" s="3421"/>
      <c r="H22" s="3421"/>
      <c r="I22" s="3421"/>
      <c r="J22" s="3421"/>
      <c r="K22" s="3421"/>
      <c r="L22" s="3421"/>
      <c r="M22" s="3421"/>
      <c r="N22" s="3421"/>
      <c r="O22" s="3421"/>
      <c r="P22" s="3421"/>
      <c r="Q22" s="3422"/>
      <c r="R22" s="21">
        <f ca="1">ROUND(S22*10000/B22,0)</f>
        <v>36674</v>
      </c>
      <c r="S22" s="21">
        <f ca="1">SUM(S24:S10000)</f>
        <v>7208</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f>面积位置!D14</f>
        <v>390.5</v>
      </c>
      <c r="C24" s="2566">
        <v>1</v>
      </c>
      <c r="D24" s="2567"/>
      <c r="E24" s="2566">
        <v>1</v>
      </c>
      <c r="F24" s="2567"/>
      <c r="G24" s="2566">
        <v>1</v>
      </c>
      <c r="H24" s="2567"/>
      <c r="I24" s="2566">
        <v>1</v>
      </c>
      <c r="J24" s="2567"/>
      <c r="K24" s="2566">
        <v>1</v>
      </c>
      <c r="L24" s="2567"/>
      <c r="M24" s="2566">
        <v>1</v>
      </c>
      <c r="N24" s="2567"/>
      <c r="O24" s="2566">
        <v>1</v>
      </c>
      <c r="P24" s="2567" t="s">
        <v>3479</v>
      </c>
      <c r="Q24" s="2566">
        <v>1</v>
      </c>
      <c r="R24" s="633">
        <f ca="1">'结果表-办公'!G20</f>
        <v>36885</v>
      </c>
      <c r="S24" s="634">
        <f t="shared" ref="S24:S54" ca="1" si="11">ROUND(R24*B24/10000,0)</f>
        <v>1440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502</v>
      </c>
      <c r="B25" s="633">
        <f>面积位置!D15</f>
        <v>527.54999999999995</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t="s">
        <v>3479</v>
      </c>
      <c r="Q25" s="21">
        <f>(SUMIF($17:$17,P25,$18:$18)-SUMIF($17:$17,$P$24,$18:$18)+100)/100</f>
        <v>1</v>
      </c>
      <c r="R25" s="21">
        <f ca="1">IF(B25="",0,ROUND($R$24*C25*E25*G25*I25*K25*M25*O25*Q25,0))</f>
        <v>36516</v>
      </c>
      <c r="S25" s="308">
        <f t="shared" ca="1" si="11"/>
        <v>1926</v>
      </c>
    </row>
    <row r="26" spans="1:45">
      <c r="A26" s="633">
        <v>503</v>
      </c>
      <c r="B26" s="633">
        <f>面积位置!D16</f>
        <v>591.70000000000005</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2567" t="s">
        <v>3479</v>
      </c>
      <c r="Q26" s="21">
        <f t="shared" ref="Q26:Q89" si="19">(SUMIF($17:$17,P26,$18:$18)-SUMIF($17:$17,$P$24,$18:$18)+100)/100</f>
        <v>1</v>
      </c>
      <c r="R26" s="21">
        <f t="shared" ref="R26:R89" ca="1" si="20">IF(B26="",0,ROUND($R$24*C26*E26*G26*I26*K26*M26*O26*Q26,0))</f>
        <v>36516</v>
      </c>
      <c r="S26" s="308">
        <f t="shared" ca="1" si="11"/>
        <v>2161</v>
      </c>
    </row>
    <row r="27" spans="1:45">
      <c r="A27" s="633">
        <v>504</v>
      </c>
      <c r="B27" s="633">
        <f>面积位置!D17</f>
        <v>455.66</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2567" t="s">
        <v>3479</v>
      </c>
      <c r="Q27" s="21">
        <f t="shared" si="19"/>
        <v>1</v>
      </c>
      <c r="R27" s="21">
        <f t="shared" ca="1" si="20"/>
        <v>36885</v>
      </c>
      <c r="S27" s="308">
        <f t="shared" ca="1" si="11"/>
        <v>1681</v>
      </c>
      <c r="T27" s="684">
        <f ca="1">SUM(S25:S27)</f>
        <v>5768</v>
      </c>
      <c r="U27" s="684">
        <f ca="1">ROUND(T27*10000/SUM(B25:B27),0)</f>
        <v>36624</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0.06</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0.06</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0.06</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0.06</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0.06</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0.06</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0.06</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0.06</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0.06</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0.06</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0.06</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0.06</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0.06</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0.06</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0.06</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0.06</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0.06</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0.06</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0.06</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0.06</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0.06</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0.06</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0.06</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0.06</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0.06</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0.06</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0.06</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0.06</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0.06</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0.06</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0.06</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0.06</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0.06</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0.06</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0.06</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0.06</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0.06</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0.06</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0.06</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0.06</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0.06</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0.06</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0.06</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0.06</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0.06</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0.06</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0.06</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0.06</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0.06</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0.06</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0.06</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0.06</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0.06</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0.06</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0.06</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0.06</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0.06</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0.06</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0.06</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0.06</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0.06</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0.06</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0.06</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0.06</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0.06</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0.06</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0.06</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0.06</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0.06</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0.06</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0.06</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0.06</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0.06</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0.06</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0.06</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0.06</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0.06</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0.06</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0.06</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0.06</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0.06</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0.06</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0.06</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0.06</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0.06</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0.06</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0.06</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0.06</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0.06</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0.06</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0.06</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0.06</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0.06</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0.06</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0.06</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0.06</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0.06</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0.06</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0.06</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0.06</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0.06</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0.06</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0.06</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0.06</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0.06</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0.06</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0.06</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0.06</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0.06</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0.06</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0.06</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0.06</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0.06</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0.06</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0.06</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0.06</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0.06</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0.06</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0.06</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0.06</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0.06</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0.06</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0.06</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0.06</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0.06</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0.06</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0.06</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0.06</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0.06</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0.06</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0.06</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0.06</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0.06</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0.06</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0.06</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0.06</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0.06</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0.06</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0.06</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0.06</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0.06</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0.06</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0.06</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0.06</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0.06</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0.06</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0.06</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0.06</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0.06</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0.06</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0.06</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0.06</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0.06</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0.06</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0.06</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0.06</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0.06</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0.06</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0.06</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0.06</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0.06</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0.06</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0.06</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0.06</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0.06</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0.06</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0.06</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0.06</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0.06</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0.06</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0.06</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0.06</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0.06</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0.06</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0.06</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0.06</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0.06</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0.06</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0.06</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0.06</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0.06</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0.06</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0.06</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0.06</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0.06</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0.06</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0.06</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0.06</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0.06</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0.06</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0.06</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0.06</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0.06</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0.06</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0.06</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0.06</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0.06</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0.06</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0.06</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0.06</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0.06</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0.06</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0.06</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0.06</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0.06</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0.06</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0.06</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0.06</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0.06</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0.06</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0.06</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0.06</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0.06</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0.06</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0.06</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0.06</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0.06</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0.06</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0.06</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0.06</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0.06</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0.06</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0.06</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0.06</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0.06</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0.06</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0.06</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0.06</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0.06</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0.06</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0.06</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0.06</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0.06</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0.06</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0.06</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0.06</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0.06</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0.06</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0.06</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0.06</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0.06</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0.06</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0.06</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0.06</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0.06</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0.06</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0.06</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0.06</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0.06</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0.06</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0.06</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0.06</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0.06</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0.06</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0.06</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0.06</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0.06</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0.06</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0.06</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0.06</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0.06</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0.06</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0.06</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0.06</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0.06</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0.06</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0.06</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0.06</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0.06</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0.06</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0.06</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0.06</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0.06</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0.06</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0.06</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0.06</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0.06</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0.06</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0.06</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0.06</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0.06</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0.06</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0.06</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0.06</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0.06</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0.06</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0.06</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0.06</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0.06</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0.06</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0.06</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0.06</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0.06</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0.06</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0.06</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0.06</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0.06</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0.06</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0.06</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0.06</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0.06</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0.06</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0.06</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0.06</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0.06</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0.06</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0.06</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0.06</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0.06</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0.06</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0.06</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0.06</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0.06</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0.06</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0.06</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0.06</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0.06</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0.06</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0.06</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0.06</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0.06</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0.06</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0.06</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0.06</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0.06</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0.06</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0.06</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0.06</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0.06</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0.06</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0.06</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0.06</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0.06</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0.06</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0.06</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0.06</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0.06</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0.06</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0.06</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0.06</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0.06</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0.06</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0.06</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0.06</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0.06</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0.06</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0.06</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0.06</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0.06</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0.06</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0.06</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0.06</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0.06</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0.06</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0.06</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0.06</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0.06</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0.06</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0.06</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0.06</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0.06</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0.06</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0.06</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0.06</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0.06</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0.06</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0.06</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0.06</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0.06</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0.06</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0.06</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0.06</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0.06</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0.06</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0.06</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0.06</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0.06</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0.06</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0.06</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0.06</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0.06</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0.06</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0.06</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0.06</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0.06</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0.06</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0.06</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0.06</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0.06</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0.06</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0.06</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0.06</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0.06</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0.06</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0.06</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0.06</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0.06</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0.06</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0.06</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0.06</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0.06</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0.06</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0.06</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0.06</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0.06</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0.06</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0.06</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0.06</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0.06</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0.06</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0.06</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0.06</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0.06</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0.06</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0.06</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0.06</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0.06</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0.06</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0.06</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0.06</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0.06</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0.06</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0.06</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0.06</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0.06</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0.06</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0.06</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0.06</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0.06</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0.06</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0.06</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0.06</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0.06</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0.06</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0.06</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0.06</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0.06</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0.06</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0.06</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0.06</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0.06</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0.06</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0.06</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0.06</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0.06</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0.06</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0.06</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0.06</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0.06</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0.06</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0.06</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0.06</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0.06</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0.06</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0.06</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0.06</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0.06</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0.06</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0.06</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0.06</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0.06</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0.06</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0.06</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0.06</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0.06</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0.06</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0.06</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0.06</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0.06</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0.06</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0.06</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0.06</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0.06</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0.06</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0.06</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0.06</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0.06</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0.06</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0.06</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0.06</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0.06</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0.06</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0.06</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0.06</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0.06</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0.06</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0.06</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0.06</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0.06</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0.06</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0.06</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0.06</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0.06</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0.06</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0.06</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0.06</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0.06</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3DB1-11B1-443C-BCEE-D218C933AB18}">
  <dimension ref="A1"/>
  <sheetViews>
    <sheetView zoomScale="70" zoomScaleNormal="70" workbookViewId="0">
      <selection activeCell="Y25" sqref="Y25"/>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3464</v>
      </c>
      <c r="D1" s="646"/>
      <c r="E1" s="646"/>
      <c r="F1" s="1616" t="s">
        <v>1255</v>
      </c>
      <c r="G1" s="1449" t="s">
        <v>3471</v>
      </c>
      <c r="H1" s="1616" t="str">
        <f>IF(G1="现房","——","估价对象范围")</f>
        <v>——</v>
      </c>
      <c r="I1" s="1617" t="s">
        <v>3472</v>
      </c>
    </row>
    <row r="2" spans="1:12" ht="21.75" customHeight="1" thickBot="1">
      <c r="A2" s="3280" t="str">
        <f>项目基本情况!S2</f>
        <v>北京市房地产</v>
      </c>
      <c r="B2" s="3281"/>
      <c r="C2" s="3281"/>
      <c r="D2" s="3281"/>
      <c r="E2" s="3281"/>
      <c r="F2" s="3281"/>
      <c r="G2" s="3281"/>
      <c r="H2" s="3281"/>
      <c r="I2" s="3282"/>
    </row>
    <row r="3" spans="1:12" ht="12.75">
      <c r="A3" s="3283" t="s">
        <v>1256</v>
      </c>
      <c r="B3" s="3284"/>
      <c r="C3" s="3284"/>
      <c r="D3" s="3284"/>
      <c r="E3" s="3284"/>
      <c r="F3" s="3284"/>
      <c r="G3" s="3284"/>
      <c r="H3" s="3284"/>
      <c r="I3" s="3284"/>
    </row>
    <row r="4" spans="1:12" ht="14.25">
      <c r="A4" s="1619" t="s">
        <v>1257</v>
      </c>
      <c r="B4" s="1620" t="s">
        <v>1258</v>
      </c>
      <c r="C4" s="1621" t="s">
        <v>3506</v>
      </c>
      <c r="D4" s="1621" t="s">
        <v>3452</v>
      </c>
      <c r="E4" s="3285" t="s">
        <v>1259</v>
      </c>
      <c r="F4" s="3286"/>
      <c r="G4" s="3286"/>
      <c r="H4" s="3286"/>
      <c r="I4" s="3287"/>
      <c r="K4" s="138" t="str">
        <f>IF(ISNUMBER(FIND("比较法",'结果表-车位'!C4)),"比较法",IF(ISNUMBER(FIND("成本法",'结果表-车位'!C4)),"成本法",IF(ISNUMBER(FIND("假设开发法",'结果表-车位'!C4)),"假设开发法",IF(ISNUMBER(FIND("收益法",'结果表-车位'!C4)),"收益法","基准地价系数修正法"))))</f>
        <v>比较法</v>
      </c>
      <c r="L4" s="138"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75" t="s">
        <v>1260</v>
      </c>
      <c r="B5" s="3276">
        <v>25</v>
      </c>
      <c r="C5" s="3277"/>
      <c r="D5" s="3279"/>
      <c r="E5" s="123" t="s">
        <v>1261</v>
      </c>
      <c r="F5" s="1622"/>
      <c r="G5" s="1622"/>
      <c r="H5" s="1622"/>
      <c r="I5" s="1277"/>
    </row>
    <row r="6" spans="1:12" ht="12.75">
      <c r="A6" s="3275"/>
      <c r="B6" s="3276"/>
      <c r="C6" s="3288"/>
      <c r="D6" s="3279"/>
      <c r="E6" s="123" t="s">
        <v>1262</v>
      </c>
      <c r="F6" s="1622"/>
      <c r="G6" s="1622"/>
      <c r="H6" s="1622"/>
      <c r="I6" s="1277"/>
    </row>
    <row r="7" spans="1:12" ht="12.75">
      <c r="A7" s="3275"/>
      <c r="B7" s="3276"/>
      <c r="C7" s="3278"/>
      <c r="D7" s="3279"/>
      <c r="E7" s="123" t="s">
        <v>1263</v>
      </c>
      <c r="F7" s="1622"/>
      <c r="G7" s="1622"/>
      <c r="H7" s="1622"/>
      <c r="I7" s="1277"/>
    </row>
    <row r="8" spans="1:12" ht="12.75">
      <c r="A8" s="3275" t="s">
        <v>1264</v>
      </c>
      <c r="B8" s="3276">
        <v>15</v>
      </c>
      <c r="C8" s="3277"/>
      <c r="D8" s="3279"/>
      <c r="E8" s="123" t="s">
        <v>1265</v>
      </c>
      <c r="F8" s="1622"/>
      <c r="G8" s="1622"/>
      <c r="H8" s="1622"/>
      <c r="I8" s="1277"/>
    </row>
    <row r="9" spans="1:12" ht="12.75">
      <c r="A9" s="3275"/>
      <c r="B9" s="3276"/>
      <c r="C9" s="3278"/>
      <c r="D9" s="3279"/>
      <c r="E9" s="123" t="s">
        <v>1266</v>
      </c>
      <c r="F9" s="1622"/>
      <c r="G9" s="1622"/>
      <c r="H9" s="1622"/>
      <c r="I9" s="1277"/>
    </row>
    <row r="10" spans="1:12" ht="12.75">
      <c r="A10" s="3275" t="s">
        <v>1267</v>
      </c>
      <c r="B10" s="3276">
        <v>15</v>
      </c>
      <c r="C10" s="3277"/>
      <c r="D10" s="3279"/>
      <c r="E10" s="123" t="s">
        <v>1268</v>
      </c>
      <c r="F10" s="1622"/>
      <c r="G10" s="1622"/>
      <c r="H10" s="1622"/>
      <c r="I10" s="1277"/>
    </row>
    <row r="11" spans="1:12" ht="12.75">
      <c r="A11" s="3275"/>
      <c r="B11" s="3276"/>
      <c r="C11" s="3278"/>
      <c r="D11" s="3279"/>
      <c r="E11" s="123" t="s">
        <v>1269</v>
      </c>
      <c r="F11" s="1622"/>
      <c r="G11" s="1622"/>
      <c r="H11" s="1622"/>
      <c r="I11" s="1277"/>
    </row>
    <row r="12" spans="1:12" ht="12.75">
      <c r="A12" s="3275" t="s">
        <v>1270</v>
      </c>
      <c r="B12" s="3276">
        <v>15</v>
      </c>
      <c r="C12" s="3277"/>
      <c r="D12" s="3279"/>
      <c r="E12" s="123" t="s">
        <v>1271</v>
      </c>
      <c r="F12" s="1622"/>
      <c r="G12" s="1622"/>
      <c r="H12" s="1622"/>
      <c r="I12" s="1277"/>
    </row>
    <row r="13" spans="1:12" ht="12.75">
      <c r="A13" s="3275"/>
      <c r="B13" s="3276"/>
      <c r="C13" s="3278"/>
      <c r="D13" s="3279"/>
      <c r="E13" s="123" t="s">
        <v>1272</v>
      </c>
      <c r="F13" s="1622"/>
      <c r="G13" s="1622"/>
      <c r="H13" s="1622"/>
      <c r="I13" s="1277"/>
    </row>
    <row r="14" spans="1:12" ht="12.75">
      <c r="A14" s="3275" t="s">
        <v>1273</v>
      </c>
      <c r="B14" s="3276">
        <v>30</v>
      </c>
      <c r="C14" s="3277">
        <v>65</v>
      </c>
      <c r="D14" s="3279">
        <v>35</v>
      </c>
      <c r="E14" s="123" t="s">
        <v>1274</v>
      </c>
      <c r="F14" s="1622"/>
      <c r="G14" s="1622"/>
      <c r="H14" s="1622"/>
      <c r="I14" s="1277"/>
    </row>
    <row r="15" spans="1:12" ht="12.75">
      <c r="A15" s="3275"/>
      <c r="B15" s="3276"/>
      <c r="C15" s="3288"/>
      <c r="D15" s="3279"/>
      <c r="E15" s="123" t="s">
        <v>1275</v>
      </c>
      <c r="F15" s="1622"/>
      <c r="G15" s="1622"/>
      <c r="H15" s="1622"/>
      <c r="I15" s="1277"/>
    </row>
    <row r="16" spans="1:12" ht="12.75">
      <c r="A16" s="3275"/>
      <c r="B16" s="3276"/>
      <c r="C16" s="3278"/>
      <c r="D16" s="3279"/>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289" t="s">
        <v>2122</v>
      </c>
      <c r="F18" s="3290"/>
      <c r="G18" s="3290"/>
      <c r="H18" s="3290"/>
      <c r="I18" s="3290"/>
      <c r="K18" s="294" t="s">
        <v>1281</v>
      </c>
      <c r="L18" s="294">
        <f>IF(C1="",'数据-汇总表'!E3,SUMIF(项目类型,C1,'数据-汇总表'!E17:E26)+SUMIF(项目类型,C1,'数据-汇总表'!I17:I26))</f>
        <v>53.53</v>
      </c>
      <c r="M18" s="294">
        <f>IF(C1="",'数据-汇总表'!E3,SUMIF(项目类型,C1,'数据-汇总表'!E17:E26))</f>
        <v>53.53</v>
      </c>
    </row>
    <row r="19" spans="1:36" ht="15">
      <c r="A19" s="1625" t="s">
        <v>1282</v>
      </c>
      <c r="B19" s="1626" t="s">
        <v>1283</v>
      </c>
      <c r="C19" s="126">
        <f ca="1">SUMIF(INDIRECT("'"&amp;C4&amp;"'"&amp;"!A:A"),'结果表-车位'!B19,INDIRECT("'"&amp;C4&amp;"'"&amp;"!B:B"))</f>
        <v>40</v>
      </c>
      <c r="D19" s="127">
        <f ca="1">SUMIF(INDIRECT("'"&amp;D4&amp;"'"&amp;"!A:A"),'结果表-车位'!B19,INDIRECT("'"&amp;D4&amp;"'"&amp;"!B:B"))</f>
        <v>20.2121</v>
      </c>
      <c r="E19" s="1625" t="s">
        <v>1284</v>
      </c>
      <c r="F19" s="1626" t="s">
        <v>1283</v>
      </c>
      <c r="G19" s="128">
        <f ca="1">ROUND(C19*$C$18+D19*$D$18,0)</f>
        <v>33</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SUMIF(INDIRECT("'"&amp;C4&amp;"'"&amp;"!A:A"),'结果表-车位'!B20,INDIRECT("'"&amp;C4&amp;"'"&amp;"!B:B"))</f>
        <v>7487</v>
      </c>
      <c r="D20" s="130">
        <f ca="1">SUMIF(INDIRECT("'"&amp;D4&amp;"'"&amp;"!A:A"),'结果表-车位'!B20,INDIRECT("'"&amp;D4&amp;"'"&amp;"!B:B"))</f>
        <v>3776</v>
      </c>
      <c r="E20" s="1628"/>
      <c r="F20" s="43" t="s">
        <v>1287</v>
      </c>
      <c r="G20" s="131">
        <f ca="1">ROUND(C20*$C$18+D20*$D$18,0)</f>
        <v>6188</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0.97901257167736166</v>
      </c>
      <c r="E22" s="121"/>
      <c r="F22" s="121"/>
      <c r="G22" s="121"/>
      <c r="H22" s="121"/>
      <c r="I22" s="121"/>
    </row>
    <row r="23" spans="1:36" ht="13.5" thickBot="1">
      <c r="A23" s="646"/>
      <c r="B23" s="646"/>
      <c r="C23" s="646"/>
      <c r="D23" s="646"/>
      <c r="E23" s="121"/>
      <c r="F23" s="121"/>
      <c r="G23" s="121"/>
      <c r="H23" s="121"/>
      <c r="I23" s="121"/>
    </row>
    <row r="24" spans="1:36" ht="14.25">
      <c r="A24" s="3291" t="s">
        <v>1291</v>
      </c>
      <c r="B24" s="1626" t="s">
        <v>1283</v>
      </c>
      <c r="C24" s="128">
        <f>IF(B30=0,0,D30)</f>
        <v>0</v>
      </c>
      <c r="D24" s="1632"/>
      <c r="E24" s="121"/>
      <c r="F24" s="121"/>
      <c r="G24" s="121"/>
      <c r="H24" s="121"/>
      <c r="I24" s="121"/>
    </row>
    <row r="25" spans="1:36" ht="14.25">
      <c r="A25" s="3292"/>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33</v>
      </c>
      <c r="D32" s="1636" t="s">
        <v>3468</v>
      </c>
      <c r="E32" s="121"/>
      <c r="F32" s="121"/>
      <c r="G32" s="121"/>
      <c r="H32" s="121"/>
      <c r="I32" s="121"/>
    </row>
    <row r="33" spans="1:15" ht="15">
      <c r="A33" s="737" t="s">
        <v>1298</v>
      </c>
      <c r="B33" s="123"/>
      <c r="C33" s="1637" t="s">
        <v>3469</v>
      </c>
      <c r="D33" s="1638" t="s">
        <v>3470</v>
      </c>
      <c r="E33" s="1639" t="s">
        <v>1299</v>
      </c>
      <c r="F33" s="1640" t="str">
        <f>IF(D32="楼面单价","取值（单价）","取值（总价）")</f>
        <v>取值（总价）</v>
      </c>
      <c r="G33" s="121"/>
      <c r="H33" s="121"/>
      <c r="I33" s="121"/>
    </row>
    <row r="34" spans="1:15" ht="15">
      <c r="A34" s="1641"/>
      <c r="B34" s="1642" t="s">
        <v>1300</v>
      </c>
      <c r="C34" s="140">
        <f ca="1">IF(C33="自定义",F34,C32-C35)</f>
        <v>10</v>
      </c>
      <c r="D34" s="805">
        <f ca="1">IF(C33="自定义",ROUND(C34/C32,3),IF(C33="收益比率",SUMIF(INDIRECT("'"&amp;D33&amp;"'"&amp;"!b:b"),"土地收益比率",INDIRECT("'"&amp;D33&amp;"'"&amp;"!c:c")),SUMIF(INDIRECT("'"&amp;D33&amp;"'"&amp;"!b:b"),"土地成本比率",INDIRECT("'"&amp;D33&amp;"'"&amp;"!c:c"))))</f>
        <v>0.28900000000000003</v>
      </c>
      <c r="E34" s="1643" t="s">
        <v>1301</v>
      </c>
      <c r="F34" s="1239"/>
      <c r="G34" s="121"/>
      <c r="H34" s="121"/>
      <c r="I34" s="121"/>
    </row>
    <row r="35" spans="1:15" ht="15.75" thickBot="1">
      <c r="A35" s="1644"/>
      <c r="B35" s="1645" t="s">
        <v>1302</v>
      </c>
      <c r="C35" s="1086">
        <f ca="1">IF(C33="自定义",F35,ROUND(C32*D35,0))</f>
        <v>23</v>
      </c>
      <c r="D35" s="1087">
        <f ca="1">IF(C33="自定义",ROUND(C35/C32,3),IF(C33="收益比率",SUMIF(INDIRECT("'"&amp;D33&amp;"'"&amp;"!b:b"),"建筑物收益比率",INDIRECT("'"&amp;D33&amp;"'"&amp;"!c:c")),SUMIF(INDIRECT("'"&amp;D33&amp;"'"&amp;"!b:b"),"建筑物成本比率",INDIRECT("'"&amp;D33&amp;"'"&amp;"!c:c"))))</f>
        <v>0.71099999999999997</v>
      </c>
      <c r="E35" s="1646" t="s">
        <v>1303</v>
      </c>
      <c r="F35" s="146"/>
      <c r="G35" s="121"/>
      <c r="H35" s="121"/>
      <c r="I35" s="121"/>
    </row>
    <row r="36" spans="1:15" ht="15.75" thickBot="1">
      <c r="A36" s="3293" t="s">
        <v>1304</v>
      </c>
      <c r="B36" s="1647" t="s">
        <v>1305</v>
      </c>
      <c r="C36" s="137"/>
      <c r="D36" s="1648"/>
      <c r="E36" s="1563"/>
      <c r="F36" s="1649"/>
      <c r="G36" s="121"/>
      <c r="H36" s="121"/>
      <c r="I36" s="121"/>
    </row>
    <row r="37" spans="1:15" ht="15.75" thickBot="1">
      <c r="A37" s="3294"/>
      <c r="B37" s="1551" t="s">
        <v>1306</v>
      </c>
      <c r="C37" s="139"/>
      <c r="D37" s="1067"/>
      <c r="E37" s="1067"/>
      <c r="F37" s="1649"/>
      <c r="G37" s="121"/>
      <c r="H37" s="121"/>
      <c r="I37" s="121"/>
    </row>
    <row r="38" spans="1:15" ht="15.75" thickBot="1">
      <c r="A38" s="3295"/>
      <c r="B38" s="1650" t="s">
        <v>1307</v>
      </c>
      <c r="C38" s="641"/>
      <c r="D38" s="1651" t="s">
        <v>1308</v>
      </c>
      <c r="E38" s="1067"/>
      <c r="F38" s="1649"/>
      <c r="G38" s="121"/>
      <c r="H38" s="121"/>
      <c r="I38" s="121"/>
    </row>
    <row r="39" spans="1:15" ht="15">
      <c r="A39" s="1628" t="s">
        <v>1309</v>
      </c>
      <c r="B39" s="1652" t="s">
        <v>1310</v>
      </c>
      <c r="C39" s="1653" t="s">
        <v>1311</v>
      </c>
      <c r="D39" s="1653" t="s">
        <v>1312</v>
      </c>
      <c r="E39" s="1654" t="s">
        <v>1313</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296" t="s">
        <v>1318</v>
      </c>
      <c r="B45" s="3297"/>
      <c r="C45" s="3298"/>
      <c r="D45" s="147">
        <f ca="1">ROUND(H101*F45,0)</f>
        <v>33</v>
      </c>
      <c r="E45" s="148" t="s">
        <v>1319</v>
      </c>
      <c r="F45" s="149">
        <v>1</v>
      </c>
      <c r="G45" s="150" t="s">
        <v>1320</v>
      </c>
      <c r="H45" s="121"/>
      <c r="I45" s="121"/>
      <c r="J45" s="3299" t="s">
        <v>1321</v>
      </c>
      <c r="K45" s="3299"/>
      <c r="L45" s="3299"/>
      <c r="M45" s="3299"/>
      <c r="N45" s="3299"/>
      <c r="O45" s="3299"/>
    </row>
    <row r="46" spans="1:15" ht="14.25" customHeight="1">
      <c r="A46" s="3300" t="s">
        <v>1322</v>
      </c>
      <c r="B46" s="3301"/>
      <c r="C46" s="3301"/>
      <c r="D46" s="3301"/>
      <c r="E46" s="3301"/>
      <c r="F46" s="3301"/>
      <c r="G46" s="3302"/>
      <c r="H46" s="1663"/>
      <c r="I46" s="151"/>
      <c r="J46" s="2305">
        <v>1</v>
      </c>
      <c r="K46" s="3303" t="s">
        <v>1323</v>
      </c>
      <c r="L46" s="3303"/>
      <c r="M46" s="3304"/>
      <c r="N46" s="3304"/>
      <c r="O46" s="3304"/>
    </row>
    <row r="47" spans="1:15" ht="12" customHeight="1">
      <c r="A47" s="152" t="s">
        <v>1324</v>
      </c>
      <c r="B47" s="153"/>
      <c r="C47" s="154"/>
      <c r="D47" s="1020" t="s">
        <v>1325</v>
      </c>
      <c r="E47" s="294" t="s">
        <v>1326</v>
      </c>
      <c r="F47" s="155" t="s">
        <v>1327</v>
      </c>
      <c r="G47" s="2328" t="s">
        <v>1328</v>
      </c>
      <c r="H47" s="2329"/>
      <c r="I47" s="151"/>
      <c r="J47" s="2305">
        <v>2</v>
      </c>
      <c r="K47" s="3303" t="s">
        <v>1329</v>
      </c>
      <c r="L47" s="3303"/>
      <c r="M47" s="3309">
        <f>'数据-取费表'!B2</f>
        <v>45943</v>
      </c>
      <c r="N47" s="3309"/>
      <c r="O47" s="3309"/>
    </row>
    <row r="48" spans="1:15" ht="25.5">
      <c r="A48" s="3310" t="s">
        <v>1330</v>
      </c>
      <c r="B48" s="3311"/>
      <c r="C48" s="3311"/>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03" t="s">
        <v>1332</v>
      </c>
      <c r="L48" s="3303"/>
      <c r="M48" s="3312">
        <f ca="1">H101</f>
        <v>33</v>
      </c>
      <c r="N48" s="3312"/>
      <c r="O48" s="3312"/>
    </row>
    <row r="49" spans="1:35" ht="25.5" customHeight="1">
      <c r="A49" s="2147" t="s">
        <v>1333</v>
      </c>
      <c r="B49" s="3305" t="s">
        <v>1334</v>
      </c>
      <c r="C49" s="3305"/>
      <c r="D49" s="1474">
        <v>0</v>
      </c>
      <c r="E49" s="316" t="s">
        <v>1335</v>
      </c>
      <c r="F49" s="2228" t="s">
        <v>28</v>
      </c>
      <c r="G49" s="3313"/>
      <c r="H49" s="2129" t="s">
        <v>2125</v>
      </c>
      <c r="I49" s="2130"/>
      <c r="J49" s="2305">
        <v>4</v>
      </c>
      <c r="K49" s="3303" t="str">
        <f>IF(项目基本情况!E8="房地产抵押价值","房地产抵押价值","抵押担保权已注销时的房地产抵押价值")</f>
        <v>房地产抵押价值</v>
      </c>
      <c r="L49" s="3303"/>
      <c r="M49" s="3312">
        <f ca="1">IF(项目基本情况!E8="房地产抵押价值",H107,H109)</f>
        <v>33</v>
      </c>
      <c r="N49" s="3312"/>
      <c r="O49" s="3312"/>
    </row>
    <row r="50" spans="1:35" ht="25.5" customHeight="1">
      <c r="A50" s="2333"/>
      <c r="B50" s="3305" t="s">
        <v>1336</v>
      </c>
      <c r="C50" s="3305"/>
      <c r="D50" s="2184"/>
      <c r="E50" s="323"/>
      <c r="F50" s="2228"/>
      <c r="G50" s="3314"/>
      <c r="H50" s="2131" t="s">
        <v>2126</v>
      </c>
      <c r="I50" s="2130"/>
      <c r="J50" s="3299" t="s">
        <v>1337</v>
      </c>
      <c r="K50" s="3299"/>
      <c r="L50" s="3299"/>
      <c r="M50" s="3299"/>
      <c r="N50" s="3299"/>
      <c r="O50" s="3299"/>
    </row>
    <row r="51" spans="1:35" ht="20.45" customHeight="1">
      <c r="A51" s="2334"/>
      <c r="B51" s="3305" t="s">
        <v>1338</v>
      </c>
      <c r="C51" s="3305"/>
      <c r="D51" s="1020"/>
      <c r="E51" s="319"/>
      <c r="F51" s="2228"/>
      <c r="G51" s="3315"/>
      <c r="H51" s="2131" t="s">
        <v>2127</v>
      </c>
      <c r="I51" s="2130"/>
      <c r="J51" s="2306" t="s">
        <v>1339</v>
      </c>
      <c r="K51" s="3303" t="s">
        <v>1340</v>
      </c>
      <c r="L51" s="3303"/>
      <c r="M51" s="2306" t="s">
        <v>1341</v>
      </c>
      <c r="N51" s="2306" t="s">
        <v>1342</v>
      </c>
      <c r="O51" s="2306" t="s">
        <v>1343</v>
      </c>
    </row>
    <row r="52" spans="1:35" ht="24" customHeight="1">
      <c r="A52" s="2148" t="s">
        <v>1344</v>
      </c>
      <c r="B52" s="3305" t="s">
        <v>1345</v>
      </c>
      <c r="C52" s="3305"/>
      <c r="D52" s="1020">
        <f ca="1">ROUND(D45*'数据-取费表'!B41/(1+'数据-取费表'!C42),0)</f>
        <v>2</v>
      </c>
      <c r="E52" s="1252" t="s">
        <v>1346</v>
      </c>
      <c r="F52" s="2335">
        <f>'数据-取费表'!B41</f>
        <v>5.6000000000000001E-2</v>
      </c>
      <c r="G52" s="2336"/>
      <c r="H52" s="2326"/>
      <c r="I52" s="1664"/>
      <c r="J52" s="2305">
        <v>1</v>
      </c>
      <c r="K52" s="3306" t="s">
        <v>1347</v>
      </c>
      <c r="L52" s="3306"/>
      <c r="M52" s="2307" t="b">
        <f>D48</f>
        <v>0</v>
      </c>
      <c r="N52" s="2305" t="str">
        <f>E48</f>
        <v>销售额×税（费）率</v>
      </c>
      <c r="O52" s="2308">
        <f>F48</f>
        <v>5.6000000000000001E-2</v>
      </c>
    </row>
    <row r="53" spans="1:35" ht="12" customHeight="1">
      <c r="A53" s="2148" t="s">
        <v>1348</v>
      </c>
      <c r="B53" s="3307" t="s">
        <v>2273</v>
      </c>
      <c r="C53" s="3308"/>
      <c r="D53" s="1020">
        <f ca="1">ROUND(D45*'数据-取费表'!B41/(1+'数据-取费表'!C42),0)</f>
        <v>2</v>
      </c>
      <c r="E53" s="1252" t="s">
        <v>1346</v>
      </c>
      <c r="F53" s="2335">
        <f>'数据-取费表'!B41</f>
        <v>5.6000000000000001E-2</v>
      </c>
      <c r="G53" s="2336"/>
      <c r="H53" s="2326"/>
      <c r="I53" s="1664"/>
      <c r="J53" s="2305">
        <v>2</v>
      </c>
      <c r="K53" s="3306" t="s">
        <v>1349</v>
      </c>
      <c r="L53" s="3306"/>
      <c r="M53" s="2307">
        <f t="shared" ref="M53:O54" ca="1" si="0">D55</f>
        <v>0</v>
      </c>
      <c r="N53" s="2305" t="str">
        <f t="shared" si="0"/>
        <v>销售额×税（费）率</v>
      </c>
      <c r="O53" s="2308" t="str">
        <f t="shared" si="0"/>
        <v>免征</v>
      </c>
    </row>
    <row r="54" spans="1:35" ht="12" customHeight="1">
      <c r="A54" s="2148" t="s">
        <v>1350</v>
      </c>
      <c r="B54" s="3307" t="s">
        <v>2274</v>
      </c>
      <c r="C54" s="3308"/>
      <c r="D54" s="1020">
        <f ca="1">C68</f>
        <v>2</v>
      </c>
      <c r="E54" s="319" t="s">
        <v>1351</v>
      </c>
      <c r="F54" s="2335">
        <f>'数据-取费表'!B41</f>
        <v>5.6000000000000001E-2</v>
      </c>
      <c r="G54" s="2336"/>
      <c r="H54" s="2337"/>
      <c r="I54" s="1664"/>
      <c r="J54" s="2305">
        <v>3</v>
      </c>
      <c r="K54" s="3306" t="s">
        <v>1352</v>
      </c>
      <c r="L54" s="3306"/>
      <c r="M54" s="2307" t="e">
        <f t="shared" ca="1" si="0"/>
        <v>#DIV/0!</v>
      </c>
      <c r="N54" s="2305" t="str">
        <f t="shared" si="0"/>
        <v>增值额×税（费）率</v>
      </c>
      <c r="O54" s="2309" t="str">
        <f t="shared" si="0"/>
        <v>免征</v>
      </c>
    </row>
    <row r="55" spans="1:35" ht="24" customHeight="1">
      <c r="A55" s="3322" t="s">
        <v>1353</v>
      </c>
      <c r="B55" s="3311"/>
      <c r="C55" s="3311"/>
      <c r="D55" s="12">
        <f ca="1">IF(H55="个人住宅",0,ROUND(D45*I55,0))</f>
        <v>0</v>
      </c>
      <c r="E55" s="1252" t="s">
        <v>1354</v>
      </c>
      <c r="F55" s="2335" t="str">
        <f>IF(H55="正常",I55,"免征")</f>
        <v>免征</v>
      </c>
      <c r="G55" s="2336"/>
      <c r="H55" s="2332"/>
      <c r="I55" s="157">
        <f>'数据-取费表'!B49</f>
        <v>5.0000000000000001E-4</v>
      </c>
      <c r="J55" s="2305">
        <f>IF(H59="非个人房产","",4)</f>
        <v>4</v>
      </c>
      <c r="K55" s="3306" t="str">
        <f>IF(H59="非个人房产","——","个人所得税")</f>
        <v>个人所得税</v>
      </c>
      <c r="L55" s="3306"/>
      <c r="M55" s="2310">
        <f ca="1">D59</f>
        <v>0</v>
      </c>
      <c r="N55" s="1878" t="str">
        <f>E59</f>
        <v>差额计税</v>
      </c>
      <c r="O55" s="2311">
        <f>F59</f>
        <v>0.01</v>
      </c>
    </row>
    <row r="56" spans="1:35" ht="24.75">
      <c r="A56" s="3322" t="s">
        <v>1355</v>
      </c>
      <c r="B56" s="3311"/>
      <c r="C56" s="3311"/>
      <c r="D56" s="12" t="e">
        <f ca="1">IF(H56="个人住宅",D57,D58)</f>
        <v>#DIV/0!</v>
      </c>
      <c r="E56" s="1252" t="s">
        <v>1356</v>
      </c>
      <c r="F56" s="2335" t="str">
        <f>IF(H56="正常",F58,"免征")</f>
        <v>免征</v>
      </c>
      <c r="G56" s="2338" t="s">
        <v>1357</v>
      </c>
      <c r="H56" s="2339"/>
      <c r="I56" s="1665"/>
      <c r="J56" s="2305" t="str">
        <f>IF(项目基本情况!K6="上海银行",IF(J55="",4,J55+1),"")</f>
        <v/>
      </c>
      <c r="K56" s="3316" t="str">
        <f>IF(项目基本情况!K6="上海银行","其他处置费用","")</f>
        <v/>
      </c>
      <c r="L56" s="3323"/>
      <c r="M56" s="2307" t="str">
        <f>IF(项目基本情况!K6="上海银行",M69,"")</f>
        <v/>
      </c>
      <c r="N56" s="3316" t="str">
        <f>IF(项目基本情况!K6="上海银行","包含处置中涉及的律师、诉讼、拍卖、评估等费用","")</f>
        <v/>
      </c>
      <c r="O56" s="3317"/>
    </row>
    <row r="57" spans="1:35" ht="12.75">
      <c r="A57" s="2148" t="s">
        <v>1333</v>
      </c>
      <c r="B57" s="3307" t="s">
        <v>1358</v>
      </c>
      <c r="C57" s="3308"/>
      <c r="D57" s="1474">
        <v>0</v>
      </c>
      <c r="E57" s="316" t="s">
        <v>1335</v>
      </c>
      <c r="F57" s="294"/>
      <c r="G57" s="2336"/>
      <c r="H57" s="2340"/>
      <c r="I57" s="1665"/>
      <c r="J57" s="3306">
        <f>IF(AND(J55="",J56=""),4,IF(项目基本情况!K6="上海银行",'结果表-车位'!J56+1,'结果表-车位'!J55+1))</f>
        <v>5</v>
      </c>
      <c r="K57" s="3306" t="s">
        <v>1359</v>
      </c>
      <c r="L57" s="2312" t="s">
        <v>1360</v>
      </c>
      <c r="M57" s="2313"/>
      <c r="N57" s="2314">
        <f ca="1">SUMIF(M52:M56,"&lt;9e307")</f>
        <v>0</v>
      </c>
      <c r="O57" s="2315"/>
      <c r="P57" s="2460">
        <f ca="1">N57/M49</f>
        <v>0</v>
      </c>
    </row>
    <row r="58" spans="1:35" ht="24.75">
      <c r="A58" s="2148" t="s">
        <v>1344</v>
      </c>
      <c r="B58" s="3307" t="s">
        <v>1361</v>
      </c>
      <c r="C58" s="3305"/>
      <c r="D58" s="12" t="e">
        <f ca="1">IF(H58="转让取得",C81,C97)</f>
        <v>#DIV/0!</v>
      </c>
      <c r="E58" s="1252" t="s">
        <v>1356</v>
      </c>
      <c r="F58" s="294" t="s">
        <v>28</v>
      </c>
      <c r="G58" s="2336"/>
      <c r="H58" s="2339"/>
      <c r="I58" s="1665"/>
      <c r="J58" s="3306"/>
      <c r="K58" s="3306"/>
      <c r="L58" s="2312" t="s">
        <v>1362</v>
      </c>
      <c r="M58" s="2316"/>
      <c r="N58" s="2317" t="str">
        <f ca="1">NUMBERSTRING(INT(N57*10000),2)&amp;"元整"</f>
        <v>零元整</v>
      </c>
      <c r="O58" s="2318"/>
    </row>
    <row r="59" spans="1:35" ht="24.75" thickBot="1">
      <c r="A59" s="3318" t="s">
        <v>1363</v>
      </c>
      <c r="B59" s="3319"/>
      <c r="C59" s="3319"/>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20">
        <f>J57+1</f>
        <v>6</v>
      </c>
      <c r="K59" s="3306" t="s">
        <v>1364</v>
      </c>
      <c r="L59" s="2305" t="s">
        <v>1360</v>
      </c>
      <c r="M59" s="2319"/>
      <c r="N59" s="2320">
        <f ca="1">M49-N57</f>
        <v>33</v>
      </c>
      <c r="O59" s="2321"/>
    </row>
    <row r="60" spans="1:35" ht="12" customHeight="1">
      <c r="A60" s="1666"/>
      <c r="B60" s="646"/>
      <c r="C60" s="646"/>
      <c r="D60" s="646"/>
      <c r="E60" s="1462"/>
      <c r="F60" s="1665"/>
      <c r="G60" s="1665"/>
      <c r="H60" s="151"/>
      <c r="I60" s="121"/>
      <c r="J60" s="3321"/>
      <c r="K60" s="3306"/>
      <c r="L60" s="2312" t="s">
        <v>1362</v>
      </c>
      <c r="M60" s="2316"/>
      <c r="N60" s="2317" t="str">
        <f ca="1">NUMBERSTRING(INT(N59*10000),2)&amp;"元整"</f>
        <v>叁拾叁万元整</v>
      </c>
      <c r="O60" s="2318"/>
    </row>
    <row r="61" spans="1:35" ht="13.5" thickBot="1">
      <c r="A61" s="3334" t="s">
        <v>1365</v>
      </c>
      <c r="B61" s="3334"/>
      <c r="C61" s="3334"/>
      <c r="D61" s="3334"/>
      <c r="E61" s="3334"/>
      <c r="F61" s="1665"/>
      <c r="G61" s="1665"/>
      <c r="H61" s="151"/>
      <c r="I61" s="121"/>
      <c r="J61" s="2305">
        <f>J59+1</f>
        <v>7</v>
      </c>
      <c r="K61" s="3306" t="s">
        <v>1366</v>
      </c>
      <c r="L61" s="3306"/>
      <c r="M61" s="2322"/>
      <c r="N61" s="2323">
        <f ca="1">ROUND(N59*10000/'数据-汇总表'!E3,0)</f>
        <v>151</v>
      </c>
      <c r="O61" s="2324"/>
    </row>
    <row r="62" spans="1:35" ht="12.75">
      <c r="A62" s="3330" t="s">
        <v>1367</v>
      </c>
      <c r="B62" s="3331"/>
      <c r="C62" s="1860"/>
      <c r="D62" s="1860" t="s">
        <v>1368</v>
      </c>
      <c r="E62" s="158" t="s">
        <v>1369</v>
      </c>
      <c r="F62" s="1665"/>
      <c r="G62" s="1665"/>
      <c r="H62" s="151"/>
      <c r="I62" s="121"/>
    </row>
    <row r="63" spans="1:35" ht="12.75">
      <c r="A63" s="165" t="s">
        <v>330</v>
      </c>
      <c r="B63" s="159" t="s">
        <v>1370</v>
      </c>
      <c r="C63" s="2345">
        <f ca="1">ROUND((C64+C65)/(1+'数据-取费表'!C42),0)</f>
        <v>31</v>
      </c>
      <c r="D63" s="159"/>
      <c r="E63" s="160"/>
      <c r="F63" s="1665"/>
      <c r="G63" s="1665"/>
      <c r="H63" s="151"/>
      <c r="I63" s="121"/>
      <c r="J63" s="3335" t="s">
        <v>1371</v>
      </c>
      <c r="K63" s="1241" t="s">
        <v>1372</v>
      </c>
      <c r="L63" s="1241">
        <f ca="1">IF(M49&gt;10000,M49*0.5%,IF(AND(M49&gt;1000,M49&lt;=10000),M49*1%,IF(AND(M49&gt;100,M49&lt;=1000),M49*3%,IF(AND(M49&gt;10,M49&lt;=100),M49*5%,M49*8%))))</f>
        <v>1.6500000000000001</v>
      </c>
      <c r="M63" s="294">
        <f ca="1">ROUND(L63,1)</f>
        <v>1.7</v>
      </c>
      <c r="N63" s="2325"/>
      <c r="Z63" s="1618"/>
      <c r="AI63" s="1557"/>
    </row>
    <row r="64" spans="1:35" ht="14.25" customHeight="1">
      <c r="A64" s="161" t="s">
        <v>325</v>
      </c>
      <c r="B64" s="162" t="s">
        <v>1373</v>
      </c>
      <c r="C64" s="2346">
        <f ca="1">D45</f>
        <v>33</v>
      </c>
      <c r="D64" s="162" t="s">
        <v>26</v>
      </c>
      <c r="E64" s="164"/>
      <c r="F64" s="1665"/>
      <c r="G64" s="1665"/>
      <c r="H64" s="151"/>
      <c r="I64" s="121"/>
      <c r="J64" s="3335"/>
      <c r="K64" s="1241" t="s">
        <v>1374</v>
      </c>
      <c r="L64" s="1241">
        <f ca="1">IF(M49&gt;2000,M49*0.5%,IF(AND(M49&gt;1000,M49&lt;=2000),M49*0.6%,IF(AND(M49&gt;500,M49&lt;=1000),M49*0.7%,IF(AND(M49&gt;200,M49&lt;=500),M49*0.8%,IF(AND(M49&gt;100,M49&lt;=200),M49*0.9%,IF(AND(M49&gt;50,M49&lt;=100),M49*1%,IF(AND(M49&gt;20,M49&lt;=50),M49*1.5%,IF(AND(M49&gt;10,M49&lt;=20),M49*2%,IF(AND(M49&gt;1,M49&lt;=10),M49*2.5%)))))))))</f>
        <v>0.495</v>
      </c>
      <c r="M64" s="294">
        <f t="shared" ref="M64:M65" ca="1" si="1">ROUND(L64,1)</f>
        <v>0.5</v>
      </c>
      <c r="N64" s="2326" t="s">
        <v>1375</v>
      </c>
      <c r="Z64" s="1618"/>
      <c r="AI64" s="1557"/>
    </row>
    <row r="65" spans="1:35" ht="14.25" customHeight="1">
      <c r="A65" s="161" t="s">
        <v>326</v>
      </c>
      <c r="B65" s="162" t="s">
        <v>1376</v>
      </c>
      <c r="C65" s="2347"/>
      <c r="D65" s="162"/>
      <c r="E65" s="164"/>
      <c r="F65" s="1665"/>
      <c r="G65" s="1665"/>
      <c r="H65" s="151"/>
      <c r="I65" s="121"/>
      <c r="J65" s="3335"/>
      <c r="K65" s="1241" t="s">
        <v>1377</v>
      </c>
      <c r="L65" s="1241">
        <f ca="1">IF(M49&gt;1000,M49*0.1%,IF(AND(M49&gt;500,M49&lt;=1000),M49*0.5%,IF(AND(M49&gt;50,M49&lt;=500),M49*1%,IF(AND(M49&gt;1,M49&lt;=50),M49*1.5%))))</f>
        <v>0.495</v>
      </c>
      <c r="M65" s="294">
        <f t="shared" ca="1" si="1"/>
        <v>0.5</v>
      </c>
      <c r="N65" s="2326" t="s">
        <v>1375</v>
      </c>
      <c r="Z65" s="1618"/>
      <c r="AI65" s="1557"/>
    </row>
    <row r="66" spans="1:35" ht="14.25" customHeight="1">
      <c r="A66" s="165" t="s">
        <v>327</v>
      </c>
      <c r="B66" s="166" t="s">
        <v>1378</v>
      </c>
      <c r="C66" s="2348"/>
      <c r="D66" s="166" t="s">
        <v>26</v>
      </c>
      <c r="E66" s="1247" t="s">
        <v>663</v>
      </c>
      <c r="F66" s="1665"/>
      <c r="G66" s="1665"/>
      <c r="H66" s="151"/>
      <c r="I66" s="121"/>
      <c r="J66" s="3335"/>
      <c r="K66" s="1241" t="s">
        <v>1379</v>
      </c>
      <c r="L66" s="1241">
        <f ca="1">M49*0.5%</f>
        <v>0.16500000000000001</v>
      </c>
      <c r="M66" s="294">
        <f ca="1">IF(L66&gt;0.5,0.5,ROUND(L66,0))</f>
        <v>0</v>
      </c>
      <c r="N66" s="2326" t="s">
        <v>1380</v>
      </c>
      <c r="Z66" s="1618"/>
      <c r="AI66" s="1557"/>
    </row>
    <row r="67" spans="1:35" ht="14.25" customHeight="1">
      <c r="A67" s="165" t="s">
        <v>328</v>
      </c>
      <c r="B67" s="166" t="s">
        <v>1381</v>
      </c>
      <c r="C67" s="2349">
        <f ca="1">C63-C66</f>
        <v>31</v>
      </c>
      <c r="D67" s="162" t="s">
        <v>26</v>
      </c>
      <c r="E67" s="164"/>
      <c r="F67" s="1665"/>
      <c r="G67" s="1665"/>
      <c r="H67" s="151"/>
      <c r="I67" s="121"/>
      <c r="J67" s="3335"/>
      <c r="K67" s="1241" t="s">
        <v>1382</v>
      </c>
      <c r="L67" s="1241">
        <f ca="1">IF(M49&gt;=10000,(8.25+(M49-10000)*0.01%),IF(AND(M49&gt;=8000,M49&lt;10000),(7.85+(M49-8000)*0.02%),IF(AND(M49&gt;=5000,M49&lt;8000),(6.65+(M49-5000)*0.04%),IF(AND(M49&gt;=2000,M49&lt;5000),(4.25+(PM49-2000)*0.08%),IF(AND(M49&gt;=1000,M49&lt;2000),(2.75+(M49-1000)*0.15%),IF(AND(M49&gt;=100,M49&lt;1000),(0.5+(M49-100)*0.25%),IF(AND(M49&gt;0,M49&lt;100),M49*0.5%)))))))</f>
        <v>0.16500000000000001</v>
      </c>
      <c r="M67" s="294">
        <f ca="1">ROUND(L67*0.9,1)</f>
        <v>0.1</v>
      </c>
      <c r="N67" s="2325"/>
      <c r="Z67" s="1618"/>
      <c r="AI67" s="1557"/>
    </row>
    <row r="68" spans="1:35" ht="14.25" customHeight="1" thickBot="1">
      <c r="A68" s="168" t="s">
        <v>329</v>
      </c>
      <c r="B68" s="169" t="s">
        <v>1383</v>
      </c>
      <c r="C68" s="2350">
        <f ca="1">IF(C67&lt;=0,0,ROUND(C67*D68,0))</f>
        <v>2</v>
      </c>
      <c r="D68" s="2351">
        <f>'数据-取费表'!B41</f>
        <v>5.6000000000000001E-2</v>
      </c>
      <c r="E68" s="170"/>
      <c r="F68" s="1665"/>
      <c r="G68" s="1665"/>
      <c r="H68" s="151"/>
      <c r="I68" s="121"/>
      <c r="J68" s="3335"/>
      <c r="K68" s="1241" t="s">
        <v>1384</v>
      </c>
      <c r="L68" s="1241">
        <f ca="1">IF(M49&gt;10000,M49*0.5%,IF(AND(M49&gt;5000,M49&lt;=10000),M49*1%,IF(AND(M49&gt;1000,M49&lt;=5000),M49*2%,IF(AND(M49&gt;200,M49&lt;=1000),M49*3%,M49*5%))))</f>
        <v>1.6500000000000001</v>
      </c>
      <c r="M68" s="294">
        <f ca="1">ROUND(L68,1)</f>
        <v>1.7</v>
      </c>
      <c r="N68" s="2325"/>
      <c r="Z68" s="1618"/>
      <c r="AI68" s="1557"/>
    </row>
    <row r="69" spans="1:35" ht="16.5" customHeight="1">
      <c r="A69" s="1667"/>
      <c r="B69" s="1668"/>
      <c r="C69" s="1669"/>
      <c r="D69" s="1670"/>
      <c r="E69" s="1671"/>
      <c r="F69" s="1462"/>
      <c r="G69" s="1462"/>
      <c r="H69" s="1463"/>
      <c r="I69" s="646"/>
      <c r="J69" s="3335"/>
      <c r="K69" s="1241" t="s">
        <v>1385</v>
      </c>
      <c r="L69" s="1241"/>
      <c r="M69" s="294">
        <f ca="1">ROUND(SUM(M63:M68),0)</f>
        <v>5</v>
      </c>
      <c r="N69" s="2327">
        <f ca="1">M69/M49</f>
        <v>0.15151515151515152</v>
      </c>
      <c r="Z69" s="1618"/>
      <c r="AI69" s="1557"/>
    </row>
    <row r="70" spans="1:35" s="642" customFormat="1" ht="15" thickBot="1">
      <c r="A70" s="3328" t="s">
        <v>1386</v>
      </c>
      <c r="B70" s="3329"/>
      <c r="C70" s="3329"/>
      <c r="D70" s="3329"/>
      <c r="E70" s="3329"/>
      <c r="F70" s="3329"/>
      <c r="G70" s="3329"/>
      <c r="H70" s="3329"/>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30" t="s">
        <v>1367</v>
      </c>
      <c r="B71" s="3331"/>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31</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0</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07" t="s">
        <v>1394</v>
      </c>
      <c r="F76" s="3305"/>
      <c r="G76" s="3305"/>
      <c r="H76" s="3324"/>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0</v>
      </c>
      <c r="D78" s="2358">
        <f>'数据-取费表'!B43</f>
        <v>6.000000000000001E-3</v>
      </c>
      <c r="E78" s="3325" t="s">
        <v>1398</v>
      </c>
      <c r="F78" s="3326"/>
      <c r="G78" s="3326"/>
      <c r="H78" s="3327"/>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334</v>
      </c>
      <c r="B79" s="166" t="s">
        <v>1399</v>
      </c>
      <c r="C79" s="2349">
        <f ca="1">C72-C73</f>
        <v>31</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t="e">
        <f ca="1">ROUND(IF(C79&lt;=0,0,IF(C80&gt;=200%,C79*60%-C73*35%,IF(C80&gt;=100%,C79*50%-C73*15%,IF(C80&gt;=50%,C79*40%-C73*5%,IF(C80&lt;50%,C79*30%,0))))),0)</f>
        <v>#DIV/0!</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28" t="s">
        <v>1402</v>
      </c>
      <c r="B83" s="3329"/>
      <c r="C83" s="3329"/>
      <c r="D83" s="3329"/>
      <c r="E83" s="3329"/>
      <c r="F83" s="3329"/>
      <c r="G83" s="3329"/>
      <c r="H83" s="3329"/>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30" t="s">
        <v>1367</v>
      </c>
      <c r="B84" s="3331"/>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31</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0</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32" t="s">
        <v>2120</v>
      </c>
      <c r="H90" s="3333"/>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325" t="s">
        <v>1411</v>
      </c>
      <c r="F91" s="3326"/>
      <c r="G91" s="3326"/>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325" t="s">
        <v>1414</v>
      </c>
      <c r="F92" s="3326"/>
      <c r="G92" s="3326"/>
      <c r="H92" s="3327"/>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0</v>
      </c>
      <c r="D93" s="2358">
        <f>'数据-取费表'!B43</f>
        <v>6.000000000000001E-3</v>
      </c>
      <c r="E93" s="3325" t="s">
        <v>1398</v>
      </c>
      <c r="F93" s="3326"/>
      <c r="G93" s="3326"/>
      <c r="H93" s="3327"/>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36" t="s">
        <v>1418</v>
      </c>
      <c r="F94" s="3337"/>
      <c r="G94" s="3337"/>
      <c r="H94" s="3338"/>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334</v>
      </c>
      <c r="B95" s="166" t="s">
        <v>1399</v>
      </c>
      <c r="C95" s="2349">
        <f ca="1">ROUND(C85-C86,0)</f>
        <v>31</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t="e">
        <f ca="1">ROUND(IF(C95&lt;=0,0,IF(C96&gt;=200%,C95*60%-C86*35%,IF(C96&gt;=100%,C95*50%-C86*15%,IF(C96&gt;=50%,C95*40%-C86*5%,IF(C96&lt;50%,C95*30%,0))))),0)</f>
        <v>#DIV/0!</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1" t="s">
        <v>1420</v>
      </c>
      <c r="B100" s="3262"/>
      <c r="C100" s="3262"/>
      <c r="D100" s="3339"/>
      <c r="E100" s="3262" t="s">
        <v>1421</v>
      </c>
      <c r="F100" s="3262"/>
      <c r="G100" s="3262"/>
      <c r="H100" s="3339"/>
      <c r="I100" s="121"/>
    </row>
    <row r="101" spans="1:35" ht="18.75" customHeight="1">
      <c r="A101" s="3340" t="s">
        <v>1422</v>
      </c>
      <c r="B101" s="3341"/>
      <c r="C101" s="2366" t="str">
        <f>C4</f>
        <v>比较法-车位</v>
      </c>
      <c r="D101" s="2367" t="str">
        <f>D4</f>
        <v>收益法-车位</v>
      </c>
      <c r="E101" s="3342" t="s">
        <v>1423</v>
      </c>
      <c r="F101" s="3343"/>
      <c r="G101" s="1682" t="s">
        <v>1424</v>
      </c>
      <c r="H101" s="2376">
        <f ca="1">H118</f>
        <v>33</v>
      </c>
      <c r="I101" s="121"/>
    </row>
    <row r="102" spans="1:35" ht="18.75" customHeight="1">
      <c r="A102" s="3344" t="s">
        <v>1425</v>
      </c>
      <c r="B102" s="2365" t="s">
        <v>1424</v>
      </c>
      <c r="C102" s="2366">
        <f ca="1">IF(D32="楼面单价",ROUND(C19,0),C19)</f>
        <v>40</v>
      </c>
      <c r="D102" s="2367">
        <f ca="1">IF(D32="楼面单价",ROUND(D19,0),D19)</f>
        <v>20.2121</v>
      </c>
      <c r="E102" s="3342"/>
      <c r="F102" s="3343"/>
      <c r="G102" s="1682" t="s">
        <v>1426</v>
      </c>
      <c r="H102" s="2336">
        <f ca="1">I118</f>
        <v>6165</v>
      </c>
      <c r="I102" s="121"/>
    </row>
    <row r="103" spans="1:35" ht="42.75" customHeight="1">
      <c r="A103" s="3344"/>
      <c r="B103" s="2365" t="s">
        <v>1426</v>
      </c>
      <c r="C103" s="2368">
        <f ca="1">C20</f>
        <v>7487</v>
      </c>
      <c r="D103" s="2369">
        <f ca="1">D20</f>
        <v>3776</v>
      </c>
      <c r="E103" s="3345" t="s">
        <v>1427</v>
      </c>
      <c r="F103" s="3346"/>
      <c r="G103" s="1683" t="s">
        <v>1428</v>
      </c>
      <c r="H103" s="2376">
        <f>IF(D36="正常操作",H104+H105+H106,H105+H106)</f>
        <v>0</v>
      </c>
      <c r="I103" s="121"/>
    </row>
    <row r="104" spans="1:35" ht="18.75" customHeight="1">
      <c r="A104" s="3344" t="s">
        <v>1429</v>
      </c>
      <c r="B104" s="2370" t="s">
        <v>1424</v>
      </c>
      <c r="C104" s="2371">
        <f ca="1">H118</f>
        <v>33</v>
      </c>
      <c r="D104" s="2372"/>
      <c r="E104" s="1551" t="s">
        <v>1430</v>
      </c>
      <c r="F104" s="1544"/>
      <c r="G104" s="1683" t="s">
        <v>1428</v>
      </c>
      <c r="H104" s="2377">
        <f>IF(D36="同一抵押权人同一抵押物续贷",C36&amp;"（续贷，未扣减，详见特别提示）",C36)</f>
        <v>0</v>
      </c>
      <c r="I104" s="121"/>
    </row>
    <row r="105" spans="1:35" ht="18.75" customHeight="1" thickBot="1">
      <c r="A105" s="3352"/>
      <c r="B105" s="2373" t="s">
        <v>1426</v>
      </c>
      <c r="C105" s="2374">
        <f ca="1">I118</f>
        <v>6165</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353" t="str">
        <f>IF(项目基本情况!E8="已注销","——","3.房地产抵押价值")</f>
        <v>3.房地产抵押价值</v>
      </c>
      <c r="F107" s="3343"/>
      <c r="G107" s="1682" t="s">
        <v>1424</v>
      </c>
      <c r="H107" s="2376">
        <f ca="1">IF(E107="——","——",H101-H103)</f>
        <v>33</v>
      </c>
      <c r="I107" s="121"/>
    </row>
    <row r="108" spans="1:35" ht="18.75" customHeight="1">
      <c r="A108" s="121"/>
      <c r="B108" s="121"/>
      <c r="C108" s="121"/>
      <c r="D108" s="121"/>
      <c r="E108" s="3353"/>
      <c r="F108" s="3343"/>
      <c r="G108" s="1682" t="s">
        <v>1426</v>
      </c>
      <c r="H108" s="2336">
        <f ca="1">IF(H107=H101,H102,ROUND(H107*10000/'数据-汇总表'!E3,0))</f>
        <v>6165</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43"/>
      <c r="G109" s="1682" t="s">
        <v>1424</v>
      </c>
      <c r="H109" s="2379" t="str">
        <f>IF(E109="——","——",H101-H105-H106)</f>
        <v>——</v>
      </c>
      <c r="I109" s="121"/>
    </row>
    <row r="110" spans="1:35" ht="18.75" customHeight="1">
      <c r="A110" s="121"/>
      <c r="B110" s="121"/>
      <c r="C110" s="121"/>
      <c r="D110" s="121"/>
      <c r="E110" s="3353"/>
      <c r="F110" s="3343"/>
      <c r="G110" s="1682" t="s">
        <v>1426</v>
      </c>
      <c r="H110" s="2336"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55"/>
      <c r="G111" s="1682" t="s">
        <v>1424</v>
      </c>
      <c r="H111" s="2376" t="str">
        <f>IF(E111="——","——",N59)</f>
        <v>——</v>
      </c>
      <c r="I111" s="121"/>
    </row>
    <row r="112" spans="1:35" ht="18.75" customHeight="1" thickBot="1">
      <c r="A112" s="121"/>
      <c r="B112" s="121"/>
      <c r="C112" s="121"/>
      <c r="D112" s="121"/>
      <c r="E112" s="3356"/>
      <c r="F112" s="3357"/>
      <c r="G112" s="1685" t="s">
        <v>1426</v>
      </c>
      <c r="H112" s="2380" t="str">
        <f>IF(E111="——","——",N61)</f>
        <v>——</v>
      </c>
      <c r="I112" s="121"/>
    </row>
    <row r="113" spans="1:27" ht="18.75" customHeight="1">
      <c r="A113" s="121"/>
      <c r="B113" s="121"/>
      <c r="C113" s="121"/>
      <c r="D113" s="121"/>
      <c r="E113" s="3358" t="s">
        <v>1432</v>
      </c>
      <c r="F113" s="3358"/>
      <c r="G113" s="3358"/>
      <c r="H113" s="3358"/>
      <c r="I113" s="121"/>
    </row>
    <row r="114" spans="1:27" ht="3.75" customHeight="1">
      <c r="A114" s="646"/>
      <c r="B114" s="646"/>
      <c r="C114" s="646"/>
      <c r="D114" s="646"/>
      <c r="E114" s="1666"/>
      <c r="F114" s="1666"/>
      <c r="G114" s="1666"/>
      <c r="H114" s="1666"/>
      <c r="I114" s="646"/>
    </row>
    <row r="115" spans="1:27" ht="18.75" customHeight="1">
      <c r="A115" s="3359" t="s">
        <v>1434</v>
      </c>
      <c r="B115" s="3360"/>
      <c r="C115" s="3360"/>
      <c r="D115" s="3360"/>
      <c r="E115" s="3360"/>
      <c r="F115" s="3360"/>
      <c r="G115" s="3360"/>
      <c r="H115" s="3360"/>
      <c r="I115" s="3361"/>
    </row>
    <row r="116" spans="1:27" ht="27" customHeight="1">
      <c r="A116" s="3275" t="s">
        <v>1435</v>
      </c>
      <c r="B116" s="3347" t="s">
        <v>1436</v>
      </c>
      <c r="C116" s="3347" t="s">
        <v>1437</v>
      </c>
      <c r="D116" s="3349" t="s">
        <v>1438</v>
      </c>
      <c r="E116" s="3350"/>
      <c r="F116" s="3351" t="s">
        <v>1439</v>
      </c>
      <c r="G116" s="3351"/>
      <c r="H116" s="3275" t="s">
        <v>1440</v>
      </c>
      <c r="I116" s="3275"/>
    </row>
    <row r="117" spans="1:27" ht="18.75" customHeight="1">
      <c r="A117" s="3275"/>
      <c r="B117" s="3348"/>
      <c r="C117" s="3348"/>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53.53</v>
      </c>
      <c r="C118" s="2145">
        <f>M19</f>
        <v>0</v>
      </c>
      <c r="D118" s="2145">
        <f ca="1">ROUND(IF(D32="总价",C34,E118*B118/10000),0)</f>
        <v>10</v>
      </c>
      <c r="E118" s="2145">
        <f ca="1">ROUND(IF(C33="自定义",IF(D32="楼面单价",C34,D118*10000/B118),I118-G118),0)</f>
        <v>1868</v>
      </c>
      <c r="F118" s="2145">
        <f ca="1">ROUND(IF(D32="总价",C35,G118*B118/10000),0)</f>
        <v>23</v>
      </c>
      <c r="G118" s="2145">
        <f ca="1">ROUND(IF(D32="楼面单价",C35,F118*10000/B118),0)</f>
        <v>4297</v>
      </c>
      <c r="H118" s="2145">
        <f ca="1">ROUND(IF(D32="总价",C32,I118*B118/10000),0)</f>
        <v>33</v>
      </c>
      <c r="I118" s="2145">
        <f ca="1">ROUND(IF(D32="楼面单价",C32,H118*10000/B118),0)</f>
        <v>6165</v>
      </c>
    </row>
    <row r="119" spans="1:27" ht="18.75" customHeight="1">
      <c r="A119" s="3275" t="s">
        <v>1444</v>
      </c>
      <c r="B119" s="3275"/>
      <c r="C119" s="3275"/>
      <c r="D119" s="3362" t="str">
        <f ca="1">NUMBERSTRING(INT(D118*10000),2)&amp;"元整"</f>
        <v>壹拾万元整</v>
      </c>
      <c r="E119" s="3364"/>
      <c r="F119" s="3362" t="str">
        <f ca="1">NUMBERSTRING(INT(F118*10000),2)&amp;"元整"</f>
        <v>贰拾叁万元整</v>
      </c>
      <c r="G119" s="3364"/>
      <c r="H119" s="3362" t="str">
        <f ca="1">NUMBERSTRING(INT(H118*10000),2)&amp;"元整"</f>
        <v>叁拾叁万元整</v>
      </c>
      <c r="I119" s="3364"/>
    </row>
    <row r="120" spans="1:27" ht="18.75" customHeight="1">
      <c r="A120" s="3365" t="str">
        <f>IF(项目基本情况!B9="房地产市场价值","",MID(E103,3,LEN(E103)-2))</f>
        <v/>
      </c>
      <c r="B120" s="3366"/>
      <c r="C120" s="3367"/>
      <c r="D120" s="3365">
        <f>H103</f>
        <v>0</v>
      </c>
      <c r="E120" s="3366"/>
      <c r="F120" s="3366"/>
      <c r="G120" s="3366"/>
      <c r="H120" s="3366"/>
      <c r="I120" s="3367"/>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62" t="s">
        <v>1444</v>
      </c>
      <c r="B121" s="3363"/>
      <c r="C121" s="3364"/>
      <c r="D121" s="3362" t="str">
        <f>IF(D120=0,"零元整",NUMBERSTRING(INT(D120*10000),2)&amp;"元整")</f>
        <v>零元整</v>
      </c>
      <c r="E121" s="3363"/>
      <c r="F121" s="3363"/>
      <c r="G121" s="3363"/>
      <c r="H121" s="3363"/>
      <c r="I121" s="3364"/>
      <c r="AA121" s="684"/>
    </row>
    <row r="122" spans="1:27" ht="18.75" customHeight="1">
      <c r="A122" s="3355" t="str">
        <f>IF(项目基本情况!B9="房地产市场价值","",MID(E107,3,LEN(E107)-2))</f>
        <v/>
      </c>
      <c r="B122" s="3355"/>
      <c r="C122" s="3355"/>
      <c r="D122" s="3365">
        <f ca="1">H107</f>
        <v>33</v>
      </c>
      <c r="E122" s="3366"/>
      <c r="F122" s="3366"/>
      <c r="G122" s="3366"/>
      <c r="H122" s="3366"/>
      <c r="I122" s="3367"/>
      <c r="AA122" s="684"/>
    </row>
    <row r="123" spans="1:27" ht="18.75" customHeight="1">
      <c r="A123" s="3275" t="s">
        <v>1444</v>
      </c>
      <c r="B123" s="3275"/>
      <c r="C123" s="3275"/>
      <c r="D123" s="3362" t="str">
        <f ca="1">NUMBERSTRING(INT(D122*10000),2)&amp;"元整"</f>
        <v>叁拾叁万元整</v>
      </c>
      <c r="E123" s="3363"/>
      <c r="F123" s="3363"/>
      <c r="G123" s="3363"/>
      <c r="H123" s="3363"/>
      <c r="I123" s="3364"/>
      <c r="AA123" s="684"/>
    </row>
    <row r="124" spans="1:27" ht="18.75" customHeight="1">
      <c r="A124" s="3355" t="str">
        <f>IF(项目基本情况!B9="房地产市场价值","",MID(E109,3,LEN(E109)-2))</f>
        <v/>
      </c>
      <c r="B124" s="3355"/>
      <c r="C124" s="3355"/>
      <c r="D124" s="3365" t="str">
        <f>H109</f>
        <v>——</v>
      </c>
      <c r="E124" s="3366"/>
      <c r="F124" s="3366"/>
      <c r="G124" s="3366"/>
      <c r="H124" s="3366"/>
      <c r="I124" s="3367"/>
      <c r="AA124" s="684"/>
    </row>
    <row r="125" spans="1:27" ht="18.75" customHeight="1">
      <c r="A125" s="3275" t="s">
        <v>1444</v>
      </c>
      <c r="B125" s="3275"/>
      <c r="C125" s="3275"/>
      <c r="D125" s="3362" t="e">
        <f>NUMBERSTRING(INT(D124*10000),2)&amp;"元整"</f>
        <v>#VALUE!</v>
      </c>
      <c r="E125" s="3363"/>
      <c r="F125" s="3363"/>
      <c r="G125" s="3363"/>
      <c r="H125" s="3363"/>
      <c r="I125" s="3364"/>
      <c r="AA125" s="684"/>
    </row>
    <row r="126" spans="1:27" ht="18.75" customHeight="1">
      <c r="A126" s="3355" t="str">
        <f>IF(项目基本情况!B9="房地产市场价值","",MID(E111,3,LEN(E111)-2))</f>
        <v/>
      </c>
      <c r="B126" s="3355"/>
      <c r="C126" s="3355"/>
      <c r="D126" s="3365" t="str">
        <f>H111</f>
        <v>——</v>
      </c>
      <c r="E126" s="3366"/>
      <c r="F126" s="3366"/>
      <c r="G126" s="3366"/>
      <c r="H126" s="3366"/>
      <c r="I126" s="3367"/>
      <c r="AA126" s="684"/>
    </row>
    <row r="127" spans="1:27" ht="18.75" customHeight="1">
      <c r="A127" s="3275" t="s">
        <v>1444</v>
      </c>
      <c r="B127" s="3275"/>
      <c r="C127" s="3275"/>
      <c r="D127" s="3362" t="e">
        <f>NUMBERSTRING(INT(D126*10000),2)&amp;"元整"</f>
        <v>#VALUE!</v>
      </c>
      <c r="E127" s="3363"/>
      <c r="F127" s="3363"/>
      <c r="G127" s="3363"/>
      <c r="H127" s="3363"/>
      <c r="I127" s="3364"/>
      <c r="AA127" s="684"/>
    </row>
    <row r="128" spans="1:27" ht="21.75" customHeight="1">
      <c r="A128" s="3368" t="s">
        <v>1445</v>
      </c>
      <c r="B128" s="3368"/>
      <c r="C128" s="3368"/>
      <c r="D128" s="3368"/>
      <c r="E128" s="3368"/>
      <c r="F128" s="3368"/>
      <c r="G128" s="3368"/>
      <c r="H128" s="3368"/>
      <c r="I128" s="3368"/>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10" stopIfTrue="1" operator="equal">
      <formula>25</formula>
    </cfRule>
  </conditionalFormatting>
  <conditionalFormatting sqref="C8:D13">
    <cfRule type="cellIs" dxfId="114" priority="8" stopIfTrue="1" operator="equal">
      <formula>15</formula>
    </cfRule>
  </conditionalFormatting>
  <conditionalFormatting sqref="C14:D16">
    <cfRule type="cellIs" dxfId="113" priority="6"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7" zoomScaleNormal="60" zoomScaleSheetLayoutView="100" workbookViewId="0">
      <selection activeCell="C91" sqref="C91:F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21</v>
      </c>
      <c r="C1" s="1137" t="s">
        <v>1654</v>
      </c>
      <c r="D1" s="1138" t="s">
        <v>3464</v>
      </c>
      <c r="E1" s="3126" t="s">
        <v>3473</v>
      </c>
      <c r="F1" s="1730" t="s">
        <v>3474</v>
      </c>
      <c r="G1" s="1140" t="s">
        <v>1759</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IF(B37="元/平方米",ROUND(C39*D3/10000,0),ROUND(F3*C39/10000,0)),IF(B37="元/平方米",ROUND(C39*D3/10000,0),ROUND(F3*C39/10000,0))-D2),IF(E1="单套模式",IF(C2="——",IF(B37="元/平方米",ROUND(C39*D3/10000,0),ROUND(F3*C39/10000,0)),IF(B37="元/平方米",ROUND(C39*D3/10000,0),ROUND(F3*C39/10000,0))-D2)))</f>
        <v>40</v>
      </c>
      <c r="C2" s="1732" t="s">
        <v>43</v>
      </c>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1082"/>
      <c r="Q2" s="341"/>
      <c r="R2" s="341"/>
      <c r="S2" s="341"/>
      <c r="T2" s="341"/>
      <c r="U2" s="341"/>
      <c r="V2" s="341"/>
      <c r="W2" s="341"/>
      <c r="X2" s="341"/>
      <c r="Y2" s="341"/>
      <c r="Z2" s="341"/>
      <c r="AA2" s="341"/>
      <c r="AB2" s="341"/>
      <c r="AC2" s="663"/>
    </row>
    <row r="3" spans="1:29" s="342" customFormat="1" ht="28.5" customHeight="1" thickBot="1">
      <c r="A3" s="195" t="s">
        <v>1456</v>
      </c>
      <c r="B3" s="3520">
        <f>IF(AND(C2="——",B37="元/平方米"),C39,ROUND(C39/D3,0))</f>
        <v>7487</v>
      </c>
      <c r="C3" s="344" t="s">
        <v>1760</v>
      </c>
      <c r="D3" s="343">
        <f>SUMIF('数据-汇总表'!$C19:$C33,D1,'数据-汇总表'!$E19:$E33)</f>
        <v>53.53</v>
      </c>
      <c r="E3" s="344" t="s">
        <v>1824</v>
      </c>
      <c r="F3" s="343">
        <f>SUMIF('数据-取费表'!A5:A15,D1,'数据-取费表'!AH5:AH15)</f>
        <v>1</v>
      </c>
      <c r="G3" s="852"/>
      <c r="H3" s="852"/>
      <c r="I3" s="852"/>
      <c r="J3" s="852"/>
      <c r="K3" s="854"/>
      <c r="L3" s="2499"/>
      <c r="M3" s="2500">
        <f>IF(C2="——",IF(B37="元/平方米",ROUND(C39*D3/10000,0),ROUND(F3*C39/10000,0)),IF(B37="元/平方米",ROUND(C39*D3/10000,0),ROUND(F3*C39/10000,0))-D2)</f>
        <v>40</v>
      </c>
      <c r="N3" s="2500"/>
      <c r="O3" s="2500"/>
      <c r="P3" s="1082"/>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29" t="s">
        <v>1767</v>
      </c>
      <c r="Q4" s="3430"/>
      <c r="R4" s="3427" t="s">
        <v>1763</v>
      </c>
      <c r="S4" s="3428"/>
      <c r="T4" s="3427" t="s">
        <v>1764</v>
      </c>
      <c r="U4" s="3428"/>
      <c r="V4" s="3404" t="s">
        <v>1765</v>
      </c>
      <c r="W4" s="3404"/>
      <c r="X4" s="1261"/>
      <c r="Y4" s="3427" t="s">
        <v>1767</v>
      </c>
      <c r="Z4" s="3428"/>
      <c r="AA4" s="3426" t="s">
        <v>1763</v>
      </c>
      <c r="AB4" s="3370" t="s">
        <v>1764</v>
      </c>
      <c r="AC4" s="3426" t="s">
        <v>1765</v>
      </c>
    </row>
    <row r="5" spans="1:29" ht="15.75" thickBot="1">
      <c r="A5" s="348"/>
      <c r="B5" s="349"/>
      <c r="C5" s="3380" t="s">
        <v>1665</v>
      </c>
      <c r="D5" s="3381"/>
      <c r="E5" s="3378" t="s">
        <v>3501</v>
      </c>
      <c r="F5" s="3379"/>
      <c r="G5" s="3384" t="s">
        <v>3502</v>
      </c>
      <c r="H5" s="3381"/>
      <c r="I5" s="3384" t="s">
        <v>3503</v>
      </c>
      <c r="J5" s="3381"/>
      <c r="K5" s="537"/>
      <c r="L5" s="2482"/>
      <c r="M5" s="2483"/>
      <c r="N5" s="2483"/>
      <c r="O5" s="2483"/>
      <c r="P5" s="3431"/>
      <c r="Q5" s="3398"/>
      <c r="R5" s="3376"/>
      <c r="S5" s="3377"/>
      <c r="T5" s="3376"/>
      <c r="U5" s="3377"/>
      <c r="V5" s="3404"/>
      <c r="W5" s="3404"/>
      <c r="X5" s="1261"/>
      <c r="Y5" s="3376"/>
      <c r="Z5" s="3377"/>
      <c r="AA5" s="3370"/>
      <c r="AB5" s="3370"/>
      <c r="AC5" s="3370"/>
    </row>
    <row r="6" spans="1:29" ht="15.75" hidden="1" thickBot="1">
      <c r="A6" s="350"/>
      <c r="B6" s="351"/>
      <c r="C6" s="3382" t="s">
        <v>1669</v>
      </c>
      <c r="D6" s="3383"/>
      <c r="E6" s="3385" t="s">
        <v>1669</v>
      </c>
      <c r="F6" s="3386"/>
      <c r="G6" s="3382" t="s">
        <v>1669</v>
      </c>
      <c r="H6" s="3383"/>
      <c r="I6" s="3382" t="s">
        <v>1669</v>
      </c>
      <c r="J6" s="3383"/>
      <c r="K6" s="537" t="s">
        <v>1670</v>
      </c>
      <c r="L6" s="2482"/>
      <c r="M6" s="2483"/>
      <c r="N6" s="2483"/>
      <c r="O6" s="2483"/>
      <c r="P6" s="3432"/>
      <c r="Q6" s="3400"/>
      <c r="R6" s="3376"/>
      <c r="S6" s="3377"/>
      <c r="T6" s="3401"/>
      <c r="U6" s="3402"/>
      <c r="V6" s="3404"/>
      <c r="W6" s="3404"/>
      <c r="X6" s="1261"/>
      <c r="Y6" s="3401"/>
      <c r="Z6" s="3402"/>
      <c r="AA6" s="3371"/>
      <c r="AB6" s="3371"/>
      <c r="AC6" s="3371"/>
    </row>
    <row r="7" spans="1:29" s="102" customFormat="1" ht="15.75" thickBot="1">
      <c r="A7" s="352" t="s">
        <v>1671</v>
      </c>
      <c r="B7" s="353"/>
      <c r="C7" s="354">
        <f>'数据-取费表'!B2</f>
        <v>45943</v>
      </c>
      <c r="D7" s="355">
        <v>100</v>
      </c>
      <c r="E7" s="356">
        <f>C7</f>
        <v>45943</v>
      </c>
      <c r="F7" s="357">
        <f>SUMIF(48:48,YEAR(E7)&amp;"-"&amp;MONTH(E7),49:49)</f>
        <v>100</v>
      </c>
      <c r="G7" s="356">
        <f>E7</f>
        <v>45943</v>
      </c>
      <c r="H7" s="355">
        <f>SUMIF(48:48,YEAR(G7)&amp;"-"&amp;MONTH(G7),49:49)</f>
        <v>100</v>
      </c>
      <c r="I7" s="356">
        <f>G7</f>
        <v>45943</v>
      </c>
      <c r="J7" s="355">
        <f>SUMIF(48:48,YEAR(I7)&amp;"-"&amp;MONTH(I7),49:49)</f>
        <v>100</v>
      </c>
      <c r="K7" s="38"/>
      <c r="L7" s="2484"/>
      <c r="M7" s="2435"/>
      <c r="N7" s="2435"/>
      <c r="O7" s="2435"/>
      <c r="P7" s="3372" t="s">
        <v>1672</v>
      </c>
      <c r="Q7" s="3406"/>
      <c r="R7" s="664" t="s">
        <v>14</v>
      </c>
      <c r="S7" s="665">
        <f t="shared" ref="S7:S14" si="0">F7</f>
        <v>100</v>
      </c>
      <c r="T7" s="664" t="s">
        <v>14</v>
      </c>
      <c r="U7" s="665">
        <f t="shared" ref="U7:U14" si="1">H7</f>
        <v>100</v>
      </c>
      <c r="V7" s="664" t="s">
        <v>14</v>
      </c>
      <c r="W7" s="665">
        <f t="shared" ref="W7:W14" si="2">J7</f>
        <v>100</v>
      </c>
      <c r="X7" s="666"/>
      <c r="Y7" s="3372" t="s">
        <v>1672</v>
      </c>
      <c r="Z7" s="3373"/>
      <c r="AA7" s="50">
        <f>D7/F7</f>
        <v>1</v>
      </c>
      <c r="AB7" s="50">
        <f>D7/H7</f>
        <v>1</v>
      </c>
      <c r="AC7" s="50">
        <f>D7/J7</f>
        <v>1</v>
      </c>
    </row>
    <row r="8" spans="1:29" s="102" customFormat="1" ht="15.75" thickBot="1">
      <c r="A8" s="352" t="s">
        <v>1673</v>
      </c>
      <c r="B8" s="353"/>
      <c r="C8" s="358" t="s">
        <v>3476</v>
      </c>
      <c r="D8" s="355">
        <v>100</v>
      </c>
      <c r="E8" s="358" t="s">
        <v>3524</v>
      </c>
      <c r="F8" s="357">
        <f>SUMIF(51:51,E8,52:52)-SUMIF(51:51,C8,52:52)+100</f>
        <v>103</v>
      </c>
      <c r="G8" s="358" t="s">
        <v>3524</v>
      </c>
      <c r="H8" s="355">
        <f>SUMIF(51:51,G8,52:52)-SUMIF(51:51,C8,52:52)+100</f>
        <v>103</v>
      </c>
      <c r="I8" s="358" t="s">
        <v>3524</v>
      </c>
      <c r="J8" s="355">
        <f>SUMIF(51:51,I8,52:52)-SUMIF(51:51,C8,52:52)+100</f>
        <v>103</v>
      </c>
      <c r="K8" s="38"/>
      <c r="L8" s="2484"/>
      <c r="M8" s="2435"/>
      <c r="N8" s="2435"/>
      <c r="O8" s="2435"/>
      <c r="P8" s="3372" t="s">
        <v>1675</v>
      </c>
      <c r="Q8" s="3373"/>
      <c r="R8" s="664" t="s">
        <v>14</v>
      </c>
      <c r="S8" s="665">
        <f t="shared" si="0"/>
        <v>103</v>
      </c>
      <c r="T8" s="664" t="s">
        <v>14</v>
      </c>
      <c r="U8" s="665">
        <f t="shared" si="1"/>
        <v>103</v>
      </c>
      <c r="V8" s="664" t="s">
        <v>14</v>
      </c>
      <c r="W8" s="665">
        <f t="shared" si="2"/>
        <v>103</v>
      </c>
      <c r="X8" s="666"/>
      <c r="Y8" s="3372" t="s">
        <v>1675</v>
      </c>
      <c r="Z8" s="3373"/>
      <c r="AA8" s="50">
        <f t="shared" ref="AA8:AA36" si="3">D8/F8</f>
        <v>0.970873786407767</v>
      </c>
      <c r="AB8" s="50">
        <f t="shared" ref="AB8:AB36" si="4">D8/H8</f>
        <v>0.970873786407767</v>
      </c>
      <c r="AC8" s="50">
        <f t="shared" ref="AC8:AC36" si="5">D8/J8</f>
        <v>0.970873786407767</v>
      </c>
    </row>
    <row r="9" spans="1:29" s="102" customFormat="1">
      <c r="A9" s="57" t="s">
        <v>1676</v>
      </c>
      <c r="B9" s="564" t="s">
        <v>1677</v>
      </c>
      <c r="C9" s="3167" t="s">
        <v>3499</v>
      </c>
      <c r="D9" s="59">
        <v>100</v>
      </c>
      <c r="E9" s="362" t="s">
        <v>3445</v>
      </c>
      <c r="F9" s="59">
        <f>SUMIF(53:53,E9,54:54)-SUMIF(53:53,C9,54:54)+100</f>
        <v>100</v>
      </c>
      <c r="G9" s="361" t="s">
        <v>3445</v>
      </c>
      <c r="H9" s="59">
        <f>SUMIF(53:53,G9,54:54)-SUMIF(53:53,C9,54:54)+100</f>
        <v>100</v>
      </c>
      <c r="I9" s="361" t="s">
        <v>3445</v>
      </c>
      <c r="J9" s="59">
        <f>SUMIF(53:53,I9,54:54)-SUMIF(53:53,C9,54:54)+100</f>
        <v>100</v>
      </c>
      <c r="K9" s="38"/>
      <c r="L9" s="2484"/>
      <c r="M9" s="2435"/>
      <c r="N9" s="2435"/>
      <c r="O9" s="2435"/>
      <c r="P9" s="3416" t="s">
        <v>1678</v>
      </c>
      <c r="Q9" s="530" t="str">
        <f t="shared" ref="Q9:Q14" si="6">B9</f>
        <v>用途</v>
      </c>
      <c r="R9" s="664" t="s">
        <v>14</v>
      </c>
      <c r="S9" s="665">
        <f t="shared" si="0"/>
        <v>100</v>
      </c>
      <c r="T9" s="664" t="s">
        <v>14</v>
      </c>
      <c r="U9" s="665">
        <f t="shared" si="1"/>
        <v>100</v>
      </c>
      <c r="V9" s="664" t="s">
        <v>14</v>
      </c>
      <c r="W9" s="665">
        <f t="shared" si="2"/>
        <v>100</v>
      </c>
      <c r="X9" s="666"/>
      <c r="Y9" s="3276" t="s">
        <v>1679</v>
      </c>
      <c r="Z9" s="50" t="str">
        <f t="shared" ref="Z9:Z14" si="7">Q9</f>
        <v>用途</v>
      </c>
      <c r="AA9" s="50">
        <f t="shared" si="3"/>
        <v>1</v>
      </c>
      <c r="AB9" s="50">
        <f t="shared" si="4"/>
        <v>1</v>
      </c>
      <c r="AC9" s="50">
        <f t="shared" si="5"/>
        <v>1</v>
      </c>
    </row>
    <row r="10" spans="1:29" s="366" customFormat="1" ht="27.75" thickBot="1">
      <c r="A10" s="565"/>
      <c r="B10" s="566" t="s">
        <v>1680</v>
      </c>
      <c r="C10" s="3127" t="s">
        <v>3489</v>
      </c>
      <c r="D10" s="119">
        <v>100</v>
      </c>
      <c r="E10" s="3127" t="s">
        <v>3489</v>
      </c>
      <c r="F10" s="119">
        <f>SUMIF(55:55,E10,56:56)-SUMIF(55:55,C10,56:56)+100</f>
        <v>100</v>
      </c>
      <c r="G10" s="3127" t="s">
        <v>3490</v>
      </c>
      <c r="H10" s="119">
        <f>SUMIF(55:55,G10,56:56)-SUMIF(55:55,C10,56:56)+100</f>
        <v>102</v>
      </c>
      <c r="I10" s="3127" t="s">
        <v>3490</v>
      </c>
      <c r="J10" s="119">
        <f>SUMIF(55:55,I10,56:56)-SUMIF(55:55,C10,56:56)+100</f>
        <v>102</v>
      </c>
      <c r="K10" s="38"/>
      <c r="L10" s="2485"/>
      <c r="M10" s="2486"/>
      <c r="N10" s="2486"/>
      <c r="O10" s="2486"/>
      <c r="P10" s="3416"/>
      <c r="Q10" s="530" t="str">
        <f t="shared" si="6"/>
        <v>土地使用年限（年）</v>
      </c>
      <c r="R10" s="664" t="s">
        <v>14</v>
      </c>
      <c r="S10" s="665">
        <f t="shared" si="0"/>
        <v>100</v>
      </c>
      <c r="T10" s="664" t="s">
        <v>14</v>
      </c>
      <c r="U10" s="665">
        <f t="shared" si="1"/>
        <v>102</v>
      </c>
      <c r="V10" s="664" t="s">
        <v>14</v>
      </c>
      <c r="W10" s="665">
        <f t="shared" si="2"/>
        <v>102</v>
      </c>
      <c r="X10" s="666"/>
      <c r="Y10" s="3276"/>
      <c r="Z10" s="50" t="str">
        <f t="shared" si="7"/>
        <v>土地使用年限（年）</v>
      </c>
      <c r="AA10" s="50">
        <f t="shared" si="3"/>
        <v>1</v>
      </c>
      <c r="AB10" s="50">
        <f t="shared" si="4"/>
        <v>0.98039215686274506</v>
      </c>
      <c r="AC10" s="50">
        <f t="shared" si="5"/>
        <v>0.98039215686274506</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16"/>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16"/>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16"/>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
      <c r="A14" s="345" t="s">
        <v>1682</v>
      </c>
      <c r="B14" s="554" t="s">
        <v>1825</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v>3</v>
      </c>
      <c r="L14" s="2488"/>
      <c r="M14" s="2483"/>
      <c r="N14" s="2483"/>
      <c r="O14" s="2483"/>
      <c r="P14" s="3409" t="s">
        <v>1683</v>
      </c>
      <c r="Q14" s="1259" t="str">
        <f t="shared" si="6"/>
        <v>交通便捷度</v>
      </c>
      <c r="R14" s="667" t="s">
        <v>14</v>
      </c>
      <c r="S14" s="668">
        <f t="shared" si="0"/>
        <v>100</v>
      </c>
      <c r="T14" s="667" t="s">
        <v>14</v>
      </c>
      <c r="U14" s="668">
        <f t="shared" si="1"/>
        <v>100</v>
      </c>
      <c r="V14" s="667" t="s">
        <v>14</v>
      </c>
      <c r="W14" s="668">
        <f t="shared" si="2"/>
        <v>100</v>
      </c>
      <c r="X14" s="1261"/>
      <c r="Y14" s="3409" t="s">
        <v>1683</v>
      </c>
      <c r="Z14" s="1260" t="str">
        <f t="shared" si="7"/>
        <v>交通便捷度</v>
      </c>
      <c r="AA14" s="1260">
        <f t="shared" si="3"/>
        <v>1</v>
      </c>
      <c r="AB14" s="1260">
        <f t="shared" si="4"/>
        <v>1</v>
      </c>
      <c r="AC14" s="1260">
        <f t="shared" si="5"/>
        <v>1</v>
      </c>
    </row>
    <row r="15" spans="1:29" ht="15">
      <c r="A15" s="348"/>
      <c r="B15" s="571"/>
      <c r="C15" s="386" t="s">
        <v>3461</v>
      </c>
      <c r="D15" s="387"/>
      <c r="E15" s="386" t="s">
        <v>3461</v>
      </c>
      <c r="F15" s="388"/>
      <c r="G15" s="386" t="s">
        <v>3461</v>
      </c>
      <c r="H15" s="389"/>
      <c r="I15" s="386" t="s">
        <v>3461</v>
      </c>
      <c r="J15" s="387"/>
      <c r="K15" s="541"/>
      <c r="L15" s="2488"/>
      <c r="M15" s="2483"/>
      <c r="N15" s="2483"/>
      <c r="O15" s="2483"/>
      <c r="P15" s="3410"/>
      <c r="Q15" s="1259"/>
      <c r="R15" s="667"/>
      <c r="S15" s="668"/>
      <c r="T15" s="667"/>
      <c r="U15" s="668"/>
      <c r="V15" s="667"/>
      <c r="W15" s="668"/>
      <c r="X15" s="1261"/>
      <c r="Y15" s="3410"/>
      <c r="Z15" s="1260"/>
      <c r="AA15" s="1260">
        <v>1</v>
      </c>
      <c r="AB15" s="1260">
        <v>1</v>
      </c>
      <c r="AC15" s="1260">
        <v>1</v>
      </c>
    </row>
    <row r="16" spans="1:29" ht="15">
      <c r="A16" s="348"/>
      <c r="B16" s="556" t="s">
        <v>1804</v>
      </c>
      <c r="C16" s="1749">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40">
        <v>3</v>
      </c>
      <c r="L16" s="2488"/>
      <c r="M16" s="2483"/>
      <c r="N16" s="2483"/>
      <c r="O16" s="2483"/>
      <c r="P16" s="3410"/>
      <c r="Q16" s="1259" t="str">
        <f>B16</f>
        <v>公共配套设施</v>
      </c>
      <c r="R16" s="667" t="s">
        <v>14</v>
      </c>
      <c r="S16" s="668">
        <f>F16</f>
        <v>100</v>
      </c>
      <c r="T16" s="667" t="s">
        <v>14</v>
      </c>
      <c r="U16" s="668">
        <f>H16</f>
        <v>100</v>
      </c>
      <c r="V16" s="667" t="s">
        <v>14</v>
      </c>
      <c r="W16" s="668">
        <f>J16</f>
        <v>100</v>
      </c>
      <c r="X16" s="1261"/>
      <c r="Y16" s="3410"/>
      <c r="Z16" s="1260" t="str">
        <f>Q16</f>
        <v>公共配套设施</v>
      </c>
      <c r="AA16" s="1260">
        <f t="shared" si="3"/>
        <v>1</v>
      </c>
      <c r="AB16" s="1260">
        <f t="shared" si="4"/>
        <v>1</v>
      </c>
      <c r="AC16" s="1260">
        <f t="shared" si="5"/>
        <v>1</v>
      </c>
    </row>
    <row r="17" spans="1:29" ht="15">
      <c r="A17" s="348"/>
      <c r="B17" s="401"/>
      <c r="C17" s="1750" t="s">
        <v>3461</v>
      </c>
      <c r="D17" s="387"/>
      <c r="E17" s="386" t="s">
        <v>3461</v>
      </c>
      <c r="F17" s="388"/>
      <c r="G17" s="386" t="s">
        <v>3461</v>
      </c>
      <c r="H17" s="387"/>
      <c r="I17" s="386" t="s">
        <v>3461</v>
      </c>
      <c r="J17" s="387"/>
      <c r="K17" s="541"/>
      <c r="L17" s="2488"/>
      <c r="M17" s="2483"/>
      <c r="N17" s="2483"/>
      <c r="O17" s="2483"/>
      <c r="P17" s="3410"/>
      <c r="Q17" s="1259"/>
      <c r="R17" s="667"/>
      <c r="S17" s="668"/>
      <c r="T17" s="667"/>
      <c r="U17" s="668"/>
      <c r="V17" s="667"/>
      <c r="W17" s="668"/>
      <c r="X17" s="1261"/>
      <c r="Y17" s="3410"/>
      <c r="Z17" s="1260"/>
      <c r="AA17" s="1260">
        <v>1</v>
      </c>
      <c r="AB17" s="1260">
        <v>1</v>
      </c>
      <c r="AC17" s="1260">
        <v>1</v>
      </c>
    </row>
    <row r="18" spans="1:29" ht="15">
      <c r="A18" s="348"/>
      <c r="B18" s="557" t="s">
        <v>1805</v>
      </c>
      <c r="C18" s="1749">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88"/>
      <c r="M18" s="2483"/>
      <c r="N18" s="2483"/>
      <c r="O18" s="2483"/>
      <c r="P18" s="3410"/>
      <c r="Q18" s="1259" t="str">
        <f>B18</f>
        <v>基础设施水平</v>
      </c>
      <c r="R18" s="667" t="s">
        <v>14</v>
      </c>
      <c r="S18" s="668">
        <f>F18</f>
        <v>100</v>
      </c>
      <c r="T18" s="667" t="s">
        <v>14</v>
      </c>
      <c r="U18" s="668">
        <f>H18</f>
        <v>100</v>
      </c>
      <c r="V18" s="667" t="s">
        <v>14</v>
      </c>
      <c r="W18" s="668">
        <f>J18</f>
        <v>100</v>
      </c>
      <c r="X18" s="1261"/>
      <c r="Y18" s="3410"/>
      <c r="Z18" s="1260" t="str">
        <f>Q18</f>
        <v>基础设施水平</v>
      </c>
      <c r="AA18" s="1260">
        <f t="shared" ref="AA18" si="8">D18/F18</f>
        <v>1</v>
      </c>
      <c r="AB18" s="1260">
        <f t="shared" ref="AB18" si="9">D18/H18</f>
        <v>1</v>
      </c>
      <c r="AC18" s="1260">
        <f t="shared" ref="AC18" si="10">D18/J18</f>
        <v>1</v>
      </c>
    </row>
    <row r="19" spans="1:29" ht="15">
      <c r="A19" s="348"/>
      <c r="B19" s="557"/>
      <c r="C19" s="1750" t="s">
        <v>3478</v>
      </c>
      <c r="D19" s="389"/>
      <c r="E19" s="1750" t="s">
        <v>3478</v>
      </c>
      <c r="F19" s="392"/>
      <c r="G19" s="1750" t="s">
        <v>3478</v>
      </c>
      <c r="H19" s="387"/>
      <c r="I19" s="1750" t="s">
        <v>3478</v>
      </c>
      <c r="J19" s="387"/>
      <c r="K19" s="1060"/>
      <c r="L19" s="2488"/>
      <c r="M19" s="2483"/>
      <c r="N19" s="2483"/>
      <c r="O19" s="2483"/>
      <c r="P19" s="3410"/>
      <c r="Q19" s="1259"/>
      <c r="R19" s="667"/>
      <c r="S19" s="668"/>
      <c r="T19" s="667"/>
      <c r="U19" s="668"/>
      <c r="V19" s="667"/>
      <c r="W19" s="668"/>
      <c r="X19" s="1261"/>
      <c r="Y19" s="3410"/>
      <c r="Z19" s="1260"/>
      <c r="AA19" s="1260">
        <v>1</v>
      </c>
      <c r="AB19" s="1260">
        <v>1</v>
      </c>
      <c r="AC19" s="1260">
        <v>1</v>
      </c>
    </row>
    <row r="20" spans="1:29" ht="15">
      <c r="A20" s="348"/>
      <c r="B20" s="556" t="s">
        <v>1826</v>
      </c>
      <c r="C20" s="1749">
        <f>IF(B1="工业",估价对象房地状况!G7,估价对象房地状况!C9)</f>
        <v>0</v>
      </c>
      <c r="D20" s="394">
        <v>100</v>
      </c>
      <c r="E20" s="396"/>
      <c r="F20" s="397">
        <f>SUMIF(69:69,E21,70:70)-SUMIF(69:69,C21,70:70)+100</f>
        <v>100</v>
      </c>
      <c r="G20" s="396"/>
      <c r="H20" s="389">
        <f>SUMIF(69:69,G21,70:70)-SUMIF(69:69,C21,70:70)+100</f>
        <v>97</v>
      </c>
      <c r="I20" s="396"/>
      <c r="J20" s="389">
        <f>SUMIF(69:69,I21,70:70)-SUMIF(69:69,C21,70:70)+100</f>
        <v>97</v>
      </c>
      <c r="K20" s="540">
        <v>3</v>
      </c>
      <c r="L20" s="2488"/>
      <c r="M20" s="2483"/>
      <c r="N20" s="2483"/>
      <c r="O20" s="2483"/>
      <c r="P20" s="3410"/>
      <c r="Q20" s="1259" t="str">
        <f>B20</f>
        <v>自然及人文环境</v>
      </c>
      <c r="R20" s="667" t="s">
        <v>14</v>
      </c>
      <c r="S20" s="668">
        <f>F20</f>
        <v>100</v>
      </c>
      <c r="T20" s="667" t="s">
        <v>14</v>
      </c>
      <c r="U20" s="668">
        <f>H20</f>
        <v>97</v>
      </c>
      <c r="V20" s="667" t="s">
        <v>14</v>
      </c>
      <c r="W20" s="668">
        <f>J20</f>
        <v>97</v>
      </c>
      <c r="X20" s="1261"/>
      <c r="Y20" s="3410"/>
      <c r="Z20" s="1260" t="str">
        <f>Q20</f>
        <v>自然及人文环境</v>
      </c>
      <c r="AA20" s="1260">
        <f t="shared" si="3"/>
        <v>1</v>
      </c>
      <c r="AB20" s="1260">
        <f t="shared" si="4"/>
        <v>1.0309278350515463</v>
      </c>
      <c r="AC20" s="1260">
        <f t="shared" si="5"/>
        <v>1.0309278350515463</v>
      </c>
    </row>
    <row r="21" spans="1:29" ht="15.75" thickBot="1">
      <c r="A21" s="348"/>
      <c r="B21" s="401"/>
      <c r="C21" s="386" t="s">
        <v>3461</v>
      </c>
      <c r="D21" s="387"/>
      <c r="E21" s="386" t="s">
        <v>3461</v>
      </c>
      <c r="F21" s="388"/>
      <c r="G21" s="386" t="s">
        <v>3463</v>
      </c>
      <c r="H21" s="387"/>
      <c r="I21" s="386" t="s">
        <v>3463</v>
      </c>
      <c r="J21" s="387"/>
      <c r="K21" s="541"/>
      <c r="L21" s="2488"/>
      <c r="M21" s="2483"/>
      <c r="N21" s="2483"/>
      <c r="O21" s="2483"/>
      <c r="P21" s="3410"/>
      <c r="Q21" s="1259"/>
      <c r="R21" s="667"/>
      <c r="S21" s="668"/>
      <c r="T21" s="667"/>
      <c r="U21" s="668"/>
      <c r="V21" s="667"/>
      <c r="W21" s="668"/>
      <c r="X21" s="1261"/>
      <c r="Y21" s="3410"/>
      <c r="Z21" s="1260"/>
      <c r="AA21" s="1260">
        <v>1</v>
      </c>
      <c r="AB21" s="1260">
        <v>1</v>
      </c>
      <c r="AC21" s="1260">
        <v>1</v>
      </c>
    </row>
    <row r="22" spans="1:29" ht="15" hidden="1">
      <c r="A22" s="348"/>
      <c r="B22" s="556" t="s">
        <v>1827</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10"/>
      <c r="Q22" s="1259" t="str">
        <f>B22</f>
        <v>楼层</v>
      </c>
      <c r="R22" s="667" t="s">
        <v>14</v>
      </c>
      <c r="S22" s="668">
        <f>F22</f>
        <v>100</v>
      </c>
      <c r="T22" s="667" t="s">
        <v>14</v>
      </c>
      <c r="U22" s="668">
        <f>H22</f>
        <v>100</v>
      </c>
      <c r="V22" s="667" t="s">
        <v>14</v>
      </c>
      <c r="W22" s="668">
        <f>J22</f>
        <v>100</v>
      </c>
      <c r="X22" s="1261"/>
      <c r="Y22" s="3410"/>
      <c r="Z22" s="1260" t="str">
        <f>Q22</f>
        <v>楼层</v>
      </c>
      <c r="AA22" s="1260">
        <f t="shared" si="3"/>
        <v>1</v>
      </c>
      <c r="AB22" s="1260">
        <f t="shared" si="4"/>
        <v>1</v>
      </c>
      <c r="AC22" s="1260">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10"/>
      <c r="Q23" s="1259">
        <f>B23</f>
        <v>111</v>
      </c>
      <c r="R23" s="667" t="s">
        <v>14</v>
      </c>
      <c r="S23" s="668">
        <f>F23</f>
        <v>100</v>
      </c>
      <c r="T23" s="667" t="s">
        <v>14</v>
      </c>
      <c r="U23" s="668">
        <f>H23</f>
        <v>100</v>
      </c>
      <c r="V23" s="667" t="s">
        <v>14</v>
      </c>
      <c r="W23" s="668">
        <f>J23</f>
        <v>100</v>
      </c>
      <c r="X23" s="1261"/>
      <c r="Y23" s="3410"/>
      <c r="Z23" s="1260">
        <f>Q23</f>
        <v>111</v>
      </c>
      <c r="AA23" s="1260">
        <f t="shared" si="3"/>
        <v>1</v>
      </c>
      <c r="AB23" s="1260">
        <f t="shared" si="4"/>
        <v>1</v>
      </c>
      <c r="AC23" s="1260">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10"/>
      <c r="Q24" s="1259">
        <f t="shared" ref="Q24:Q36" si="11">B24</f>
        <v>111</v>
      </c>
      <c r="R24" s="667" t="s">
        <v>14</v>
      </c>
      <c r="S24" s="668">
        <f>F24</f>
        <v>100</v>
      </c>
      <c r="T24" s="667" t="s">
        <v>14</v>
      </c>
      <c r="U24" s="668">
        <f>H24</f>
        <v>100</v>
      </c>
      <c r="V24" s="667" t="s">
        <v>14</v>
      </c>
      <c r="W24" s="668">
        <f>J24</f>
        <v>100</v>
      </c>
      <c r="X24" s="1261"/>
      <c r="Y24" s="3410"/>
      <c r="Z24" s="1260">
        <f>Q24</f>
        <v>111</v>
      </c>
      <c r="AA24" s="1260">
        <f t="shared" si="3"/>
        <v>1</v>
      </c>
      <c r="AB24" s="1260">
        <f t="shared" si="4"/>
        <v>1</v>
      </c>
      <c r="AC24" s="1260">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10"/>
      <c r="Q25" s="530">
        <f t="shared" si="11"/>
        <v>111</v>
      </c>
      <c r="R25" s="664" t="s">
        <v>14</v>
      </c>
      <c r="S25" s="665">
        <f>F25</f>
        <v>100</v>
      </c>
      <c r="T25" s="664" t="s">
        <v>14</v>
      </c>
      <c r="U25" s="665">
        <f>H25</f>
        <v>100</v>
      </c>
      <c r="V25" s="664" t="s">
        <v>14</v>
      </c>
      <c r="W25" s="665">
        <f>J25</f>
        <v>100</v>
      </c>
      <c r="X25" s="666"/>
      <c r="Y25" s="3410"/>
      <c r="Z25" s="50">
        <f>Q25</f>
        <v>111</v>
      </c>
      <c r="AA25" s="1260">
        <f>D25/F25</f>
        <v>1</v>
      </c>
      <c r="AB25" s="1260">
        <f>D25/H25</f>
        <v>1</v>
      </c>
      <c r="AC25" s="1260">
        <f>D25/J25</f>
        <v>1</v>
      </c>
    </row>
    <row r="26" spans="1:29" ht="28.5">
      <c r="A26" s="574" t="s">
        <v>1686</v>
      </c>
      <c r="B26" s="59" t="s">
        <v>1828</v>
      </c>
      <c r="C26" s="1815" t="str">
        <f>B1</f>
        <v>办公</v>
      </c>
      <c r="D26" s="387">
        <v>100</v>
      </c>
      <c r="E26" s="386" t="s">
        <v>21</v>
      </c>
      <c r="F26" s="388">
        <f>SUMIF(79:79,E26,80:80)-SUMIF(79:79,C26,80:80)+100</f>
        <v>100</v>
      </c>
      <c r="G26" s="386" t="s">
        <v>21</v>
      </c>
      <c r="H26" s="387">
        <f>SUMIF(79:79,G26,80:80)-SUMIF(79:79,C26,80:80)+100</f>
        <v>100</v>
      </c>
      <c r="I26" s="386" t="s">
        <v>3385</v>
      </c>
      <c r="J26" s="387">
        <f>SUMIF(79:79,I26,80:80)-SUMIF(79:79,C26,80:80)+100</f>
        <v>110</v>
      </c>
      <c r="K26" s="538">
        <v>-10</v>
      </c>
      <c r="L26" s="2488"/>
      <c r="M26" s="2483"/>
      <c r="N26" s="2483"/>
      <c r="O26" s="2483"/>
      <c r="P26" s="3433" t="s">
        <v>1688</v>
      </c>
      <c r="Q26" s="1259" t="str">
        <f t="shared" si="11"/>
        <v>配套类型</v>
      </c>
      <c r="R26" s="667" t="s">
        <v>14</v>
      </c>
      <c r="S26" s="668">
        <f t="shared" ref="S26:S36" si="12">F26</f>
        <v>100</v>
      </c>
      <c r="T26" s="667" t="s">
        <v>14</v>
      </c>
      <c r="U26" s="668">
        <f t="shared" ref="U26:U36" si="13">H26</f>
        <v>100</v>
      </c>
      <c r="V26" s="667" t="s">
        <v>14</v>
      </c>
      <c r="W26" s="668">
        <f t="shared" ref="W26:W36" si="14">J26</f>
        <v>110</v>
      </c>
      <c r="X26" s="1261"/>
      <c r="Y26" s="3414" t="s">
        <v>1688</v>
      </c>
      <c r="Z26" s="1260" t="str">
        <f t="shared" ref="Z26:Z36" si="15">Q26</f>
        <v>配套类型</v>
      </c>
      <c r="AA26" s="1260">
        <f t="shared" si="3"/>
        <v>1</v>
      </c>
      <c r="AB26" s="1260">
        <f t="shared" si="4"/>
        <v>1</v>
      </c>
      <c r="AC26" s="1260">
        <f t="shared" si="5"/>
        <v>0.90909090909090906</v>
      </c>
    </row>
    <row r="27" spans="1:29" s="408" customFormat="1" ht="15" hidden="1">
      <c r="A27" s="575"/>
      <c r="B27" s="119" t="s">
        <v>1829</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0">
        <f t="shared" si="3"/>
        <v>1</v>
      </c>
      <c r="AB27" s="1260">
        <f t="shared" si="4"/>
        <v>1</v>
      </c>
      <c r="AC27" s="1260">
        <f t="shared" si="5"/>
        <v>1</v>
      </c>
    </row>
    <row r="28" spans="1:29" ht="15">
      <c r="A28" s="577"/>
      <c r="B28" s="119" t="s">
        <v>1830</v>
      </c>
      <c r="C28" s="3171" t="s">
        <v>3487</v>
      </c>
      <c r="D28" s="374">
        <v>100</v>
      </c>
      <c r="E28" s="3171" t="s">
        <v>3487</v>
      </c>
      <c r="F28" s="400">
        <f>SUMIF(83:83,E28,84:84)-SUMIF(83:83,C28,84:84)+100</f>
        <v>100</v>
      </c>
      <c r="G28" s="3171" t="s">
        <v>3487</v>
      </c>
      <c r="H28" s="374">
        <f>SUMIF(83:83,G28,84:84)-SUMIF(83:83,C28,84:84)+100</f>
        <v>100</v>
      </c>
      <c r="I28" s="3171" t="s">
        <v>3487</v>
      </c>
      <c r="J28" s="374">
        <f>SUMIF(83:83,I28,84:84)-SUMIF(83:83,C28,84:84)+100</f>
        <v>100</v>
      </c>
      <c r="K28" s="538">
        <v>2</v>
      </c>
      <c r="L28" s="2488"/>
      <c r="M28" s="2483"/>
      <c r="N28" s="2483"/>
      <c r="O28" s="2483"/>
      <c r="P28" s="3414"/>
      <c r="Q28" s="1259" t="str">
        <f t="shared" si="11"/>
        <v>公共部分装修</v>
      </c>
      <c r="R28" s="667" t="s">
        <v>14</v>
      </c>
      <c r="S28" s="668">
        <f t="shared" si="12"/>
        <v>100</v>
      </c>
      <c r="T28" s="667" t="s">
        <v>14</v>
      </c>
      <c r="U28" s="668">
        <f t="shared" si="13"/>
        <v>100</v>
      </c>
      <c r="V28" s="667" t="s">
        <v>14</v>
      </c>
      <c r="W28" s="668">
        <f t="shared" si="14"/>
        <v>100</v>
      </c>
      <c r="X28" s="1261"/>
      <c r="Y28" s="3414"/>
      <c r="Z28" s="1260" t="str">
        <f t="shared" si="15"/>
        <v>公共部分装修</v>
      </c>
      <c r="AA28" s="1260">
        <f t="shared" si="3"/>
        <v>1</v>
      </c>
      <c r="AB28" s="1260">
        <f t="shared" si="4"/>
        <v>1</v>
      </c>
      <c r="AC28" s="1260">
        <f t="shared" si="5"/>
        <v>1</v>
      </c>
    </row>
    <row r="29" spans="1:29" ht="15">
      <c r="A29" s="577"/>
      <c r="B29" s="119" t="s">
        <v>1831</v>
      </c>
      <c r="C29" s="411">
        <f>'数据-取费表'!N6</f>
        <v>0.81</v>
      </c>
      <c r="D29" s="374">
        <v>100</v>
      </c>
      <c r="E29" s="411">
        <v>0.75</v>
      </c>
      <c r="F29" s="400">
        <f>LOOKUP(E29,86:86,87:87)-LOOKUP(C29,86:86,87:87)+100</f>
        <v>98</v>
      </c>
      <c r="G29" s="411">
        <v>0.8</v>
      </c>
      <c r="H29" s="400">
        <f>LOOKUP(G29,86:86,87:87)-LOOKUP(C29,86:86,87:87)+100</f>
        <v>100</v>
      </c>
      <c r="I29" s="411">
        <v>0.8</v>
      </c>
      <c r="J29" s="374">
        <f>LOOKUP(I29,86:86,87:87)-LOOKUP(C29,86:86,87:87)+100</f>
        <v>100</v>
      </c>
      <c r="K29" s="538">
        <v>2</v>
      </c>
      <c r="L29" s="2488"/>
      <c r="M29" s="2483"/>
      <c r="N29" s="2483"/>
      <c r="O29" s="2483"/>
      <c r="P29" s="3414"/>
      <c r="Q29" s="1259" t="str">
        <f t="shared" si="11"/>
        <v>成新率</v>
      </c>
      <c r="R29" s="667" t="s">
        <v>14</v>
      </c>
      <c r="S29" s="668">
        <f t="shared" si="12"/>
        <v>98</v>
      </c>
      <c r="T29" s="667" t="s">
        <v>14</v>
      </c>
      <c r="U29" s="668">
        <f t="shared" si="13"/>
        <v>100</v>
      </c>
      <c r="V29" s="667" t="s">
        <v>14</v>
      </c>
      <c r="W29" s="668">
        <f t="shared" si="14"/>
        <v>100</v>
      </c>
      <c r="X29" s="1261"/>
      <c r="Y29" s="3414"/>
      <c r="Z29" s="1260" t="str">
        <f t="shared" si="15"/>
        <v>成新率</v>
      </c>
      <c r="AA29" s="1260">
        <f t="shared" si="3"/>
        <v>1.0204081632653061</v>
      </c>
      <c r="AB29" s="1260">
        <f t="shared" si="4"/>
        <v>1</v>
      </c>
      <c r="AC29" s="1260">
        <f t="shared" si="5"/>
        <v>1</v>
      </c>
    </row>
    <row r="30" spans="1:29" ht="15">
      <c r="A30" s="577"/>
      <c r="B30" s="119" t="s">
        <v>1832</v>
      </c>
      <c r="C30" s="3175" t="s">
        <v>3485</v>
      </c>
      <c r="D30" s="374">
        <v>100</v>
      </c>
      <c r="E30" s="3175" t="s">
        <v>3485</v>
      </c>
      <c r="F30" s="400">
        <f>SUMIF(88:88,E30,89:89)-SUMIF(88:88,C30,89:89)+100</f>
        <v>100</v>
      </c>
      <c r="G30" s="3175" t="s">
        <v>3485</v>
      </c>
      <c r="H30" s="374">
        <f>SUMIF(88:88,E30,89:89)-SUMIF(88:88,C30,89:89)+100</f>
        <v>100</v>
      </c>
      <c r="I30" s="3175" t="s">
        <v>3485</v>
      </c>
      <c r="J30" s="374">
        <f>SUMIF(88:88,E30,89:89)-SUMIF(88:88,C30,89:89)+100</f>
        <v>100</v>
      </c>
      <c r="K30" s="538">
        <v>2</v>
      </c>
      <c r="L30" s="2488"/>
      <c r="M30" s="2483"/>
      <c r="N30" s="2483"/>
      <c r="O30" s="2483"/>
      <c r="P30" s="3414"/>
      <c r="Q30" s="1259" t="str">
        <f t="shared" si="11"/>
        <v>物业等级</v>
      </c>
      <c r="R30" s="667" t="s">
        <v>14</v>
      </c>
      <c r="S30" s="668">
        <f t="shared" si="12"/>
        <v>100</v>
      </c>
      <c r="T30" s="667" t="s">
        <v>14</v>
      </c>
      <c r="U30" s="668">
        <f t="shared" si="13"/>
        <v>100</v>
      </c>
      <c r="V30" s="667" t="s">
        <v>14</v>
      </c>
      <c r="W30" s="668">
        <f t="shared" si="14"/>
        <v>100</v>
      </c>
      <c r="X30" s="1261"/>
      <c r="Y30" s="3414"/>
      <c r="Z30" s="1260" t="str">
        <f t="shared" si="15"/>
        <v>物业等级</v>
      </c>
      <c r="AA30" s="1260">
        <f t="shared" si="3"/>
        <v>1</v>
      </c>
      <c r="AB30" s="1260">
        <f t="shared" si="4"/>
        <v>1</v>
      </c>
      <c r="AC30" s="1260">
        <f t="shared" si="5"/>
        <v>1</v>
      </c>
    </row>
    <row r="31" spans="1:29" s="102" customFormat="1" ht="15">
      <c r="A31" s="579"/>
      <c r="B31" s="119" t="s">
        <v>1833</v>
      </c>
      <c r="C31" s="407">
        <f>D3</f>
        <v>53.53</v>
      </c>
      <c r="D31" s="119">
        <v>100</v>
      </c>
      <c r="E31" s="407">
        <v>32.28</v>
      </c>
      <c r="F31" s="400">
        <f>LOOKUP(E31,91:91,92:92)-LOOKUP(C31,91:91,92:92)+100</f>
        <v>98</v>
      </c>
      <c r="G31" s="407">
        <v>43.11</v>
      </c>
      <c r="H31" s="374">
        <f>LOOKUP(G31,91:91,92:92)-LOOKUP(C31,91:91,92:92)+100</f>
        <v>99</v>
      </c>
      <c r="I31" s="407">
        <v>45.92</v>
      </c>
      <c r="J31" s="374">
        <f>LOOKUP(I31,91:91,92:92)-LOOKUP(C31,91:91,92:92)+100</f>
        <v>100</v>
      </c>
      <c r="K31" s="538">
        <v>1</v>
      </c>
      <c r="L31" s="2484"/>
      <c r="M31" s="2435"/>
      <c r="N31" s="2435"/>
      <c r="O31" s="2435"/>
      <c r="P31" s="3414"/>
      <c r="Q31" s="530" t="str">
        <f t="shared" si="11"/>
        <v>停车位面积</v>
      </c>
      <c r="R31" s="664" t="s">
        <v>14</v>
      </c>
      <c r="S31" s="665">
        <f t="shared" si="12"/>
        <v>98</v>
      </c>
      <c r="T31" s="664" t="s">
        <v>14</v>
      </c>
      <c r="U31" s="665">
        <f t="shared" si="13"/>
        <v>99</v>
      </c>
      <c r="V31" s="664" t="s">
        <v>14</v>
      </c>
      <c r="W31" s="665">
        <f t="shared" si="14"/>
        <v>100</v>
      </c>
      <c r="X31" s="666"/>
      <c r="Y31" s="3414"/>
      <c r="Z31" s="50" t="str">
        <f t="shared" si="15"/>
        <v>停车位面积</v>
      </c>
      <c r="AA31" s="50">
        <f t="shared" si="3"/>
        <v>1.0204081632653061</v>
      </c>
      <c r="AB31" s="50">
        <f t="shared" si="4"/>
        <v>1.0101010101010102</v>
      </c>
      <c r="AC31" s="50">
        <f t="shared" si="5"/>
        <v>1</v>
      </c>
    </row>
    <row r="32" spans="1:29" ht="15.75" thickBot="1">
      <c r="A32" s="577"/>
      <c r="B32" s="119" t="s">
        <v>1834</v>
      </c>
      <c r="C32" s="3171" t="s">
        <v>3500</v>
      </c>
      <c r="D32" s="374">
        <v>100</v>
      </c>
      <c r="E32" s="3171" t="s">
        <v>3500</v>
      </c>
      <c r="F32" s="400">
        <f>SUMIF(93:93,E32,94:94)-SUMIF(93:93,C32,94:94)+100</f>
        <v>100</v>
      </c>
      <c r="G32" s="3171" t="s">
        <v>3500</v>
      </c>
      <c r="H32" s="374">
        <f>SUMIF(93:93,G32,94:94)-SUMIF(93:93,C32,94:94)+100</f>
        <v>100</v>
      </c>
      <c r="I32" s="3171" t="s">
        <v>3500</v>
      </c>
      <c r="J32" s="374">
        <f>SUMIF(93:93,I32,94:94)-SUMIF(93:93,C32,94:94)+100</f>
        <v>100</v>
      </c>
      <c r="K32" s="538">
        <v>5</v>
      </c>
      <c r="L32" s="2488"/>
      <c r="M32" s="2483"/>
      <c r="N32" s="2483"/>
      <c r="O32" s="2483"/>
      <c r="P32" s="3414" t="s">
        <v>1688</v>
      </c>
      <c r="Q32" s="1259" t="str">
        <f t="shared" si="11"/>
        <v>车位类型</v>
      </c>
      <c r="R32" s="667" t="s">
        <v>14</v>
      </c>
      <c r="S32" s="668">
        <f t="shared" si="12"/>
        <v>100</v>
      </c>
      <c r="T32" s="667" t="s">
        <v>14</v>
      </c>
      <c r="U32" s="668">
        <f t="shared" si="13"/>
        <v>100</v>
      </c>
      <c r="V32" s="667" t="s">
        <v>14</v>
      </c>
      <c r="W32" s="668">
        <f t="shared" si="14"/>
        <v>100</v>
      </c>
      <c r="X32" s="1261"/>
      <c r="Y32" s="3414" t="s">
        <v>1688</v>
      </c>
      <c r="Z32" s="1260" t="str">
        <f t="shared" si="15"/>
        <v>车位类型</v>
      </c>
      <c r="AA32" s="1260">
        <f t="shared" si="3"/>
        <v>1</v>
      </c>
      <c r="AB32" s="1260">
        <f t="shared" si="4"/>
        <v>1</v>
      </c>
      <c r="AC32" s="1260">
        <f t="shared" si="5"/>
        <v>1</v>
      </c>
    </row>
    <row r="33" spans="1:29" ht="15" hidden="1">
      <c r="A33" s="577"/>
      <c r="B33" s="119" t="s">
        <v>1835</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14"/>
      <c r="Q33" s="1259" t="str">
        <f t="shared" si="11"/>
        <v>是否直接入户</v>
      </c>
      <c r="R33" s="667" t="s">
        <v>14</v>
      </c>
      <c r="S33" s="668">
        <f t="shared" si="12"/>
        <v>100</v>
      </c>
      <c r="T33" s="667" t="s">
        <v>14</v>
      </c>
      <c r="U33" s="668">
        <f t="shared" si="13"/>
        <v>100</v>
      </c>
      <c r="V33" s="667" t="s">
        <v>14</v>
      </c>
      <c r="W33" s="668">
        <f t="shared" si="14"/>
        <v>100</v>
      </c>
      <c r="X33" s="1261"/>
      <c r="Y33" s="3414"/>
      <c r="Z33" s="1260" t="str">
        <f t="shared" si="15"/>
        <v>是否直接入户</v>
      </c>
      <c r="AA33" s="1260">
        <f t="shared" si="3"/>
        <v>1</v>
      </c>
      <c r="AB33" s="1260">
        <f t="shared" si="4"/>
        <v>1</v>
      </c>
      <c r="AC33" s="1260">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14"/>
      <c r="Q34" s="1259">
        <f t="shared" si="11"/>
        <v>111</v>
      </c>
      <c r="R34" s="667" t="s">
        <v>14</v>
      </c>
      <c r="S34" s="668">
        <f t="shared" si="12"/>
        <v>100</v>
      </c>
      <c r="T34" s="667" t="s">
        <v>14</v>
      </c>
      <c r="U34" s="668">
        <f t="shared" si="13"/>
        <v>100</v>
      </c>
      <c r="V34" s="667" t="s">
        <v>14</v>
      </c>
      <c r="W34" s="668">
        <f t="shared" si="14"/>
        <v>100</v>
      </c>
      <c r="X34" s="1261"/>
      <c r="Y34" s="3414"/>
      <c r="Z34" s="1260">
        <f t="shared" si="15"/>
        <v>111</v>
      </c>
      <c r="AA34" s="1260">
        <f t="shared" si="3"/>
        <v>1</v>
      </c>
      <c r="AB34" s="1260">
        <f t="shared" si="4"/>
        <v>1</v>
      </c>
      <c r="AC34" s="1260">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0">
        <f t="shared" si="3"/>
        <v>1</v>
      </c>
      <c r="AB35" s="1260">
        <f t="shared" si="4"/>
        <v>1</v>
      </c>
      <c r="AC35" s="1260">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14"/>
      <c r="Q36" s="1259">
        <f t="shared" si="11"/>
        <v>111</v>
      </c>
      <c r="R36" s="667" t="s">
        <v>14</v>
      </c>
      <c r="S36" s="668">
        <f t="shared" si="12"/>
        <v>100</v>
      </c>
      <c r="T36" s="667" t="s">
        <v>14</v>
      </c>
      <c r="U36" s="668">
        <f t="shared" si="13"/>
        <v>100</v>
      </c>
      <c r="V36" s="667" t="s">
        <v>14</v>
      </c>
      <c r="W36" s="668">
        <f t="shared" si="14"/>
        <v>100</v>
      </c>
      <c r="X36" s="1261"/>
      <c r="Y36" s="3414"/>
      <c r="Z36" s="1260">
        <f t="shared" si="15"/>
        <v>111</v>
      </c>
      <c r="AA36" s="1260">
        <f t="shared" si="3"/>
        <v>1</v>
      </c>
      <c r="AB36" s="1260">
        <f t="shared" si="4"/>
        <v>1</v>
      </c>
      <c r="AC36" s="1260">
        <f t="shared" si="5"/>
        <v>1</v>
      </c>
    </row>
    <row r="37" spans="1:29" ht="15">
      <c r="A37" s="416" t="s">
        <v>1836</v>
      </c>
      <c r="B37" s="1816" t="s">
        <v>3504</v>
      </c>
      <c r="C37" s="1077" t="s">
        <v>0</v>
      </c>
      <c r="D37" s="418"/>
      <c r="E37" s="419">
        <v>400000</v>
      </c>
      <c r="F37" s="420"/>
      <c r="G37" s="421">
        <v>400000</v>
      </c>
      <c r="H37" s="422"/>
      <c r="I37" s="419">
        <v>450000</v>
      </c>
      <c r="J37" s="422"/>
      <c r="K37" s="545"/>
      <c r="L37" s="2490"/>
      <c r="M37" s="2483"/>
      <c r="N37" s="2483"/>
      <c r="O37" s="2483"/>
      <c r="P37" s="3416" t="str">
        <f>A37</f>
        <v>成交单价</v>
      </c>
      <c r="Q37" s="3416"/>
      <c r="R37" s="3404">
        <f>E37</f>
        <v>400000</v>
      </c>
      <c r="S37" s="3404"/>
      <c r="T37" s="3404">
        <f>G37</f>
        <v>400000</v>
      </c>
      <c r="U37" s="3404"/>
      <c r="V37" s="3404">
        <f>I37</f>
        <v>450000</v>
      </c>
      <c r="W37" s="3404"/>
      <c r="X37" s="385"/>
      <c r="Y37" s="673"/>
      <c r="Z37" s="385"/>
      <c r="AA37" s="385"/>
      <c r="AB37" s="385"/>
      <c r="AC37" s="385"/>
    </row>
    <row r="38" spans="1:29" ht="15.75" thickBot="1">
      <c r="A38" s="423" t="s">
        <v>1837</v>
      </c>
      <c r="B38" s="424" t="str">
        <f>B37</f>
        <v>元/车位</v>
      </c>
      <c r="C38" s="1078">
        <f>R39</f>
        <v>400756</v>
      </c>
      <c r="D38" s="2136" t="s">
        <v>2129</v>
      </c>
      <c r="E38" s="1079">
        <f>R38</f>
        <v>404362</v>
      </c>
      <c r="F38" s="2137"/>
      <c r="G38" s="1078">
        <f>T38</f>
        <v>396475</v>
      </c>
      <c r="H38" s="2137"/>
      <c r="I38" s="1079">
        <f>V38</f>
        <v>401431</v>
      </c>
      <c r="J38" s="2137"/>
      <c r="K38" s="2139">
        <f>F38+H38+J38</f>
        <v>0</v>
      </c>
      <c r="L38" s="2490"/>
      <c r="M38" s="2483"/>
      <c r="N38" s="2483"/>
      <c r="O38" s="2483"/>
      <c r="P38" s="3416" t="str">
        <f>A38</f>
        <v>比较价值（元/平方米）</v>
      </c>
      <c r="Q38" s="3416"/>
      <c r="R38" s="3404">
        <f>IF(F1="售价",ROUND(PRODUCT(R37,AA7:AA36),0),ROUND(PRODUCT(R37,AA7:AA36),1))</f>
        <v>404362</v>
      </c>
      <c r="S38" s="3404"/>
      <c r="T38" s="3404">
        <f>IF(F1="售价",ROUND(PRODUCT(T37,AB7:AB36),0),ROUND(PRODUCT(T37,AB7:AB36),1))</f>
        <v>396475</v>
      </c>
      <c r="U38" s="3404"/>
      <c r="V38" s="3404">
        <f>IF(F1="售价",ROUND(PRODUCT(V37,AC7:AC36),0),ROUND(PRODUCT(V37,AC7:AC36),1))</f>
        <v>401431</v>
      </c>
      <c r="W38" s="3404"/>
      <c r="X38" s="385"/>
      <c r="Y38" s="385"/>
      <c r="Z38" s="385"/>
      <c r="AA38" s="385"/>
      <c r="AB38" s="385"/>
      <c r="AC38" s="385"/>
    </row>
    <row r="39" spans="1:29" ht="15.75" thickBot="1">
      <c r="A39" s="427" t="s">
        <v>1838</v>
      </c>
      <c r="B39" s="428"/>
      <c r="C39" s="351">
        <f>R39</f>
        <v>400756</v>
      </c>
      <c r="D39" s="351"/>
      <c r="E39" s="351"/>
      <c r="F39" s="351"/>
      <c r="G39" s="351"/>
      <c r="H39" s="351"/>
      <c r="I39" s="351"/>
      <c r="J39" s="351"/>
      <c r="K39" s="546"/>
      <c r="L39" s="2490"/>
      <c r="M39" s="2483"/>
      <c r="N39" s="2483"/>
      <c r="O39" s="2483"/>
      <c r="P39" s="3434" t="str">
        <f>A39</f>
        <v>估价对象XX用房的比较价值（楼面单价，元/平方米）</v>
      </c>
      <c r="Q39" s="3435"/>
      <c r="R39" s="3436">
        <f>IF(F1="售价",ROUND(IF(D38="简单平均",AVERAGE(R38:W38),R38*F38+T38*H38+V38*J38),0),ROUND(IF(D38="简单平均",AVERAGE(R38:V38),R38*F38+T38*H38+V38*J38),1))</f>
        <v>400756</v>
      </c>
      <c r="S39" s="3436"/>
      <c r="T39" s="3436"/>
      <c r="U39" s="3436"/>
      <c r="V39" s="3436"/>
      <c r="W39" s="3436"/>
      <c r="X39" s="385"/>
      <c r="Y39" s="385"/>
      <c r="Z39" s="385"/>
      <c r="AA39" s="385"/>
      <c r="AB39" s="385"/>
      <c r="AC39" s="385"/>
    </row>
    <row r="40" spans="1:29">
      <c r="A40" s="2483"/>
      <c r="B40" s="2483"/>
      <c r="C40" s="2483"/>
      <c r="D40" s="2483"/>
      <c r="E40" s="2483">
        <v>2003</v>
      </c>
      <c r="F40" s="2483"/>
      <c r="G40" s="2483">
        <v>2012</v>
      </c>
      <c r="H40" s="2483"/>
      <c r="I40" s="2483">
        <v>2010</v>
      </c>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1839</v>
      </c>
      <c r="D42" s="433"/>
      <c r="E42" s="434">
        <f>IF(E37&lt;E38,E38/E37-1,E37/E38-1)</f>
        <v>1.0904999999999943E-2</v>
      </c>
      <c r="F42" s="435" t="str">
        <f>IF(OR(E42&gt;=0.3,E42&lt;=-0.3),"超过30%","")</f>
        <v/>
      </c>
      <c r="G42" s="434">
        <f>IF(G37&lt;G38,G38/G37-1,G37/G38-1)</f>
        <v>8.8908506210985117E-3</v>
      </c>
      <c r="H42" s="435" t="str">
        <f>IF(OR(G42&gt;=0.3,G42&lt;=-0.3),"超过30%","")</f>
        <v/>
      </c>
      <c r="I42" s="434">
        <f>IF(I37&lt;I38,I38/I37-1,I37/I38-1)</f>
        <v>0.1209896594931632</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1840</v>
      </c>
      <c r="D43" s="436"/>
      <c r="E43" s="434">
        <f>IF(E38&lt;G38,G38/E38-1,E38/G38-1)</f>
        <v>1.9892805347121456E-2</v>
      </c>
      <c r="F43" s="435" t="str">
        <f>IF(OR(E43&gt;=0.2,E43&lt;=-0.2),"超过20%","")</f>
        <v/>
      </c>
      <c r="G43" s="434">
        <f>IF(G38&lt;I38,I38/G38-1,G38/I38-1)</f>
        <v>1.2500157639195431E-2</v>
      </c>
      <c r="H43" s="435" t="str">
        <f>IF(OR(G43&gt;=0.2,G43&lt;=-0.2),"超过20%","")</f>
        <v/>
      </c>
      <c r="I43" s="434">
        <f>IF(I38&lt;E38,E38/I38-1,I38/E38-1)</f>
        <v>7.3013793154987905E-3</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1841</v>
      </c>
      <c r="D44" s="436"/>
      <c r="E44" s="434">
        <f>IF(E37&lt;G37,G37/E37-1,E37/G37-1)</f>
        <v>0</v>
      </c>
      <c r="F44" s="435" t="str">
        <f>IF(OR(E44&gt;=0.3,E44&lt;=-0.3),"超过30%","")</f>
        <v/>
      </c>
      <c r="G44" s="434">
        <f>IF(G37&lt;I37,I37/G37-1,G37/I37-1)</f>
        <v>0.125</v>
      </c>
      <c r="H44" s="435" t="str">
        <f>IF(OR(G44&gt;=0.3,G44&lt;=-0.3),"超过30%","")</f>
        <v/>
      </c>
      <c r="I44" s="434">
        <f>IF(I37&lt;E37,E37/I37-1,I37/E37-1)</f>
        <v>0.125</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3" t="s">
        <v>1842</v>
      </c>
      <c r="B47" s="858"/>
      <c r="C47" s="883"/>
      <c r="D47" s="883"/>
      <c r="E47" s="883"/>
      <c r="F47" s="1084"/>
      <c r="G47" s="1084"/>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2" customFormat="1" ht="15">
      <c r="A48" s="440" t="s">
        <v>1843</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3"/>
      <c r="Q48" s="2506"/>
      <c r="R48" s="2506"/>
      <c r="S48" s="2506"/>
      <c r="T48" s="2506"/>
      <c r="U48" s="2506"/>
      <c r="V48" s="2506"/>
      <c r="W48" s="2506"/>
      <c r="X48" s="2506"/>
      <c r="Y48" s="2506"/>
      <c r="Z48" s="2506"/>
      <c r="AA48" s="2506"/>
      <c r="AB48" s="2506"/>
      <c r="AC48" s="2506"/>
    </row>
    <row r="49" spans="1:29" s="102" customFormat="1" ht="15">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1708</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1673</v>
      </c>
      <c r="B51" s="444"/>
      <c r="C51" s="456" t="s">
        <v>1768</v>
      </c>
      <c r="D51" s="3519" t="s">
        <v>3526</v>
      </c>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v>103</v>
      </c>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1711</v>
      </c>
      <c r="B53" s="460" t="s">
        <v>1677</v>
      </c>
      <c r="C53" s="461" t="str">
        <f>C9</f>
        <v>车位</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1680</v>
      </c>
      <c r="C55" s="513" t="s">
        <v>3490</v>
      </c>
      <c r="D55" s="513" t="s">
        <v>3489</v>
      </c>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v>100</v>
      </c>
      <c r="D56" s="467">
        <v>98</v>
      </c>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1682</v>
      </c>
      <c r="B63" s="460" t="s">
        <v>1718</v>
      </c>
      <c r="C63" s="504" t="s">
        <v>1713</v>
      </c>
      <c r="D63" s="504" t="s">
        <v>1714</v>
      </c>
      <c r="E63" s="504" t="s">
        <v>1715</v>
      </c>
      <c r="F63" s="504" t="s">
        <v>1716</v>
      </c>
      <c r="G63" s="504" t="s">
        <v>1717</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97</v>
      </c>
      <c r="E64" s="475">
        <f>D64-$K14</f>
        <v>94</v>
      </c>
      <c r="F64" s="475">
        <f>E64-$K14</f>
        <v>91</v>
      </c>
      <c r="G64" s="475">
        <f>F64-$K14</f>
        <v>88</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1719</v>
      </c>
      <c r="C65" s="509" t="s">
        <v>1713</v>
      </c>
      <c r="D65" s="509" t="s">
        <v>1714</v>
      </c>
      <c r="E65" s="509" t="s">
        <v>1715</v>
      </c>
      <c r="F65" s="509" t="s">
        <v>1716</v>
      </c>
      <c r="G65" s="509" t="s">
        <v>1717</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97</v>
      </c>
      <c r="E66" s="475">
        <f>D66-$K16</f>
        <v>94</v>
      </c>
      <c r="F66" s="475">
        <f>E66-$K16</f>
        <v>91</v>
      </c>
      <c r="G66" s="475">
        <f>F66-$K16</f>
        <v>88</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1805</v>
      </c>
      <c r="C67" s="581" t="s">
        <v>1791</v>
      </c>
      <c r="D67" s="581" t="s">
        <v>1792</v>
      </c>
      <c r="E67" s="581" t="s">
        <v>1793</v>
      </c>
      <c r="F67" s="581" t="s">
        <v>1794</v>
      </c>
      <c r="G67" s="581" t="s">
        <v>1795</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98</v>
      </c>
      <c r="E68" s="475">
        <f>D68-$K18</f>
        <v>96</v>
      </c>
      <c r="F68" s="475">
        <f>E68-$K18</f>
        <v>94</v>
      </c>
      <c r="G68" s="475">
        <f>F68-$K18</f>
        <v>92</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1725</v>
      </c>
      <c r="C69" s="509" t="s">
        <v>1713</v>
      </c>
      <c r="D69" s="509" t="s">
        <v>1714</v>
      </c>
      <c r="E69" s="509" t="s">
        <v>1715</v>
      </c>
      <c r="F69" s="509" t="s">
        <v>1716</v>
      </c>
      <c r="G69" s="509" t="s">
        <v>1717</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97</v>
      </c>
      <c r="E70" s="475">
        <f>D70-$K20</f>
        <v>94</v>
      </c>
      <c r="F70" s="475">
        <f>E70-$K20</f>
        <v>91</v>
      </c>
      <c r="G70" s="475">
        <f>F70-$K20</f>
        <v>88</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1844</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1686</v>
      </c>
      <c r="B79" s="460" t="s">
        <v>1845</v>
      </c>
      <c r="C79" s="461" t="str">
        <f>C26</f>
        <v>办公</v>
      </c>
      <c r="D79" s="3176" t="s">
        <v>3505</v>
      </c>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110</v>
      </c>
      <c r="E80" s="475">
        <f t="shared" si="17"/>
        <v>120</v>
      </c>
      <c r="F80" s="475">
        <f t="shared" si="17"/>
        <v>130</v>
      </c>
      <c r="G80" s="475">
        <f t="shared" si="17"/>
        <v>140</v>
      </c>
      <c r="H80" s="475">
        <f t="shared" si="17"/>
        <v>150</v>
      </c>
      <c r="I80" s="475">
        <f t="shared" si="17"/>
        <v>160</v>
      </c>
      <c r="J80" s="475">
        <f t="shared" si="17"/>
        <v>170</v>
      </c>
      <c r="K80" s="475">
        <f t="shared" si="17"/>
        <v>180</v>
      </c>
      <c r="L80" s="475">
        <f t="shared" si="17"/>
        <v>190</v>
      </c>
      <c r="M80" s="476">
        <f t="shared" si="17"/>
        <v>200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1846</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1732</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1847</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1848</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1849</v>
      </c>
      <c r="C90" s="509" t="str">
        <f>C91&amp;"(含)"&amp;"-"&amp;D91</f>
        <v>0(含)-35</v>
      </c>
      <c r="D90" s="509" t="str">
        <f t="shared" ref="D90:L90" si="21">D91&amp;"(含)"&amp;"-"&amp;E91</f>
        <v>35(含)-45</v>
      </c>
      <c r="E90" s="509" t="str">
        <f t="shared" si="21"/>
        <v>45(含)-55</v>
      </c>
      <c r="F90" s="509" t="str">
        <f t="shared" si="21"/>
        <v>55(含)-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35</v>
      </c>
      <c r="E91" s="6">
        <v>45</v>
      </c>
      <c r="F91" s="6">
        <v>55</v>
      </c>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v>100</v>
      </c>
      <c r="D92" s="467">
        <v>101</v>
      </c>
      <c r="E92" s="467">
        <v>102</v>
      </c>
      <c r="F92" s="467">
        <v>103</v>
      </c>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1850</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95</v>
      </c>
      <c r="E94" s="475">
        <f t="shared" si="22"/>
        <v>90</v>
      </c>
      <c r="F94" s="475">
        <f t="shared" si="22"/>
        <v>85</v>
      </c>
      <c r="G94" s="475">
        <f t="shared" si="22"/>
        <v>80</v>
      </c>
      <c r="H94" s="475">
        <f t="shared" si="22"/>
        <v>75</v>
      </c>
      <c r="I94" s="475">
        <f t="shared" si="22"/>
        <v>70</v>
      </c>
      <c r="J94" s="475">
        <f t="shared" si="22"/>
        <v>65</v>
      </c>
      <c r="K94" s="475">
        <f t="shared" si="22"/>
        <v>60</v>
      </c>
      <c r="L94" s="475">
        <f t="shared" si="22"/>
        <v>55</v>
      </c>
      <c r="M94" s="476">
        <f t="shared" si="22"/>
        <v>50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1851</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11" priority="13" stopIfTrue="1">
      <formula>$F$42="超过30%"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F7:F36 H7:H36 J7:J36">
    <cfRule type="cellIs" dxfId="108" priority="1" operator="notEqual">
      <formula>100</formula>
    </cfRule>
  </conditionalFormatting>
  <conditionalFormatting sqref="F38">
    <cfRule type="expression" dxfId="107" priority="4">
      <formula>$D$38="简单平均"</formula>
    </cfRule>
  </conditionalFormatting>
  <conditionalFormatting sqref="F42:F44 H42:H44 J42:J44">
    <cfRule type="containsText" dxfId="106" priority="14" stopIfTrue="1" operator="containsText" text="超过">
      <formula>NOT(ISERROR(SEARCH("超过",F42)))</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G44">
    <cfRule type="expression" dxfId="103" priority="12" stopIfTrue="1">
      <formula>$H$54+$H$44="超过30%"</formula>
    </cfRule>
  </conditionalFormatting>
  <conditionalFormatting sqref="H38">
    <cfRule type="expression" dxfId="102" priority="3">
      <formula>$D$38="简单平均"</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J38">
    <cfRule type="expression" dxfId="9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CDDA-8355-4FE0-855B-8DBD4DF50F23}">
  <sheetPr>
    <tabColor rgb="FF92D050"/>
  </sheetPr>
  <dimension ref="A1:AK83"/>
  <sheetViews>
    <sheetView tabSelected="1" view="pageBreakPreview" topLeftCell="A16" zoomScaleNormal="70" zoomScaleSheetLayoutView="100"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3464</v>
      </c>
      <c r="D1" s="1267" t="s">
        <v>43</v>
      </c>
      <c r="E1" s="1268" t="s">
        <v>670</v>
      </c>
      <c r="F1" s="995">
        <f ca="1">J53</f>
        <v>28.89</v>
      </c>
      <c r="G1" s="1282">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3119">
        <f ca="1">ROUND(D2/10000,4)</f>
        <v>20.2121</v>
      </c>
      <c r="C2" s="1285" t="s">
        <v>797</v>
      </c>
      <c r="D2" s="1371">
        <f ca="1">C40+J29+L46</f>
        <v>202121</v>
      </c>
      <c r="E2" s="1291" t="s">
        <v>872</v>
      </c>
      <c r="F2" s="1292"/>
      <c r="G2" s="2474"/>
      <c r="H2" s="2464"/>
      <c r="I2" s="2464"/>
      <c r="J2" s="2464"/>
      <c r="K2" s="2465"/>
      <c r="L2" s="2464"/>
      <c r="M2" s="2464"/>
    </row>
    <row r="3" spans="1:37" ht="18" customHeight="1" thickBot="1">
      <c r="A3" s="1293" t="s">
        <v>798</v>
      </c>
      <c r="B3" s="1294">
        <f ca="1">IF(ISERROR(D2/F43),0,ROUND(D2/F43,0))</f>
        <v>3776</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12976</v>
      </c>
      <c r="D5" s="1269" t="s">
        <v>685</v>
      </c>
      <c r="E5" s="1004"/>
      <c r="F5" s="1005"/>
      <c r="G5" s="1288"/>
      <c r="H5" s="291">
        <v>1</v>
      </c>
      <c r="I5" s="292" t="s">
        <v>684</v>
      </c>
      <c r="J5" s="1003">
        <f ca="1">J6+J10+J12</f>
        <v>0</v>
      </c>
      <c r="K5" s="1269" t="s">
        <v>685</v>
      </c>
      <c r="L5" s="1004"/>
      <c r="M5" s="1005"/>
    </row>
    <row r="6" spans="1:37" ht="18" customHeight="1">
      <c r="A6" s="1002" t="s">
        <v>398</v>
      </c>
      <c r="B6" s="3272" t="s">
        <v>686</v>
      </c>
      <c r="C6" s="1007">
        <f ca="1">ROUND(F6*F8*F7*(1-F9),0)</f>
        <v>12960</v>
      </c>
      <c r="D6" s="147" t="s">
        <v>2097</v>
      </c>
      <c r="E6" s="294" t="s">
        <v>688</v>
      </c>
      <c r="F6" s="295">
        <f ca="1">INDIRECT("'数据-取费表'!u"&amp;$G$1)</f>
        <v>1200</v>
      </c>
      <c r="G6" s="1288"/>
      <c r="H6" s="1002" t="s">
        <v>398</v>
      </c>
      <c r="I6" s="3272" t="s">
        <v>686</v>
      </c>
      <c r="J6" s="293">
        <f ca="1">ROUND(M6*M8*M7*(1-M9),0)</f>
        <v>0</v>
      </c>
      <c r="K6" s="1280" t="s">
        <v>2098</v>
      </c>
      <c r="L6" s="294" t="s">
        <v>688</v>
      </c>
      <c r="M6" s="295">
        <f ca="1">INDIRECT("'数据-取费表'!z"&amp;$G$1)</f>
        <v>0</v>
      </c>
    </row>
    <row r="7" spans="1:37" ht="18" customHeight="1">
      <c r="A7" s="1006"/>
      <c r="B7" s="3273"/>
      <c r="C7" s="1008"/>
      <c r="D7" s="299"/>
      <c r="E7" s="1009" t="s">
        <v>689</v>
      </c>
      <c r="F7" s="295">
        <f ca="1">IF(INDIRECT("'数据-取费表'!ah"&amp;$G$1)="",INDIRECT("'数据-取费表'!k"&amp;$G$1),INDIRECT("'数据-取费表'!ah"&amp;$G$1))</f>
        <v>1</v>
      </c>
      <c r="G7" s="1288"/>
      <c r="H7" s="296"/>
      <c r="I7" s="3273"/>
      <c r="J7" s="298"/>
      <c r="K7" s="299"/>
      <c r="L7" s="294" t="s">
        <v>689</v>
      </c>
      <c r="M7" s="295">
        <f ca="1">F7</f>
        <v>1</v>
      </c>
    </row>
    <row r="8" spans="1:37" ht="18" customHeight="1">
      <c r="A8" s="296"/>
      <c r="B8" s="3273"/>
      <c r="C8" s="298"/>
      <c r="D8" s="299"/>
      <c r="E8" s="294" t="s">
        <v>690</v>
      </c>
      <c r="F8" s="295">
        <f ca="1">INDIRECT("'数据-取费表'!ai"&amp;$G$1)</f>
        <v>12</v>
      </c>
      <c r="G8" s="1288"/>
      <c r="H8" s="296"/>
      <c r="I8" s="3273"/>
      <c r="J8" s="298"/>
      <c r="K8" s="299"/>
      <c r="L8" s="294" t="s">
        <v>690</v>
      </c>
      <c r="M8" s="295">
        <f ca="1">INDIRECT("'数据-取费表'!ai"&amp;$G$1)</f>
        <v>12</v>
      </c>
    </row>
    <row r="9" spans="1:37" ht="18" customHeight="1">
      <c r="A9" s="296"/>
      <c r="B9" s="3274"/>
      <c r="C9" s="298"/>
      <c r="D9" s="299"/>
      <c r="E9" s="294" t="s">
        <v>691</v>
      </c>
      <c r="F9" s="304">
        <f ca="1">INDIRECT("'数据-取费表'!w"&amp;$G$1)</f>
        <v>0.1</v>
      </c>
      <c r="G9" s="1288"/>
      <c r="H9" s="296"/>
      <c r="I9" s="3274"/>
      <c r="J9" s="298"/>
      <c r="K9" s="299"/>
      <c r="L9" s="305" t="s">
        <v>691</v>
      </c>
      <c r="M9" s="306">
        <f ca="1">INDIRECT("'数据-取费表'!ab"&amp;$G$1)</f>
        <v>0</v>
      </c>
    </row>
    <row r="10" spans="1:37" ht="18" customHeight="1">
      <c r="A10" s="1002" t="s">
        <v>402</v>
      </c>
      <c r="B10" s="1270" t="s">
        <v>692</v>
      </c>
      <c r="C10" s="308">
        <f ca="1">ROUND(IF(F10="押一",C6/12*F11,IF(F10="押二",C6/12*2*F11,IF(F10="押三",C6/12*3*F11,C11*F11))),0)</f>
        <v>16</v>
      </c>
      <c r="D10" s="150" t="s">
        <v>2107</v>
      </c>
      <c r="E10" s="305" t="s">
        <v>693</v>
      </c>
      <c r="F10" s="1049" t="s">
        <v>3454</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231589</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214120</v>
      </c>
      <c r="D14" s="1253" t="s">
        <v>700</v>
      </c>
      <c r="E14" s="1251"/>
      <c r="F14" s="311"/>
      <c r="G14" s="1288"/>
      <c r="H14" s="925" t="s">
        <v>398</v>
      </c>
      <c r="I14" s="294" t="s">
        <v>701</v>
      </c>
      <c r="J14" s="21">
        <f ca="1">C29</f>
        <v>285912</v>
      </c>
      <c r="K14" s="12"/>
      <c r="L14" s="756"/>
      <c r="M14" s="757"/>
    </row>
    <row r="15" spans="1:37" s="1300" customFormat="1" ht="18" customHeight="1" thickBot="1">
      <c r="A15" s="925" t="s">
        <v>399</v>
      </c>
      <c r="B15" s="294" t="s">
        <v>702</v>
      </c>
      <c r="C15" s="21">
        <f ca="1">ROUND(C14*F15,0)</f>
        <v>10706</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572</v>
      </c>
      <c r="K16" s="1020" t="s">
        <v>707</v>
      </c>
      <c r="L16" s="1021"/>
      <c r="M16" s="1005"/>
    </row>
    <row r="17" spans="1:37" s="1300" customFormat="1" ht="18" customHeight="1">
      <c r="A17" s="925" t="s">
        <v>673</v>
      </c>
      <c r="B17" s="294" t="s">
        <v>708</v>
      </c>
      <c r="C17" s="21">
        <f ca="1">ROUND(F17*(F43+INDIRECT("'数据-取费表'!S"&amp;$G$1)),0)</f>
        <v>10706</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4282</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239814</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4796</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572</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7656</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704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675</v>
      </c>
      <c r="I24" s="1023" t="s">
        <v>720</v>
      </c>
      <c r="J24" s="1024">
        <f ca="1">ROUND(J5*M24,0)</f>
        <v>0</v>
      </c>
      <c r="K24" s="1025" t="s">
        <v>740</v>
      </c>
      <c r="L24" s="1023" t="s">
        <v>704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-572</v>
      </c>
      <c r="K25" s="1028" t="s">
        <v>745</v>
      </c>
      <c r="L25" s="1029"/>
      <c r="M25" s="1030"/>
    </row>
    <row r="26" spans="1:37" ht="18" customHeight="1">
      <c r="A26" s="925" t="s">
        <v>397</v>
      </c>
      <c r="B26" s="294" t="s">
        <v>746</v>
      </c>
      <c r="C26" s="21">
        <f ca="1">ROUND((C19+C20)*F26,0)</f>
        <v>12231</v>
      </c>
      <c r="D26" s="315" t="s">
        <v>747</v>
      </c>
      <c r="E26" s="305" t="s">
        <v>748</v>
      </c>
      <c r="F26" s="304">
        <f ca="1">INDIRECT("'数据-取费表'!q"&amp;$G$1)</f>
        <v>0.05</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285912</v>
      </c>
      <c r="D29" s="1025"/>
      <c r="E29" s="1023"/>
      <c r="F29" s="1026"/>
      <c r="G29" s="1299"/>
      <c r="H29" s="325" t="s">
        <v>396</v>
      </c>
      <c r="I29" s="326" t="s">
        <v>760</v>
      </c>
      <c r="J29" s="327">
        <f ca="1">ROUND(J26/(1+F40)^F41,0)</f>
        <v>0</v>
      </c>
      <c r="K29" s="328" t="s">
        <v>761</v>
      </c>
      <c r="L29" s="329"/>
      <c r="M29" s="330">
        <f ca="1">INDIRECT("'数据-取费表'!k"&amp;$G$1)</f>
        <v>53.53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1798</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864</v>
      </c>
      <c r="D31" s="1253" t="s">
        <v>712</v>
      </c>
      <c r="E31" s="1252" t="s">
        <v>762</v>
      </c>
      <c r="F31" s="2134">
        <f ca="1">IF(项目基本情况!B11="企业","——",IF(M47="住宅",IF(F6*F7*F8/12/(1+'数据-取费表'!F30)&gt;100000,4%,2.5%),IF(F6*F7*F8/12/(1+'数据-取费表'!F30)&gt;100000,12%,7%)))</f>
        <v>7.0000000000000007E-2</v>
      </c>
      <c r="G31" s="1288"/>
      <c r="H31" s="3521"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572</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232</v>
      </c>
      <c r="D37" s="1252" t="s">
        <v>735</v>
      </c>
      <c r="E37" s="294" t="s">
        <v>704</v>
      </c>
      <c r="F37" s="321">
        <f ca="1">INDIRECT("'数据-取费表'!Al"&amp;$G$1)</f>
        <v>1E-3</v>
      </c>
      <c r="G37" s="1288"/>
      <c r="H37" s="2469"/>
      <c r="I37" s="1301"/>
      <c r="J37" s="1302"/>
      <c r="K37" s="2326"/>
      <c r="L37" s="2469"/>
      <c r="M37" s="2469"/>
    </row>
    <row r="38" spans="1:18" ht="18" customHeight="1" thickBot="1">
      <c r="A38" s="1022" t="s">
        <v>675</v>
      </c>
      <c r="B38" s="1023" t="s">
        <v>720</v>
      </c>
      <c r="C38" s="1024">
        <f ca="1">ROUND(C5*F38,0)</f>
        <v>130</v>
      </c>
      <c r="D38" s="1025" t="s">
        <v>740</v>
      </c>
      <c r="E38" s="1023" t="s">
        <v>704</v>
      </c>
      <c r="F38" s="1019">
        <f ca="1">INDIRECT("'数据-取费表'!Am"&amp;$G$1)</f>
        <v>0.01</v>
      </c>
      <c r="G38" s="1288"/>
      <c r="H38" s="2469"/>
      <c r="I38" s="1301"/>
      <c r="J38" s="1302"/>
      <c r="K38" s="2467"/>
      <c r="L38" s="2469"/>
      <c r="M38" s="2469"/>
    </row>
    <row r="39" spans="1:18" ht="24.6" customHeight="1" thickTop="1">
      <c r="A39" s="1012" t="s">
        <v>394</v>
      </c>
      <c r="B39" s="1027" t="s">
        <v>744</v>
      </c>
      <c r="C39" s="302">
        <f ca="1">C5-C30</f>
        <v>11178</v>
      </c>
      <c r="D39" s="1028" t="s">
        <v>745</v>
      </c>
      <c r="E39" s="1029"/>
      <c r="F39" s="1030"/>
      <c r="G39" s="1288"/>
      <c r="H39" s="2469"/>
      <c r="I39" s="1301"/>
      <c r="J39" s="1302"/>
      <c r="K39" s="2467"/>
      <c r="L39" s="2469"/>
      <c r="M39" s="2469"/>
    </row>
    <row r="40" spans="1:18" ht="18" customHeight="1">
      <c r="A40" s="291" t="s">
        <v>395</v>
      </c>
      <c r="B40" s="292" t="s">
        <v>766</v>
      </c>
      <c r="C40" s="293">
        <f ca="1">ROUND(C39*(1-((1+F42)/(1+F40))^F41)/(F40-F42),0)</f>
        <v>187966</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1.4999999999999999E-2</v>
      </c>
      <c r="G42" s="1288"/>
      <c r="H42" s="121"/>
      <c r="I42" s="1301"/>
      <c r="J42" s="1302"/>
      <c r="K42" s="2326"/>
      <c r="L42" s="121"/>
      <c r="M42" s="121"/>
    </row>
    <row r="43" spans="1:18" ht="18" customHeight="1" thickBot="1">
      <c r="A43" s="325" t="s">
        <v>396</v>
      </c>
      <c r="B43" s="326" t="s">
        <v>768</v>
      </c>
      <c r="C43" s="327">
        <f ca="1">ROUND(C40/F43,0)</f>
        <v>3511</v>
      </c>
      <c r="D43" s="328" t="s">
        <v>769</v>
      </c>
      <c r="E43" s="329" t="s">
        <v>770</v>
      </c>
      <c r="F43" s="330">
        <f ca="1">INDIRECT("'数据-取费表'!k"&amp;$G$1)</f>
        <v>53.53</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-19.947199999999999</v>
      </c>
      <c r="D45" s="3125" t="s">
        <v>3333</v>
      </c>
      <c r="E45" s="1303"/>
      <c r="F45" s="1303"/>
      <c r="O45" s="1306" t="s">
        <v>800</v>
      </c>
      <c r="P45" s="1362"/>
      <c r="Q45" s="1362"/>
      <c r="R45" s="1362"/>
    </row>
    <row r="46" spans="1:18" s="1288" customFormat="1" ht="13.5" thickBot="1">
      <c r="A46" s="1307" t="s">
        <v>801</v>
      </c>
      <c r="C46" s="1308">
        <f ca="1">ROUND(C45,0)</f>
        <v>-20</v>
      </c>
      <c r="D46" s="1309" t="str">
        <f>C2</f>
        <v>万元</v>
      </c>
      <c r="I46" s="1310" t="s">
        <v>802</v>
      </c>
      <c r="J46" s="1311"/>
      <c r="K46" s="1312"/>
      <c r="L46" s="1313">
        <f ca="1">IF(M47="住宅",0,IF(L48&gt;J51,L60,J60))</f>
        <v>14155</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3455</v>
      </c>
      <c r="K47" s="1319" t="s">
        <v>808</v>
      </c>
      <c r="L47" s="1320">
        <f ca="1">INDIRECT("'数据-取费表'!d"&amp;$G$1)</f>
        <v>50</v>
      </c>
      <c r="M47" s="1284" t="str">
        <f>IF(ISNUMBER(FIND("住宅",C1)),"住宅","非住宅")</f>
        <v>非住宅</v>
      </c>
      <c r="O47" s="1321" t="s">
        <v>403</v>
      </c>
      <c r="P47" s="1322" t="s">
        <v>809</v>
      </c>
      <c r="Q47" s="1323">
        <f ca="1">C40+J29</f>
        <v>187966</v>
      </c>
      <c r="R47" s="1323" t="s">
        <v>810</v>
      </c>
    </row>
    <row r="48" spans="1:18" s="1288" customFormat="1" ht="28.5" thickBot="1">
      <c r="A48" s="1043" t="s">
        <v>438</v>
      </c>
      <c r="B48" s="292" t="s">
        <v>684</v>
      </c>
      <c r="C48" s="1264">
        <f ca="1">C49+C53+C55</f>
        <v>0</v>
      </c>
      <c r="D48" s="1045"/>
      <c r="E48" s="1046"/>
      <c r="F48" s="905"/>
      <c r="G48" s="681"/>
      <c r="H48" s="682"/>
      <c r="I48" s="1324" t="s">
        <v>811</v>
      </c>
      <c r="J48" s="1325" t="s">
        <v>3456</v>
      </c>
      <c r="K48" s="1326" t="s">
        <v>812</v>
      </c>
      <c r="L48" s="1327">
        <f ca="1">INDIRECT("'数据-取费表'!f"&amp;$G$1)</f>
        <v>28.89</v>
      </c>
      <c r="O48" s="1321" t="s">
        <v>404</v>
      </c>
      <c r="P48" s="1322" t="s">
        <v>813</v>
      </c>
      <c r="Q48" s="1323">
        <f ca="1">J60</f>
        <v>14155</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285912</v>
      </c>
      <c r="R49" s="1323" t="s">
        <v>810</v>
      </c>
    </row>
    <row r="50" spans="1:18" s="1288" customFormat="1" ht="13.5" thickBot="1">
      <c r="A50" s="919"/>
      <c r="B50" s="922"/>
      <c r="C50" s="923"/>
      <c r="D50" s="896"/>
      <c r="E50" s="989" t="s">
        <v>689</v>
      </c>
      <c r="F50" s="990">
        <f ca="1">F7</f>
        <v>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12</v>
      </c>
      <c r="I51" s="1334" t="s">
        <v>821</v>
      </c>
      <c r="J51" s="1327">
        <f>IF(J49="",J50,J49+J50-YEAR('数据-取费表'!B2))</f>
        <v>43</v>
      </c>
      <c r="K51" s="1335" t="s">
        <v>822</v>
      </c>
      <c r="L51" s="1336">
        <f ca="1">ROUND(-PV(INDIRECT("'数据-取费表'!h"&amp;$G$1),J51,(C39-C13*C76),0),0)</f>
        <v>-88313</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270" t="s">
        <v>829</v>
      </c>
      <c r="L53" s="3271"/>
      <c r="O53" s="1321" t="s">
        <v>409</v>
      </c>
      <c r="P53" s="1322" t="s">
        <v>830</v>
      </c>
      <c r="Q53" s="1323">
        <f ca="1">Q47+Q48</f>
        <v>202121</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231589</v>
      </c>
      <c r="D56" s="1348"/>
      <c r="E56" s="1349"/>
      <c r="F56" s="1341"/>
      <c r="I56" s="1350" t="s">
        <v>834</v>
      </c>
      <c r="J56" s="1351" t="s">
        <v>3467</v>
      </c>
      <c r="K56" s="1324" t="s">
        <v>835</v>
      </c>
      <c r="L56" s="1327" t="str">
        <f ca="1">IF(L48&lt;J51,"——",L48-J51)</f>
        <v>——</v>
      </c>
      <c r="O56" s="1321" t="s">
        <v>403</v>
      </c>
      <c r="P56" s="1322" t="s">
        <v>809</v>
      </c>
      <c r="Q56" s="1323">
        <f ca="1">C40+J29</f>
        <v>187966</v>
      </c>
      <c r="R56" s="1323" t="s">
        <v>810</v>
      </c>
    </row>
    <row r="57" spans="1:18" s="1288" customFormat="1" ht="24.75" thickBot="1">
      <c r="A57" s="1352"/>
      <c r="B57" s="893" t="s">
        <v>759</v>
      </c>
      <c r="C57" s="230">
        <f ca="1">C29</f>
        <v>285912</v>
      </c>
      <c r="D57" s="1353"/>
      <c r="E57" s="1354"/>
      <c r="F57" s="1355"/>
      <c r="I57" s="1356" t="s">
        <v>836</v>
      </c>
      <c r="J57" s="1357">
        <f ca="1">IF(OR(M47="住宅",J51&lt;L48,J56="是"),"——",J51-L48)</f>
        <v>14.11</v>
      </c>
      <c r="K57" s="1324" t="s">
        <v>884</v>
      </c>
      <c r="L57" s="1327" t="str">
        <f ca="1">IF(L48&lt;J51,"——",IF(L55="比较法",L49,IF(L55="基准地价",L50,L51)))</f>
        <v>——</v>
      </c>
      <c r="O57" s="1321" t="s">
        <v>404</v>
      </c>
      <c r="P57" s="1322" t="s">
        <v>838</v>
      </c>
      <c r="Q57" s="1323">
        <f ca="1">L60</f>
        <v>0</v>
      </c>
      <c r="R57" s="1323" t="s">
        <v>839</v>
      </c>
    </row>
    <row r="58" spans="1:18" s="1288" customFormat="1" ht="24.75" thickBot="1">
      <c r="A58" s="307" t="s">
        <v>393</v>
      </c>
      <c r="B58" s="901" t="s">
        <v>706</v>
      </c>
      <c r="C58" s="308">
        <f ca="1">ROUND(C59+C64+C65+C66,0)</f>
        <v>804</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114365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14155</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719</v>
      </c>
      <c r="C61" s="21" t="str">
        <f ca="1">IF(项目基本情况!B11="自然人","——",IF(D61="按租金收入计税",ROUND(C49*F61/(1+'数据-取费表'!C42),0),IF(D61="按房产原值计税",ROUND(C57*F61*0.7,0),INDIRECT("'数据-取费表'!Aj"&amp;$G$1))))</f>
        <v>——</v>
      </c>
      <c r="D61" s="1274" t="s">
        <v>3316</v>
      </c>
      <c r="E61" s="893" t="s">
        <v>704</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722</v>
      </c>
      <c r="C62" s="22" t="str">
        <f>IF(项目基本情况!B11="自然人","——",ROUND(F62*F63,0))</f>
        <v>——</v>
      </c>
      <c r="D62" s="908" t="s">
        <v>723</v>
      </c>
      <c r="E62" s="893" t="s">
        <v>724</v>
      </c>
      <c r="F62" s="317">
        <f t="shared" si="0"/>
        <v>0</v>
      </c>
      <c r="I62" s="1363" t="s">
        <v>850</v>
      </c>
      <c r="J62" s="610" t="s">
        <v>851</v>
      </c>
      <c r="K62" s="610" t="s">
        <v>852</v>
      </c>
      <c r="L62" s="610" t="s">
        <v>853</v>
      </c>
      <c r="M62" s="1364" t="s">
        <v>854</v>
      </c>
      <c r="O62" s="1321" t="s">
        <v>409</v>
      </c>
      <c r="P62" s="1322" t="s">
        <v>830</v>
      </c>
      <c r="Q62" s="1323">
        <f ca="1">Q56+Q57</f>
        <v>187966</v>
      </c>
      <c r="R62" s="1323" t="s">
        <v>410</v>
      </c>
    </row>
    <row r="63" spans="1:18" s="1288" customFormat="1" ht="13.5" thickBot="1">
      <c r="A63" s="318"/>
      <c r="B63" s="899"/>
      <c r="C63" s="26"/>
      <c r="D63" s="909"/>
      <c r="E63" s="893" t="s">
        <v>728</v>
      </c>
      <c r="F63" s="295">
        <f t="shared" ca="1" si="0"/>
        <v>0</v>
      </c>
      <c r="I63" s="1363" t="s">
        <v>856</v>
      </c>
      <c r="J63" s="610">
        <v>70</v>
      </c>
      <c r="K63" s="610">
        <v>50</v>
      </c>
      <c r="L63" s="610">
        <v>80</v>
      </c>
      <c r="M63" s="1365">
        <v>0.02</v>
      </c>
      <c r="O63" s="1306" t="s">
        <v>857</v>
      </c>
      <c r="P63" s="1285"/>
      <c r="Q63" s="1285"/>
      <c r="R63" s="1285"/>
    </row>
    <row r="64" spans="1:18" s="1288" customFormat="1" ht="13.5" thickBot="1">
      <c r="A64" s="925" t="s">
        <v>402</v>
      </c>
      <c r="B64" s="893" t="s">
        <v>730</v>
      </c>
      <c r="C64" s="21">
        <f ca="1">ROUND(C57*F64,0)</f>
        <v>572</v>
      </c>
      <c r="D64" s="907" t="s">
        <v>763</v>
      </c>
      <c r="E64" s="893" t="s">
        <v>704</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232</v>
      </c>
      <c r="D65" s="907" t="s">
        <v>735</v>
      </c>
      <c r="E65" s="893" t="s">
        <v>704</v>
      </c>
      <c r="F65" s="321">
        <f t="shared" ca="1" si="0"/>
        <v>1E-3</v>
      </c>
      <c r="I65" s="1363" t="s">
        <v>859</v>
      </c>
      <c r="J65" s="610">
        <v>40</v>
      </c>
      <c r="K65" s="610">
        <v>30</v>
      </c>
      <c r="L65" s="610">
        <v>50</v>
      </c>
      <c r="M65" s="1365">
        <v>0.02</v>
      </c>
      <c r="O65" s="1321" t="s">
        <v>403</v>
      </c>
      <c r="P65" s="1322" t="s">
        <v>809</v>
      </c>
      <c r="Q65" s="1323">
        <f ca="1">C40+J29</f>
        <v>187966</v>
      </c>
      <c r="R65" s="1323" t="s">
        <v>810</v>
      </c>
    </row>
    <row r="66" spans="1:18" s="1288" customFormat="1" ht="16.5" thickBot="1">
      <c r="A66" s="925" t="s">
        <v>785</v>
      </c>
      <c r="B66" s="893" t="s">
        <v>720</v>
      </c>
      <c r="C66" s="21">
        <f ca="1">ROUND(C48*F66,0)</f>
        <v>0</v>
      </c>
      <c r="D66" s="907" t="s">
        <v>740</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-804</v>
      </c>
      <c r="D67" s="906" t="s">
        <v>745</v>
      </c>
      <c r="E67" s="911"/>
      <c r="F67" s="912"/>
      <c r="O67" s="1330" t="s">
        <v>405</v>
      </c>
      <c r="P67" s="1322" t="s">
        <v>842</v>
      </c>
      <c r="Q67" s="1366">
        <f ca="1">L51</f>
        <v>-88313</v>
      </c>
      <c r="R67" s="1323" t="s">
        <v>862</v>
      </c>
    </row>
    <row r="68" spans="1:18" s="1288" customFormat="1" ht="16.5" thickBot="1">
      <c r="A68" s="890" t="s">
        <v>395</v>
      </c>
      <c r="B68" s="891" t="s">
        <v>766</v>
      </c>
      <c r="C68" s="293">
        <f ca="1">ROUND(C67*(1-((1+F70)/(1+F68))^F69)/(F68-F70),0)</f>
        <v>-11506</v>
      </c>
      <c r="D68" s="908" t="s">
        <v>750</v>
      </c>
      <c r="E68" s="893" t="s">
        <v>751</v>
      </c>
      <c r="F68" s="304">
        <f ca="1">F40</f>
        <v>5.5E-2</v>
      </c>
      <c r="O68" s="1330" t="s">
        <v>406</v>
      </c>
      <c r="P68" s="1367" t="s">
        <v>863</v>
      </c>
      <c r="Q68" s="1323">
        <f ca="1">ROUND(Q69-Q70*Q71,0)</f>
        <v>-5033</v>
      </c>
      <c r="R68" s="1323" t="s">
        <v>414</v>
      </c>
    </row>
    <row r="69" spans="1:18" s="1288" customFormat="1" ht="13.5" thickBot="1">
      <c r="A69" s="894"/>
      <c r="B69" s="895"/>
      <c r="C69" s="298"/>
      <c r="D69" s="913" t="s">
        <v>754</v>
      </c>
      <c r="E69" s="893" t="s">
        <v>755</v>
      </c>
      <c r="F69" s="324">
        <f ca="1">F41</f>
        <v>28.89</v>
      </c>
      <c r="O69" s="1330" t="s">
        <v>411</v>
      </c>
      <c r="P69" s="1367" t="s">
        <v>864</v>
      </c>
      <c r="Q69" s="1323">
        <f ca="1">C39</f>
        <v>11178</v>
      </c>
      <c r="R69" s="1323" t="s">
        <v>810</v>
      </c>
    </row>
    <row r="70" spans="1:18" s="1288" customFormat="1" ht="13.5" thickBot="1">
      <c r="A70" s="897"/>
      <c r="B70" s="898"/>
      <c r="C70" s="302"/>
      <c r="D70" s="909"/>
      <c r="E70" s="893" t="s">
        <v>758</v>
      </c>
      <c r="F70" s="987"/>
      <c r="O70" s="1330" t="s">
        <v>412</v>
      </c>
      <c r="P70" s="1367" t="s">
        <v>865</v>
      </c>
      <c r="Q70" s="1323">
        <f ca="1">C13</f>
        <v>231589</v>
      </c>
      <c r="R70" s="1323" t="s">
        <v>810</v>
      </c>
    </row>
    <row r="71" spans="1:18" s="1288" customFormat="1" ht="13.5" thickBot="1">
      <c r="A71" s="914" t="s">
        <v>396</v>
      </c>
      <c r="B71" s="915" t="s">
        <v>768</v>
      </c>
      <c r="C71" s="327">
        <f ca="1">ROUND(C68/F71,0)</f>
        <v>-215</v>
      </c>
      <c r="D71" s="916" t="s">
        <v>769</v>
      </c>
      <c r="E71" s="917" t="s">
        <v>770</v>
      </c>
      <c r="F71" s="330">
        <f ca="1">F43</f>
        <v>53.53</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16211</v>
      </c>
      <c r="D75" s="1288"/>
      <c r="E75" s="1288"/>
      <c r="F75" s="1288"/>
      <c r="K75" s="1305"/>
      <c r="L75" s="1288"/>
      <c r="O75" s="1321" t="s">
        <v>409</v>
      </c>
      <c r="P75" s="1322" t="s">
        <v>830</v>
      </c>
      <c r="Q75" s="1323">
        <f ca="1">Q65+Q66</f>
        <v>187966</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-0.44999999999999996</v>
      </c>
    </row>
    <row r="80" spans="1:18">
      <c r="B80" s="331" t="s">
        <v>792</v>
      </c>
      <c r="C80" s="266">
        <f ca="1">ROUND(C75/C39,3)</f>
        <v>1.45</v>
      </c>
    </row>
    <row r="81" spans="2:3">
      <c r="B81" s="262" t="s">
        <v>793</v>
      </c>
      <c r="C81" s="230"/>
    </row>
    <row r="82" spans="2:3">
      <c r="B82" s="265" t="s">
        <v>794</v>
      </c>
      <c r="C82" s="267">
        <f ca="1">1-C83</f>
        <v>-0.23199999999999998</v>
      </c>
    </row>
    <row r="83" spans="2:3">
      <c r="B83" s="265" t="s">
        <v>795</v>
      </c>
      <c r="C83" s="266">
        <f ca="1">ROUND(C13/C40,3)</f>
        <v>1.232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D1" xr:uid="{D668AECE-853E-49BD-A048-178F60396205}">
      <formula1>"在建（套用方法）,土地（套用方法）,——"</formula1>
    </dataValidation>
    <dataValidation type="list" allowBlank="1" showInputMessage="1" showErrorMessage="1" sqref="F10 F53 M10" xr:uid="{37CA651F-3586-4099-B58F-114C4192C260}">
      <formula1>"押一,押二,押三,自定义"</formula1>
    </dataValidation>
    <dataValidation type="list" allowBlank="1" showInputMessage="1" showErrorMessage="1" sqref="K19" xr:uid="{707DF4F4-67A5-4D42-8F62-E82A846FB1DB}">
      <formula1>"按租金收入计税,按房产原值计税"</formula1>
    </dataValidation>
    <dataValidation type="list" allowBlank="1" showInputMessage="1" showErrorMessage="1" sqref="D33 D61" xr:uid="{0E17F620-B376-4E31-9020-4E9CFD8304E7}">
      <formula1>"按租金收入计税,按房产原值计税,按票据"</formula1>
    </dataValidation>
    <dataValidation type="list" allowBlank="1" showInputMessage="1" showErrorMessage="1" sqref="C1" xr:uid="{D39D67F3-BD73-48FE-89B1-5020E158EF23}">
      <formula1>项目类型</formula1>
    </dataValidation>
    <dataValidation type="list" allowBlank="1" showInputMessage="1" showErrorMessage="1" sqref="J47" xr:uid="{A8F54296-6D3D-41D5-9CAA-8895900E18A9}">
      <formula1>"钢,钢混,砖混"</formula1>
    </dataValidation>
    <dataValidation type="list" allowBlank="1" showInputMessage="1" showErrorMessage="1" sqref="J48" xr:uid="{C40D328C-8A2D-425D-B807-A9A3C189625A}">
      <formula1>"非生产用房,生产用房,受腐蚀的生产用房"</formula1>
    </dataValidation>
    <dataValidation type="list" allowBlank="1" showInputMessage="1" showErrorMessage="1" sqref="J56" xr:uid="{AE574C16-3C42-4327-AB90-A1A3FFAAC3DD}">
      <formula1>估价范围判定</formula1>
    </dataValidation>
    <dataValidation type="list" allowBlank="1" showInputMessage="1" showErrorMessage="1" sqref="L55" xr:uid="{5D91336F-B380-4101-BB15-1EF7420FAA1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890</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891</v>
      </c>
    </row>
    <row r="6" spans="1:1" ht="18.75">
      <c r="A6" s="1380" t="s">
        <v>892</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估价对象为北京市房地产，为所有。根据《国有土地使用证》[]，估价对象（分摊）出让国有建设用地使用权面积为0平方米，建筑面积为2178.63平方米。</v>
      </c>
    </row>
    <row r="8" spans="1:1" ht="57.75">
      <c r="A8" s="1381" t="s">
        <v>893</v>
      </c>
    </row>
    <row r="9" spans="1:1" ht="18.75">
      <c r="A9" s="1380" t="s">
        <v>894</v>
      </c>
    </row>
    <row r="10" spans="1:1" ht="54">
      <c r="A10" s="1378"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估价对象为北京市房地产,属开发建设的，该项目尚在开发建设中。根据《国有土地使用证》[]，估价对象（分摊）出让国有建设用地使用权面积为0平方米，规划建筑面积为2178.63平方米。</v>
      </c>
    </row>
    <row r="11" spans="1:1" ht="76.5">
      <c r="A11" s="1381" t="s">
        <v>895</v>
      </c>
    </row>
    <row r="12" spans="1:1" ht="18.75">
      <c r="A12" s="1379" t="s">
        <v>896</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897</v>
      </c>
    </row>
    <row r="15" spans="1:1" ht="18">
      <c r="A15" s="1382" t="str">
        <f>TEXT(项目基本情况!D3,"yyyy年m月d日;;")&amp;IF(项目基本情况!D3=项目基本情况!B3,"（评估专业人员实地查勘之日）","")</f>
        <v>2025年10月13日（评估专业人员实地查勘之日）</v>
      </c>
    </row>
    <row r="16" spans="1:1" ht="18.75">
      <c r="A16" s="1377" t="s">
        <v>898</v>
      </c>
    </row>
    <row r="17" spans="1:1" ht="75">
      <c r="A17" s="1378" t="s">
        <v>899</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8" t="str">
        <f>IF(项目基本情况!B9="房地产市场价值","——",IF(项目基本情况!E8="房地产抵押价值",定义!C54,IF(项目基本情况!E8="已注销",定义!C55,定义!C56)))</f>
        <v>——</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378" t="str">
        <f>IF(项目基本情况!B9="房地产市场价值","——",IF(项目基本情况!E9="——","",定义!C57))</f>
        <v>——</v>
      </c>
    </row>
    <row r="23" spans="1:1" ht="18.75">
      <c r="A23" s="1377" t="s">
        <v>888</v>
      </c>
    </row>
    <row r="24" spans="1:1" ht="18">
      <c r="A24" s="1383" t="str">
        <f>"本次评估采用的主估价方法为"&amp;'结果表-车位'!K4&amp;"和"&amp;'结果表-车位'!L4&amp;"。"</f>
        <v>本次评估采用的主估价方法为比较法和收益法。</v>
      </c>
    </row>
    <row r="25" spans="1:1" ht="18">
      <c r="A25" s="1383"/>
    </row>
    <row r="26" spans="1:1" ht="18.75">
      <c r="A26" s="1384" t="s">
        <v>889</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E8A5-83FB-4373-B573-8D89F23D060A}">
  <sheetPr>
    <tabColor rgb="FF92D050"/>
  </sheetPr>
  <dimension ref="A1:AS524"/>
  <sheetViews>
    <sheetView zoomScale="90" zoomScaleNormal="90" workbookViewId="0">
      <pane ySplit="24" topLeftCell="A25" activePane="bottomLeft" state="frozen"/>
      <selection activeCell="L14" sqref="L14"/>
      <selection pane="bottomLeft" activeCell="R24" sqref="R24:S2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3" t="s">
        <v>2076</v>
      </c>
      <c r="D1" s="3424"/>
      <c r="E1" s="3424"/>
      <c r="F1" s="3424"/>
      <c r="G1" s="3424"/>
      <c r="H1" s="3424"/>
      <c r="I1" s="3424"/>
      <c r="J1" s="3424"/>
      <c r="K1" s="3424"/>
      <c r="L1" s="3424"/>
      <c r="M1" s="3424"/>
      <c r="N1" s="3424"/>
      <c r="O1" s="3424"/>
      <c r="P1" s="3424"/>
      <c r="Q1" s="3424"/>
      <c r="R1" s="3424"/>
      <c r="S1" s="3425"/>
      <c r="T1" s="926" t="s">
        <v>1981</v>
      </c>
    </row>
    <row r="2" spans="1:45" s="625" customFormat="1" ht="38.25">
      <c r="A2" s="927"/>
      <c r="B2" s="622" t="s">
        <v>1057</v>
      </c>
      <c r="C2" s="14" t="str">
        <f t="shared" ref="C2:R2" si="0">C3&amp;"(含)"&amp;"-"&amp;D3</f>
        <v>0(含)-35</v>
      </c>
      <c r="D2" s="623" t="str">
        <f t="shared" si="0"/>
        <v>35(含)-45</v>
      </c>
      <c r="E2" s="623" t="str">
        <f t="shared" si="0"/>
        <v>45(含)-55</v>
      </c>
      <c r="F2" s="623" t="str">
        <f t="shared" si="0"/>
        <v>55(含)-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ht="14.25">
      <c r="A3" s="929"/>
      <c r="B3" s="626"/>
      <c r="C3" s="6">
        <v>0</v>
      </c>
      <c r="D3" s="6">
        <v>35</v>
      </c>
      <c r="E3" s="6">
        <v>45</v>
      </c>
      <c r="F3" s="6">
        <v>55</v>
      </c>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5" thickBot="1">
      <c r="A4" s="930"/>
      <c r="B4" s="931"/>
      <c r="C4" s="491">
        <v>100</v>
      </c>
      <c r="D4" s="467">
        <v>101</v>
      </c>
      <c r="E4" s="467">
        <v>102</v>
      </c>
      <c r="F4" s="467">
        <v>103</v>
      </c>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5" thickTop="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1">D6-$T5</f>
        <v>100</v>
      </c>
      <c r="F6" s="1227">
        <f t="shared" si="1"/>
        <v>100</v>
      </c>
      <c r="G6" s="1227">
        <f t="shared" si="1"/>
        <v>100</v>
      </c>
      <c r="H6" s="1227">
        <f t="shared" si="1"/>
        <v>100</v>
      </c>
      <c r="I6" s="1227">
        <f t="shared" si="1"/>
        <v>100</v>
      </c>
      <c r="J6" s="1227">
        <f t="shared" si="1"/>
        <v>100</v>
      </c>
      <c r="K6" s="1227">
        <f t="shared" si="1"/>
        <v>100</v>
      </c>
      <c r="L6" s="1227">
        <f t="shared" si="1"/>
        <v>100</v>
      </c>
      <c r="M6" s="1227">
        <f t="shared" si="1"/>
        <v>100</v>
      </c>
      <c r="N6" s="1227">
        <f t="shared" si="1"/>
        <v>100</v>
      </c>
      <c r="O6" s="1227">
        <f t="shared" si="1"/>
        <v>100</v>
      </c>
      <c r="P6" s="1227">
        <f t="shared" si="1"/>
        <v>100</v>
      </c>
      <c r="Q6" s="1227">
        <f t="shared" si="1"/>
        <v>100</v>
      </c>
      <c r="R6" s="1227">
        <f t="shared" si="1"/>
        <v>100</v>
      </c>
      <c r="S6" s="1227">
        <f t="shared" si="1"/>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2">D8-$T7</f>
        <v>100</v>
      </c>
      <c r="F8" s="1227">
        <f t="shared" si="2"/>
        <v>100</v>
      </c>
      <c r="G8" s="1227">
        <f t="shared" si="2"/>
        <v>100</v>
      </c>
      <c r="H8" s="1227">
        <f t="shared" si="2"/>
        <v>100</v>
      </c>
      <c r="I8" s="1227">
        <f t="shared" si="2"/>
        <v>100</v>
      </c>
      <c r="J8" s="1227">
        <f t="shared" si="2"/>
        <v>100</v>
      </c>
      <c r="K8" s="1227">
        <f t="shared" si="2"/>
        <v>100</v>
      </c>
      <c r="L8" s="1227">
        <f t="shared" si="2"/>
        <v>100</v>
      </c>
      <c r="M8" s="1227">
        <f t="shared" si="2"/>
        <v>100</v>
      </c>
      <c r="N8" s="1227">
        <f t="shared" si="2"/>
        <v>100</v>
      </c>
      <c r="O8" s="1227">
        <f t="shared" si="2"/>
        <v>100</v>
      </c>
      <c r="P8" s="1227">
        <f t="shared" si="2"/>
        <v>100</v>
      </c>
      <c r="Q8" s="1227">
        <f t="shared" si="2"/>
        <v>100</v>
      </c>
      <c r="R8" s="1227">
        <f t="shared" si="2"/>
        <v>100</v>
      </c>
      <c r="S8" s="1227">
        <f t="shared" si="2"/>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3">D10-$T9</f>
        <v>100</v>
      </c>
      <c r="F10" s="1236">
        <f t="shared" si="3"/>
        <v>100</v>
      </c>
      <c r="G10" s="1236">
        <f t="shared" si="3"/>
        <v>100</v>
      </c>
      <c r="H10" s="1236">
        <f t="shared" si="3"/>
        <v>100</v>
      </c>
      <c r="I10" s="1236">
        <f t="shared" si="3"/>
        <v>100</v>
      </c>
      <c r="J10" s="1236">
        <f t="shared" si="3"/>
        <v>100</v>
      </c>
      <c r="K10" s="1236">
        <f t="shared" si="3"/>
        <v>100</v>
      </c>
      <c r="L10" s="1236">
        <f t="shared" si="3"/>
        <v>100</v>
      </c>
      <c r="M10" s="1236">
        <f t="shared" si="3"/>
        <v>100</v>
      </c>
      <c r="N10" s="1236">
        <f t="shared" si="3"/>
        <v>100</v>
      </c>
      <c r="O10" s="1236">
        <f t="shared" si="3"/>
        <v>100</v>
      </c>
      <c r="P10" s="1236">
        <f t="shared" si="3"/>
        <v>100</v>
      </c>
      <c r="Q10" s="1236">
        <f t="shared" si="3"/>
        <v>100</v>
      </c>
      <c r="R10" s="1236">
        <f t="shared" si="3"/>
        <v>100</v>
      </c>
      <c r="S10" s="1236">
        <f t="shared" si="3"/>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4">D12-$T11</f>
        <v>100</v>
      </c>
      <c r="F12" s="846">
        <f t="shared" si="4"/>
        <v>100</v>
      </c>
      <c r="G12" s="846">
        <f t="shared" si="4"/>
        <v>100</v>
      </c>
      <c r="H12" s="846">
        <f t="shared" si="4"/>
        <v>100</v>
      </c>
      <c r="I12" s="846">
        <f t="shared" si="4"/>
        <v>100</v>
      </c>
      <c r="J12" s="846">
        <f t="shared" si="4"/>
        <v>100</v>
      </c>
      <c r="K12" s="846">
        <f t="shared" si="4"/>
        <v>100</v>
      </c>
      <c r="L12" s="846">
        <f t="shared" si="4"/>
        <v>100</v>
      </c>
      <c r="M12" s="846">
        <f t="shared" si="4"/>
        <v>100</v>
      </c>
      <c r="N12" s="846">
        <f t="shared" si="4"/>
        <v>100</v>
      </c>
      <c r="O12" s="846">
        <f t="shared" si="4"/>
        <v>100</v>
      </c>
      <c r="P12" s="846">
        <f t="shared" si="4"/>
        <v>100</v>
      </c>
      <c r="Q12" s="846">
        <f t="shared" si="4"/>
        <v>100</v>
      </c>
      <c r="R12" s="846">
        <f>Q12-$T11</f>
        <v>100</v>
      </c>
      <c r="S12" s="846">
        <f t="shared" si="4"/>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131</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6144</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213.22000000000003</v>
      </c>
      <c r="C22" s="3420" t="s">
        <v>27</v>
      </c>
      <c r="D22" s="3421"/>
      <c r="E22" s="3421"/>
      <c r="F22" s="3421"/>
      <c r="G22" s="3421"/>
      <c r="H22" s="3421"/>
      <c r="I22" s="3421"/>
      <c r="J22" s="3421"/>
      <c r="K22" s="3421"/>
      <c r="L22" s="3421"/>
      <c r="M22" s="3421"/>
      <c r="N22" s="3421"/>
      <c r="O22" s="3421"/>
      <c r="P22" s="3421"/>
      <c r="Q22" s="3422"/>
      <c r="R22" s="21">
        <f ca="1">ROUND(S22*10000/B22,0)</f>
        <v>6144</v>
      </c>
      <c r="S22" s="21">
        <f ca="1">SUM(S24:S10000)</f>
        <v>131</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3" t="s">
        <v>3495</v>
      </c>
      <c r="B24" s="633">
        <f>面积位置!D18</f>
        <v>53.53</v>
      </c>
      <c r="C24" s="2566">
        <v>1</v>
      </c>
      <c r="D24" s="2567"/>
      <c r="E24" s="2566">
        <v>1</v>
      </c>
      <c r="F24" s="2567"/>
      <c r="G24" s="2566">
        <v>1</v>
      </c>
      <c r="H24" s="2567"/>
      <c r="I24" s="2566">
        <v>1</v>
      </c>
      <c r="J24" s="2567"/>
      <c r="K24" s="2566">
        <v>1</v>
      </c>
      <c r="L24" s="2567"/>
      <c r="M24" s="2566">
        <v>1</v>
      </c>
      <c r="N24" s="2567"/>
      <c r="O24" s="2566">
        <v>1</v>
      </c>
      <c r="P24" s="2567"/>
      <c r="Q24" s="2566">
        <v>1</v>
      </c>
      <c r="R24" s="633">
        <f ca="1">'结果表-车位'!G20</f>
        <v>6188</v>
      </c>
      <c r="S24" s="634">
        <f t="shared" ref="S24:S87" ca="1" si="5">ROUND(R24*B24/10000,0)</f>
        <v>33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3" t="s">
        <v>3496</v>
      </c>
      <c r="B25" s="633">
        <f>面积位置!D19</f>
        <v>53.53</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c r="Q25" s="21">
        <f>(SUMIF($17:$17,P25,$18:$18)-SUMIF($17:$17,$P$24,$18:$18)+100)/100</f>
        <v>1</v>
      </c>
      <c r="R25" s="21">
        <f ca="1">IF(B25="",0,ROUND($R$24*C25*E25*G25*I25*K25*M25*O25*Q25,0))</f>
        <v>6188</v>
      </c>
      <c r="S25" s="308">
        <f t="shared" ca="1" si="5"/>
        <v>33</v>
      </c>
    </row>
    <row r="26" spans="1:45">
      <c r="A26" s="3173" t="s">
        <v>3497</v>
      </c>
      <c r="B26" s="633">
        <f>面积位置!D20</f>
        <v>52.21</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2567"/>
      <c r="Q26" s="21">
        <f t="shared" ref="Q26:Q89" si="13">(SUMIF($17:$17,P26,$18:$18)-SUMIF($17:$17,$P$24,$18:$18)+100)/100</f>
        <v>1</v>
      </c>
      <c r="R26" s="21">
        <f t="shared" ref="R26:R89" ca="1" si="14">IF(B26="",0,ROUND($R$24*C26*E26*G26*I26*K26*M26*O26*Q26,0))</f>
        <v>6188</v>
      </c>
      <c r="S26" s="308">
        <f t="shared" ca="1" si="5"/>
        <v>32</v>
      </c>
      <c r="T26" s="902"/>
    </row>
    <row r="27" spans="1:45">
      <c r="A27" s="3173" t="s">
        <v>3498</v>
      </c>
      <c r="B27" s="633">
        <f>面积位置!D21</f>
        <v>53.95</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6188</v>
      </c>
      <c r="S27" s="308">
        <f t="shared" ca="1" si="5"/>
        <v>33</v>
      </c>
      <c r="T27" s="684">
        <f ca="1">SUM(S25:S27)</f>
        <v>98</v>
      </c>
      <c r="U27" s="684">
        <f ca="1">ROUND(T27*10000/SUM(B25:B27),0)</f>
        <v>6137</v>
      </c>
    </row>
    <row r="28" spans="1:45">
      <c r="A28" s="142"/>
      <c r="B28" s="52"/>
      <c r="C28" s="21">
        <f t="shared" si="6"/>
        <v>1</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si="14"/>
        <v>0</v>
      </c>
      <c r="S28" s="308">
        <f t="shared" si="5"/>
        <v>0</v>
      </c>
    </row>
    <row r="29" spans="1:45">
      <c r="A29" s="142"/>
      <c r="B29" s="52"/>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si="14"/>
        <v>0</v>
      </c>
      <c r="S29" s="308">
        <f t="shared" si="5"/>
        <v>0</v>
      </c>
    </row>
    <row r="30" spans="1:45">
      <c r="A30" s="142"/>
      <c r="B30" s="52"/>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si="14"/>
        <v>0</v>
      </c>
      <c r="S30" s="308">
        <f t="shared" si="5"/>
        <v>0</v>
      </c>
    </row>
    <row r="31" spans="1:45">
      <c r="A31" s="142"/>
      <c r="B31" s="52"/>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si="14"/>
        <v>0</v>
      </c>
      <c r="S31" s="308">
        <f t="shared" si="5"/>
        <v>0</v>
      </c>
    </row>
    <row r="32" spans="1:45">
      <c r="A32" s="142"/>
      <c r="B32" s="52"/>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si="14"/>
        <v>0</v>
      </c>
      <c r="S32" s="308">
        <f t="shared" si="5"/>
        <v>0</v>
      </c>
    </row>
    <row r="33" spans="1:19">
      <c r="A33" s="142"/>
      <c r="B33" s="52"/>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si="14"/>
        <v>0</v>
      </c>
      <c r="S33" s="308">
        <f t="shared" si="5"/>
        <v>0</v>
      </c>
    </row>
    <row r="34" spans="1:19">
      <c r="A34" s="142"/>
      <c r="B34" s="52"/>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si="14"/>
        <v>0</v>
      </c>
      <c r="S34" s="308">
        <f t="shared" si="5"/>
        <v>0</v>
      </c>
    </row>
    <row r="35" spans="1:19">
      <c r="A35" s="142"/>
      <c r="B35" s="52"/>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si="14"/>
        <v>0</v>
      </c>
      <c r="S35" s="308">
        <f t="shared" si="5"/>
        <v>0</v>
      </c>
    </row>
    <row r="36" spans="1:19">
      <c r="A36" s="142"/>
      <c r="B36" s="52"/>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si="14"/>
        <v>0</v>
      </c>
      <c r="S36" s="308">
        <f t="shared" si="5"/>
        <v>0</v>
      </c>
    </row>
    <row r="37" spans="1:19">
      <c r="A37" s="142"/>
      <c r="B37" s="52"/>
      <c r="C37" s="21">
        <f t="shared" si="6"/>
        <v>1</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si="14"/>
        <v>0</v>
      </c>
      <c r="S37" s="308">
        <f t="shared" si="5"/>
        <v>0</v>
      </c>
    </row>
    <row r="38" spans="1:19">
      <c r="A38" s="142"/>
      <c r="B38" s="52"/>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si="14"/>
        <v>0</v>
      </c>
      <c r="S38" s="308">
        <f t="shared" si="5"/>
        <v>0</v>
      </c>
    </row>
    <row r="39" spans="1:19">
      <c r="A39" s="142"/>
      <c r="B39" s="52"/>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si="14"/>
        <v>0</v>
      </c>
      <c r="S39" s="308">
        <f t="shared" si="5"/>
        <v>0</v>
      </c>
    </row>
    <row r="40" spans="1:19">
      <c r="A40" s="142"/>
      <c r="B40" s="52"/>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si="14"/>
        <v>0</v>
      </c>
      <c r="S40" s="308">
        <f t="shared" si="5"/>
        <v>0</v>
      </c>
    </row>
    <row r="41" spans="1:19">
      <c r="A41" s="142"/>
      <c r="B41" s="52"/>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si="14"/>
        <v>0</v>
      </c>
      <c r="S41" s="308">
        <f t="shared" si="5"/>
        <v>0</v>
      </c>
    </row>
    <row r="42" spans="1:19">
      <c r="A42" s="142"/>
      <c r="B42" s="52"/>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si="14"/>
        <v>0</v>
      </c>
      <c r="S42" s="308">
        <f t="shared" si="5"/>
        <v>0</v>
      </c>
    </row>
    <row r="43" spans="1:19">
      <c r="A43" s="142"/>
      <c r="B43" s="52"/>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si="14"/>
        <v>0</v>
      </c>
      <c r="S43" s="308">
        <f t="shared" si="5"/>
        <v>0</v>
      </c>
    </row>
    <row r="44" spans="1:19">
      <c r="A44" s="142"/>
      <c r="B44" s="52"/>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si="14"/>
        <v>0</v>
      </c>
      <c r="S44" s="308">
        <f t="shared" si="5"/>
        <v>0</v>
      </c>
    </row>
    <row r="45" spans="1:19">
      <c r="A45" s="142"/>
      <c r="B45" s="52"/>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si="14"/>
        <v>0</v>
      </c>
      <c r="S45" s="308">
        <f t="shared" si="5"/>
        <v>0</v>
      </c>
    </row>
    <row r="46" spans="1:19">
      <c r="A46" s="142"/>
      <c r="B46" s="52"/>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si="14"/>
        <v>0</v>
      </c>
      <c r="S46" s="308">
        <f t="shared" si="5"/>
        <v>0</v>
      </c>
    </row>
    <row r="47" spans="1:19">
      <c r="A47" s="142"/>
      <c r="B47" s="52"/>
      <c r="C47" s="21">
        <f t="shared" si="6"/>
        <v>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si="14"/>
        <v>0</v>
      </c>
      <c r="S47" s="308">
        <f t="shared" si="5"/>
        <v>0</v>
      </c>
    </row>
    <row r="48" spans="1:19">
      <c r="A48" s="142"/>
      <c r="B48" s="52"/>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si="14"/>
        <v>0</v>
      </c>
      <c r="S48" s="308">
        <f t="shared" si="5"/>
        <v>0</v>
      </c>
    </row>
    <row r="49" spans="1:19">
      <c r="A49" s="142"/>
      <c r="B49" s="52"/>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si="14"/>
        <v>0</v>
      </c>
      <c r="S49" s="308">
        <f t="shared" si="5"/>
        <v>0</v>
      </c>
    </row>
    <row r="50" spans="1:19">
      <c r="A50" s="142"/>
      <c r="B50" s="52"/>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si="14"/>
        <v>0</v>
      </c>
      <c r="S50" s="308">
        <f t="shared" si="5"/>
        <v>0</v>
      </c>
    </row>
    <row r="51" spans="1:19">
      <c r="A51" s="142"/>
      <c r="B51" s="52"/>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si="14"/>
        <v>0</v>
      </c>
      <c r="S51" s="308">
        <f t="shared" si="5"/>
        <v>0</v>
      </c>
    </row>
    <row r="52" spans="1:19">
      <c r="A52" s="142"/>
      <c r="B52" s="52"/>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142"/>
      <c r="B53" s="52"/>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142"/>
      <c r="B54" s="52"/>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142"/>
      <c r="B55" s="52"/>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142"/>
      <c r="B56" s="52"/>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142"/>
      <c r="B57" s="52"/>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142"/>
      <c r="B58" s="52"/>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142"/>
      <c r="B59" s="52"/>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142"/>
      <c r="B60" s="52"/>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142"/>
      <c r="B61" s="52"/>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142"/>
      <c r="B62" s="52"/>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142"/>
      <c r="B63" s="52"/>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142"/>
      <c r="B64" s="52"/>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142"/>
      <c r="B65" s="52"/>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142"/>
      <c r="B66" s="52"/>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xr:uid="{4229257C-09E1-446B-87D6-F117FAF0EDA7}">
      <formula1>估价方法</formula1>
    </dataValidation>
    <dataValidation type="list" allowBlank="1" showInputMessage="1" showErrorMessage="1" sqref="D20" xr:uid="{4215E722-C691-4907-9696-D5617F9943C6}">
      <formula1>"需扣减承租人权益,——"</formula1>
    </dataValidation>
    <dataValidation type="list" allowBlank="1" showInputMessage="1" showErrorMessage="1" sqref="P24:P524" xr:uid="{0E5CEB01-A4CD-49E3-9AE7-2A104B7073D3}">
      <formula1>一修多修正项8</formula1>
    </dataValidation>
    <dataValidation type="list" allowBlank="1" showInputMessage="1" showErrorMessage="1" sqref="N24:N524" xr:uid="{AFB639AD-1B17-43F8-B2F7-26A891EE42F1}">
      <formula1>一修多修正项7</formula1>
    </dataValidation>
    <dataValidation type="list" allowBlank="1" showInputMessage="1" showErrorMessage="1" sqref="L24:L524" xr:uid="{681EBDBC-E442-455B-B421-DC4A1AD171AC}">
      <formula1>一修多修正项6</formula1>
    </dataValidation>
    <dataValidation type="list" allowBlank="1" showInputMessage="1" showErrorMessage="1" sqref="J24:J524" xr:uid="{6DE18D2B-7248-4E9A-A232-CD50E23E4F78}">
      <formula1>一修多修正项5</formula1>
    </dataValidation>
    <dataValidation type="list" allowBlank="1" showInputMessage="1" showErrorMessage="1" sqref="H24:H524" xr:uid="{C3E013F8-2923-4B60-83D8-5FF60D949A53}">
      <formula1>一修多修正项4</formula1>
    </dataValidation>
    <dataValidation type="list" allowBlank="1" showInputMessage="1" showErrorMessage="1" sqref="F24:F524" xr:uid="{1E810526-9CD3-4A6C-824C-74C453D1E316}">
      <formula1>一修多修正项3</formula1>
    </dataValidation>
    <dataValidation type="list" allowBlank="1" showInputMessage="1" showErrorMessage="1" sqref="D24:D524" xr:uid="{59EDB5AE-47F4-4E9A-9D50-D4265286EB3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EA53-C2B4-46DB-B12A-DF6E753C624E}">
  <dimension ref="A1"/>
  <sheetViews>
    <sheetView topLeftCell="A10" zoomScale="70" zoomScaleNormal="70" workbookViewId="0">
      <selection activeCell="U47" sqref="U47"/>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1453</v>
      </c>
      <c r="B1" s="1370" t="s">
        <v>3464</v>
      </c>
      <c r="C1" s="1712" t="s">
        <v>1555</v>
      </c>
      <c r="D1" s="190"/>
      <c r="E1" s="190"/>
      <c r="F1" s="190"/>
      <c r="G1" s="1058">
        <f>MATCH(B1,'数据-取费表'!A6:A16,0)+5</f>
        <v>8</v>
      </c>
      <c r="H1" s="994" t="str">
        <f>IF(ISERROR(FIND("住宅",B1)),"非住宅","住宅")</f>
        <v>非住宅</v>
      </c>
    </row>
    <row r="2" spans="1:8" s="192" customFormat="1" ht="18" customHeight="1">
      <c r="A2" s="193" t="s">
        <v>1454</v>
      </c>
      <c r="B2" s="3118">
        <f ca="1">ROUND(IF(D2="——",C52/10000,C52/10000-E2),4)</f>
        <v>32.575299999999999</v>
      </c>
      <c r="C2" s="191" t="s">
        <v>1455</v>
      </c>
      <c r="D2" s="1706" t="s">
        <v>43</v>
      </c>
      <c r="E2" s="1085" t="e">
        <f ca="1">SUMIF(INDIRECT("'"&amp;G2&amp;"'"&amp;"!A:A"),"承租人权益价值",INDIRECT("'"&amp;G2&amp;"'"&amp;"!c:c"))</f>
        <v>#REF!</v>
      </c>
      <c r="F2" s="1707" t="s">
        <v>1455</v>
      </c>
      <c r="G2" s="1708"/>
    </row>
    <row r="3" spans="1:8" s="192" customFormat="1" ht="18" customHeight="1" thickBot="1">
      <c r="A3" s="195" t="s">
        <v>1456</v>
      </c>
      <c r="B3" s="196">
        <f ca="1">ROUND(B2*10000/(IF(B1="",'数据-汇总表'!E3,INDIRECT("'数据-取费表'!k"&amp;$G$1))),0)</f>
        <v>6085</v>
      </c>
      <c r="C3" s="191" t="s">
        <v>1457</v>
      </c>
      <c r="D3" s="191"/>
      <c r="E3" s="191"/>
      <c r="F3" s="191"/>
      <c r="G3" s="191"/>
    </row>
    <row r="4" spans="1:8" s="200" customFormat="1" ht="15.75">
      <c r="A4" s="197" t="s">
        <v>1458</v>
      </c>
      <c r="B4" s="198"/>
      <c r="C4" s="198"/>
      <c r="D4" s="198"/>
      <c r="E4" s="198"/>
      <c r="F4" s="198"/>
      <c r="G4" s="199"/>
    </row>
    <row r="5" spans="1:8" s="206" customFormat="1" ht="13.5" customHeight="1">
      <c r="A5" s="247" t="s">
        <v>1459</v>
      </c>
      <c r="B5" s="202" t="s">
        <v>1460</v>
      </c>
      <c r="C5" s="203">
        <f ca="1">C6+C7+C8</f>
        <v>76735.41</v>
      </c>
      <c r="D5" s="203" t="s">
        <v>1461</v>
      </c>
      <c r="E5" s="204" t="s">
        <v>1462</v>
      </c>
      <c r="F5" s="204" t="s">
        <v>1463</v>
      </c>
      <c r="G5" s="205"/>
    </row>
    <row r="6" spans="1:8" s="206" customFormat="1" ht="13.5" customHeight="1">
      <c r="A6" s="729" t="s">
        <v>1464</v>
      </c>
      <c r="B6" s="207" t="s">
        <v>1465</v>
      </c>
      <c r="C6" s="208">
        <f>基准地价修正!G42*基准地价修正!H42</f>
        <v>64075.41</v>
      </c>
      <c r="D6" s="209"/>
      <c r="E6" s="210"/>
      <c r="F6" s="210"/>
      <c r="G6" s="211"/>
    </row>
    <row r="7" spans="1:8" s="206" customFormat="1" ht="13.5" customHeight="1">
      <c r="A7" s="729" t="s">
        <v>1466</v>
      </c>
      <c r="B7" s="207" t="s">
        <v>1467</v>
      </c>
      <c r="C7" s="212">
        <f>ROUND(C6*F7,0)</f>
        <v>1954</v>
      </c>
      <c r="D7" s="212"/>
      <c r="E7" s="210"/>
      <c r="F7" s="213">
        <f>IF(项目基本情况!B8="出让",0,'数据-取费表'!B48+'数据-取费表'!B49)</f>
        <v>3.0499999999999999E-2</v>
      </c>
      <c r="G7" s="211"/>
    </row>
    <row r="8" spans="1:8" s="215" customFormat="1">
      <c r="A8" s="729" t="s">
        <v>1468</v>
      </c>
      <c r="B8" s="207" t="s">
        <v>1469</v>
      </c>
      <c r="C8" s="212">
        <f ca="1">IF(G8="已包含在土地购买价格中",0,C9+C10)</f>
        <v>10706</v>
      </c>
      <c r="D8" s="214"/>
      <c r="E8" s="212"/>
      <c r="F8" s="213"/>
      <c r="G8" s="1709" t="s">
        <v>3465</v>
      </c>
    </row>
    <row r="9" spans="1:8" s="206" customFormat="1" ht="13.5" customHeight="1">
      <c r="A9" s="730" t="s">
        <v>355</v>
      </c>
      <c r="B9" s="216" t="s">
        <v>1470</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1472</v>
      </c>
      <c r="C10" s="217">
        <f ca="1">ROUND(D10*E10,0)</f>
        <v>10706</v>
      </c>
      <c r="D10" s="792">
        <f ca="1">IF(B1="",'数据-汇总表'!E6,IF(INDIRECT("'数据-取费表'!c"&amp;$G$1)="住宅",INDIRECT("'数据-取费表'!s"&amp;$G$1),INDIRECT("'数据-取费表'!k"&amp;$G$1)+INDIRECT("'数据-取费表'!s"&amp;$G$1)))</f>
        <v>53.53</v>
      </c>
      <c r="E10" s="217">
        <f>'数据-取费表'!B28</f>
        <v>200</v>
      </c>
      <c r="F10" s="213"/>
      <c r="G10" s="218"/>
    </row>
    <row r="11" spans="1:8" s="206" customFormat="1" ht="13.5" hidden="1" customHeight="1">
      <c r="A11" s="219" t="s">
        <v>4</v>
      </c>
      <c r="B11" s="207" t="s">
        <v>1473</v>
      </c>
      <c r="C11" s="203"/>
      <c r="D11" s="210"/>
      <c r="E11" s="210"/>
      <c r="F11" s="210"/>
      <c r="G11" s="211"/>
    </row>
    <row r="12" spans="1:8" s="206" customFormat="1" ht="13.5" hidden="1" customHeight="1">
      <c r="A12" s="219" t="s">
        <v>5</v>
      </c>
      <c r="B12" s="207" t="s">
        <v>1556</v>
      </c>
      <c r="C12" s="203">
        <v>0</v>
      </c>
      <c r="D12" s="210"/>
      <c r="E12" s="220"/>
      <c r="F12" s="213">
        <v>3.0499999999999999E-2</v>
      </c>
      <c r="G12" s="211"/>
    </row>
    <row r="13" spans="1:8" s="206" customFormat="1" ht="13.5" hidden="1" customHeight="1">
      <c r="A13" s="219" t="s">
        <v>6</v>
      </c>
      <c r="B13" s="207" t="s">
        <v>1557</v>
      </c>
      <c r="C13" s="203"/>
      <c r="D13" s="210"/>
      <c r="E13" s="210"/>
      <c r="F13" s="210"/>
      <c r="G13" s="211"/>
    </row>
    <row r="14" spans="1:8" s="206" customFormat="1" ht="13.5" hidden="1" customHeight="1">
      <c r="A14" s="219" t="s">
        <v>7</v>
      </c>
      <c r="B14" s="207" t="s">
        <v>1469</v>
      </c>
      <c r="C14" s="203"/>
      <c r="D14" s="210"/>
      <c r="E14" s="210"/>
      <c r="F14" s="210"/>
      <c r="G14" s="211" t="s">
        <v>1558</v>
      </c>
    </row>
    <row r="15" spans="1:8" s="206" customFormat="1" ht="13.5" hidden="1" customHeight="1">
      <c r="A15" s="219" t="s">
        <v>8</v>
      </c>
      <c r="B15" s="207" t="s">
        <v>1559</v>
      </c>
      <c r="C15" s="212"/>
      <c r="D15" s="210"/>
      <c r="E15" s="210"/>
      <c r="F15" s="210"/>
      <c r="G15" s="211" t="s">
        <v>1560</v>
      </c>
    </row>
    <row r="16" spans="1:8" s="206" customFormat="1" ht="13.5" hidden="1" customHeight="1">
      <c r="A16" s="219" t="s">
        <v>9</v>
      </c>
      <c r="B16" s="207" t="s">
        <v>1469</v>
      </c>
      <c r="C16" s="212"/>
      <c r="D16" s="210"/>
      <c r="E16" s="210"/>
      <c r="F16" s="210"/>
      <c r="G16" s="211"/>
    </row>
    <row r="17" spans="1:7" s="206" customFormat="1" ht="13.5" hidden="1" customHeight="1">
      <c r="A17" s="219" t="s">
        <v>10</v>
      </c>
      <c r="B17" s="207" t="s">
        <v>1561</v>
      </c>
      <c r="C17" s="221"/>
      <c r="D17" s="221"/>
      <c r="E17" s="221"/>
      <c r="F17" s="221"/>
      <c r="G17" s="211" t="s">
        <v>1560</v>
      </c>
    </row>
    <row r="18" spans="1:7" s="206" customFormat="1" ht="13.5" hidden="1" customHeight="1">
      <c r="A18" s="219" t="s">
        <v>11</v>
      </c>
      <c r="B18" s="207" t="s">
        <v>1562</v>
      </c>
      <c r="C18" s="212">
        <v>0</v>
      </c>
      <c r="D18" s="210"/>
      <c r="E18" s="210"/>
      <c r="F18" s="213">
        <v>3.0499999999999999E-2</v>
      </c>
      <c r="G18" s="211" t="s">
        <v>1563</v>
      </c>
    </row>
    <row r="19" spans="1:7" s="215" customFormat="1" ht="13.5" customHeight="1">
      <c r="A19" s="247" t="s">
        <v>1564</v>
      </c>
      <c r="B19" s="202" t="s">
        <v>1565</v>
      </c>
      <c r="C19" s="203" t="str">
        <f>IF(G19="已包含在土地取得成本中","0",ROUND(D19*E19,0))</f>
        <v>0</v>
      </c>
      <c r="D19" s="204">
        <f ca="1">D9+D10</f>
        <v>53.53</v>
      </c>
      <c r="E19" s="203">
        <f>'数据-取费表'!B31</f>
        <v>200</v>
      </c>
      <c r="F19" s="223"/>
      <c r="G19" s="1709" t="s">
        <v>3466</v>
      </c>
    </row>
    <row r="20" spans="1:7" s="206" customFormat="1" ht="13.5" customHeight="1">
      <c r="A20" s="247" t="s">
        <v>1566</v>
      </c>
      <c r="B20" s="202" t="s">
        <v>1567</v>
      </c>
      <c r="C20" s="224">
        <f ca="1">ROUND((C5+C19)*F20,0)</f>
        <v>1535</v>
      </c>
      <c r="D20" s="224"/>
      <c r="E20" s="224"/>
      <c r="F20" s="225">
        <f>'数据-取费表'!B37</f>
        <v>0.02</v>
      </c>
      <c r="G20" s="226" t="s">
        <v>1568</v>
      </c>
    </row>
    <row r="21" spans="1:7" s="206" customFormat="1" ht="13.5" customHeight="1">
      <c r="A21" s="247" t="s">
        <v>1569</v>
      </c>
      <c r="B21" s="202" t="s">
        <v>1570</v>
      </c>
      <c r="C21" s="227">
        <f>F21</f>
        <v>0.02</v>
      </c>
      <c r="D21" s="228" t="s">
        <v>1571</v>
      </c>
      <c r="E21" s="224"/>
      <c r="F21" s="225">
        <f>'数据-取费表'!B38</f>
        <v>0.02</v>
      </c>
      <c r="G21" s="226" t="s">
        <v>1572</v>
      </c>
    </row>
    <row r="22" spans="1:7" s="206" customFormat="1" ht="13.5" customHeight="1">
      <c r="A22" s="247" t="s">
        <v>1573</v>
      </c>
      <c r="B22" s="202" t="s">
        <v>1574</v>
      </c>
      <c r="C22" s="224">
        <f ca="1">ROUND(SUM(C23:C25),0)</f>
        <v>4927</v>
      </c>
      <c r="D22" s="227">
        <f ca="1">C26</f>
        <v>5.9999999999999995E-4</v>
      </c>
      <c r="E22" s="228" t="s">
        <v>1571</v>
      </c>
      <c r="F22" s="229">
        <f ca="1">'数据-取费表'!B40</f>
        <v>3.1300000000000001E-2</v>
      </c>
      <c r="G22" s="226" t="str">
        <f>IF('数据-取费表'!B22&lt;=1,"单利计息","复利计息")</f>
        <v>复利计息</v>
      </c>
    </row>
    <row r="23" spans="1:7" s="206" customFormat="1" ht="13.5" customHeight="1">
      <c r="A23" s="731" t="s">
        <v>1464</v>
      </c>
      <c r="B23" s="207" t="s">
        <v>1575</v>
      </c>
      <c r="C23" s="230">
        <f ca="1">ROUND(IF('数据-取费表'!B22&lt;=1,C5*F22*'数据-取费表'!B22,C5*(POWER((1+F22),'数据-取费表'!B22)-1)),0)</f>
        <v>4879</v>
      </c>
      <c r="D23" s="230"/>
      <c r="E23" s="230"/>
      <c r="F23" s="231"/>
      <c r="G23" s="232" t="s">
        <v>1576</v>
      </c>
    </row>
    <row r="24" spans="1:7" s="206" customFormat="1" ht="13.5" customHeight="1">
      <c r="A24" s="731" t="s">
        <v>1466</v>
      </c>
      <c r="B24" s="207" t="s">
        <v>1577</v>
      </c>
      <c r="C24" s="230">
        <f ca="1">ROUND(IF('数据-取费表'!B22&lt;=1,C19*F22*('数据-取费表'!B19/2+'数据-取费表'!B20),C19*(POWER((1+F22),('数据-取费表'!B19/2+'数据-取费表'!B20))-1)),0)</f>
        <v>0</v>
      </c>
      <c r="D24" s="230"/>
      <c r="E24" s="230"/>
      <c r="F24" s="231"/>
      <c r="G24" s="232" t="s">
        <v>1578</v>
      </c>
    </row>
    <row r="25" spans="1:7" s="206" customFormat="1" ht="24">
      <c r="A25" s="731" t="s">
        <v>1468</v>
      </c>
      <c r="B25" s="207" t="s">
        <v>1579</v>
      </c>
      <c r="C25" s="230">
        <f ca="1">ROUND(IF('数据-取费表'!B22&lt;=1,C20*F22*'数据-取费表'!B22/2,C20*(POWER((1+F22),'数据-取费表'!B22/2)-1)),0)</f>
        <v>48</v>
      </c>
      <c r="D25" s="230"/>
      <c r="E25" s="233"/>
      <c r="F25" s="231"/>
      <c r="G25" s="234" t="s">
        <v>1580</v>
      </c>
    </row>
    <row r="26" spans="1:7" s="206" customFormat="1">
      <c r="A26" s="731" t="s">
        <v>350</v>
      </c>
      <c r="B26" s="207" t="s">
        <v>1503</v>
      </c>
      <c r="C26" s="230">
        <f ca="1">ROUND(IF('数据-取费表'!B22&lt;=1,F21*F22*'数据-取费表'!B22/2,F21*(POWER((1+F22),'数据-取费表'!B22/2)-1)),4)</f>
        <v>5.9999999999999995E-4</v>
      </c>
      <c r="D26" s="230"/>
      <c r="E26" s="233"/>
      <c r="F26" s="231"/>
      <c r="G26" s="235"/>
    </row>
    <row r="27" spans="1:7" s="206" customFormat="1" ht="24.75">
      <c r="A27" s="247" t="s">
        <v>1504</v>
      </c>
      <c r="B27" s="236" t="s">
        <v>1505</v>
      </c>
      <c r="C27" s="237">
        <f ca="1">C28</f>
        <v>3914</v>
      </c>
      <c r="D27" s="227">
        <f ca="1">C29</f>
        <v>1E-3</v>
      </c>
      <c r="E27" s="228" t="s">
        <v>1506</v>
      </c>
      <c r="F27" s="238">
        <f ca="1">IF(B1="",'数据-取费表'!Q16,INDIRECT("'数据-取费表'!q"&amp;$G$1))</f>
        <v>0.05</v>
      </c>
      <c r="G27" s="239" t="s">
        <v>1507</v>
      </c>
    </row>
    <row r="28" spans="1:7" s="206" customFormat="1" ht="13.5" customHeight="1">
      <c r="A28" s="731" t="s">
        <v>346</v>
      </c>
      <c r="B28" s="240" t="s">
        <v>1508</v>
      </c>
      <c r="C28" s="241">
        <f ca="1">ROUND((C5+C19+C20)*F27,0)</f>
        <v>3914</v>
      </c>
      <c r="D28" s="227"/>
      <c r="E28" s="228"/>
      <c r="F28" s="238"/>
      <c r="G28" s="239"/>
    </row>
    <row r="29" spans="1:7" s="206" customFormat="1" ht="13.5" customHeight="1">
      <c r="A29" s="731" t="s">
        <v>347</v>
      </c>
      <c r="B29" s="240" t="s">
        <v>1509</v>
      </c>
      <c r="C29" s="230">
        <f ca="1">ROUND(C21*F27,4)</f>
        <v>1E-3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94164</v>
      </c>
      <c r="D31" s="222"/>
      <c r="E31" s="203"/>
      <c r="F31" s="242"/>
      <c r="G31" s="226" t="s">
        <v>1514</v>
      </c>
    </row>
    <row r="32" spans="1:7" s="200" customFormat="1" ht="15.75">
      <c r="A32" s="244" t="s">
        <v>1581</v>
      </c>
      <c r="B32" s="245"/>
      <c r="C32" s="245"/>
      <c r="D32" s="245"/>
      <c r="E32" s="245"/>
      <c r="F32" s="245"/>
      <c r="G32" s="246"/>
    </row>
    <row r="33" spans="1:7" s="206" customFormat="1" ht="13.5" customHeight="1">
      <c r="A33" s="247" t="s">
        <v>337</v>
      </c>
      <c r="B33" s="202" t="s">
        <v>1582</v>
      </c>
      <c r="C33" s="248">
        <f ca="1">SUM(C34:C38)</f>
        <v>239814</v>
      </c>
      <c r="D33" s="224"/>
      <c r="E33" s="204"/>
      <c r="F33" s="233"/>
      <c r="G33" s="226"/>
    </row>
    <row r="34" spans="1:7" s="250" customFormat="1" ht="13.5" customHeight="1">
      <c r="A34" s="731" t="s">
        <v>346</v>
      </c>
      <c r="B34" s="207" t="s">
        <v>1517</v>
      </c>
      <c r="C34" s="212">
        <f ca="1">ROUND(IF(B1="",SUMPRODUCT('数据-取费表'!K6:K14,'数据-取费表'!L6:L14),INDIRECT("'数据-取费表'!l"&amp;$G$1)*INDIRECT("'数据-取费表'!k"&amp;$G$1)+'数据-取费表'!L14*INDIRECT("'数据-取费表'!S"&amp;$G$1)),0)</f>
        <v>214120</v>
      </c>
      <c r="D34" s="209"/>
      <c r="E34" s="212"/>
      <c r="F34" s="249"/>
      <c r="G34" s="211"/>
    </row>
    <row r="35" spans="1:7" ht="13.5" customHeight="1">
      <c r="A35" s="731" t="s">
        <v>351</v>
      </c>
      <c r="B35" s="207" t="s">
        <v>1519</v>
      </c>
      <c r="C35" s="212">
        <f ca="1">ROUND(C34*F35,0)</f>
        <v>10706</v>
      </c>
      <c r="D35" s="212"/>
      <c r="E35" s="212"/>
      <c r="F35" s="251">
        <f>'数据-取费表'!B33</f>
        <v>0.05</v>
      </c>
      <c r="G35" s="211" t="s">
        <v>1520</v>
      </c>
    </row>
    <row r="36" spans="1:7" ht="24">
      <c r="A36" s="731" t="s">
        <v>352</v>
      </c>
      <c r="B36" s="207" t="s">
        <v>1521</v>
      </c>
      <c r="C36" s="212">
        <f ca="1">ROUND(IF(B1="",SUM('数据-取费表'!AP6:AP13)*F36,IF(INDIRECT("'数据-取费表'!c"&amp;$G$1)="住宅",INDIRECT("'数据-取费表'!k"&amp;$G$1)*INDIRECT("'数据-取费表'!l"&amp;$G$1)*F36,0)),0)</f>
        <v>0</v>
      </c>
      <c r="D36" s="212"/>
      <c r="E36" s="212"/>
      <c r="F36" s="251">
        <f>'数据-取费表'!B34</f>
        <v>0</v>
      </c>
      <c r="G36" s="252" t="s">
        <v>1522</v>
      </c>
    </row>
    <row r="37" spans="1:7" s="250" customFormat="1" ht="13.5" customHeight="1">
      <c r="A37" s="731" t="s">
        <v>353</v>
      </c>
      <c r="B37" s="207" t="s">
        <v>1523</v>
      </c>
      <c r="C37" s="241">
        <f ca="1">ROUND(E37*D37,0)</f>
        <v>10706</v>
      </c>
      <c r="D37" s="209">
        <f ca="1">D19</f>
        <v>53.53</v>
      </c>
      <c r="E37" s="241">
        <f>'数据-取费表'!B35</f>
        <v>200</v>
      </c>
      <c r="F37" s="251"/>
      <c r="G37" s="253"/>
    </row>
    <row r="38" spans="1:7" ht="13.5" customHeight="1">
      <c r="A38" s="731" t="s">
        <v>354</v>
      </c>
      <c r="B38" s="207" t="s">
        <v>1525</v>
      </c>
      <c r="C38" s="212">
        <f ca="1">ROUND(C34*F38,0)</f>
        <v>4282</v>
      </c>
      <c r="D38" s="212"/>
      <c r="E38" s="212"/>
      <c r="F38" s="251">
        <f>'数据-取费表'!B36</f>
        <v>0.02</v>
      </c>
      <c r="G38" s="211" t="s">
        <v>1520</v>
      </c>
    </row>
    <row r="39" spans="1:7" s="206" customFormat="1" ht="13.5" customHeight="1">
      <c r="A39" s="247" t="s">
        <v>1526</v>
      </c>
      <c r="B39" s="202" t="s">
        <v>1527</v>
      </c>
      <c r="C39" s="224">
        <f ca="1">ROUND(C33*F20,0)</f>
        <v>4796</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7656</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ROUND(IF('数据-取费表'!B22&lt;=1,C33*F22*'数据-取费表'!B20/2,C33*(POWER((1+F22),'数据-取费表'!B20/2)-1)),0)</f>
        <v>7506</v>
      </c>
      <c r="D42" s="230"/>
      <c r="E42" s="230"/>
      <c r="F42" s="231"/>
      <c r="G42" s="3267" t="s">
        <v>1583</v>
      </c>
    </row>
    <row r="43" spans="1:7" ht="13.5" customHeight="1">
      <c r="A43" s="731" t="s">
        <v>347</v>
      </c>
      <c r="B43" s="207" t="s">
        <v>1537</v>
      </c>
      <c r="C43" s="230">
        <f ca="1">ROUND(IF('数据-取费表'!B22&lt;=1,C39*F22*'数据-取费表'!B20/2,C39*(POWER((1+F22),'数据-取费表'!B20/2)-1)),0)</f>
        <v>150</v>
      </c>
      <c r="D43" s="230"/>
      <c r="E43" s="230"/>
      <c r="F43" s="231"/>
      <c r="G43" s="3268"/>
    </row>
    <row r="44" spans="1:7" ht="13.5" customHeight="1">
      <c r="A44" s="731" t="s">
        <v>348</v>
      </c>
      <c r="B44" s="207" t="s">
        <v>1538</v>
      </c>
      <c r="C44" s="230">
        <f ca="1">ROUND(IF('数据-取费表'!B22&lt;=1,C40*F22*'数据-取费表'!B20/2,C40*(POWER((1+F22),'数据-取费表'!B20/2)-1)),4)</f>
        <v>5.9999999999999995E-4</v>
      </c>
      <c r="D44" s="230"/>
      <c r="E44" s="230"/>
      <c r="F44" s="231"/>
      <c r="G44" s="3269"/>
    </row>
    <row r="45" spans="1:7" s="206" customFormat="1" ht="13.5" customHeight="1">
      <c r="A45" s="247" t="s">
        <v>1539</v>
      </c>
      <c r="B45" s="236" t="s">
        <v>1505</v>
      </c>
      <c r="C45" s="237">
        <f ca="1">C46</f>
        <v>12231</v>
      </c>
      <c r="D45" s="227">
        <f ca="1">C47</f>
        <v>1E-3</v>
      </c>
      <c r="E45" s="228" t="s">
        <v>1531</v>
      </c>
      <c r="F45" s="238">
        <f ca="1">F27</f>
        <v>0.05</v>
      </c>
      <c r="G45" s="239" t="s">
        <v>1540</v>
      </c>
    </row>
    <row r="46" spans="1:7" s="206" customFormat="1" ht="13.5" customHeight="1">
      <c r="A46" s="731" t="s">
        <v>346</v>
      </c>
      <c r="B46" s="240" t="s">
        <v>1541</v>
      </c>
      <c r="C46" s="241">
        <f ca="1">ROUND((C33+C39)*F27,0)</f>
        <v>12231</v>
      </c>
      <c r="D46" s="255"/>
      <c r="E46" s="228"/>
      <c r="F46" s="238"/>
      <c r="G46" s="239"/>
    </row>
    <row r="47" spans="1:7" s="206" customFormat="1" ht="13.5" customHeight="1">
      <c r="A47" s="731" t="s">
        <v>347</v>
      </c>
      <c r="B47" s="240" t="s">
        <v>1542</v>
      </c>
      <c r="C47" s="230">
        <f ca="1">ROUND(C40*F27,4)</f>
        <v>1E-3</v>
      </c>
      <c r="D47" s="255"/>
      <c r="E47" s="228"/>
      <c r="F47" s="238"/>
      <c r="G47" s="239"/>
    </row>
    <row r="48" spans="1:7" s="206" customFormat="1" ht="13.5" customHeight="1">
      <c r="A48" s="247" t="s">
        <v>1504</v>
      </c>
      <c r="B48" s="202" t="s">
        <v>1543</v>
      </c>
      <c r="C48" s="254">
        <f>ROUND(F30/(1+'数据-取费表'!C42),4)</f>
        <v>5.33E-2</v>
      </c>
      <c r="D48" s="228" t="s">
        <v>1531</v>
      </c>
      <c r="E48" s="224"/>
      <c r="F48" s="229">
        <f>F30</f>
        <v>5.6000000000000001E-2</v>
      </c>
      <c r="G48" s="226" t="s">
        <v>1544</v>
      </c>
    </row>
    <row r="49" spans="1:7" ht="16.5" customHeight="1">
      <c r="A49" s="247" t="s">
        <v>1510</v>
      </c>
      <c r="B49" s="202" t="s">
        <v>1584</v>
      </c>
      <c r="C49" s="224">
        <f ca="1">ROUND((C33+C39+C41+C45)/(1-C40-D41-D45-C48),0)</f>
        <v>285912</v>
      </c>
      <c r="D49" s="224"/>
      <c r="E49" s="224"/>
      <c r="F49" s="256"/>
      <c r="G49" s="226" t="s">
        <v>1546</v>
      </c>
    </row>
    <row r="50" spans="1:7" s="250" customFormat="1">
      <c r="A50" s="247" t="s">
        <v>1547</v>
      </c>
      <c r="B50" s="202" t="s">
        <v>1548</v>
      </c>
      <c r="C50" s="224"/>
      <c r="D50" s="224"/>
      <c r="E50" s="224"/>
      <c r="F50" s="256">
        <f>IF('数据-取费表'!B24=0,'数据-取费表'!N16,1)</f>
        <v>0.81</v>
      </c>
      <c r="G50" s="239"/>
    </row>
    <row r="51" spans="1:7" ht="16.5" customHeight="1">
      <c r="A51" s="247" t="s">
        <v>1550</v>
      </c>
      <c r="B51" s="202" t="s">
        <v>1585</v>
      </c>
      <c r="C51" s="224">
        <f ca="1">ROUND(C49*F50,0)</f>
        <v>231589</v>
      </c>
      <c r="D51" s="224"/>
      <c r="E51" s="224"/>
      <c r="F51" s="256"/>
      <c r="G51" s="226" t="s">
        <v>1552</v>
      </c>
    </row>
    <row r="52" spans="1:7" s="200" customFormat="1" ht="16.5" thickBot="1">
      <c r="A52" s="257" t="s">
        <v>1553</v>
      </c>
      <c r="B52" s="258"/>
      <c r="C52" s="259">
        <f ca="1">C31+C51</f>
        <v>325753</v>
      </c>
      <c r="D52" s="258"/>
      <c r="E52" s="258"/>
      <c r="F52" s="258"/>
      <c r="G52" s="260"/>
    </row>
    <row r="55" spans="1:7" ht="15">
      <c r="B55" s="262" t="s">
        <v>1554</v>
      </c>
      <c r="C55" s="263"/>
    </row>
    <row r="56" spans="1:7">
      <c r="B56" s="265" t="s">
        <v>794</v>
      </c>
      <c r="C56" s="267">
        <f ca="1">1-C57</f>
        <v>0.28900000000000003</v>
      </c>
    </row>
    <row r="57" spans="1:7">
      <c r="B57" s="265" t="s">
        <v>795</v>
      </c>
      <c r="C57" s="266">
        <f ca="1">ROUND(C51/C52,3)</f>
        <v>0.71099999999999997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8" t="s">
        <v>1918</v>
      </c>
      <c r="B1" s="189"/>
      <c r="C1" s="193" t="s">
        <v>1919</v>
      </c>
      <c r="D1" s="333">
        <f>SUM(D33:D34,D37:D42)</f>
        <v>53.53</v>
      </c>
      <c r="E1" s="1837"/>
      <c r="F1" s="1837"/>
      <c r="G1" s="1837"/>
      <c r="H1" s="1837"/>
      <c r="I1" s="1837"/>
      <c r="J1" s="1837"/>
      <c r="K1" s="1052"/>
      <c r="L1" s="1838" t="s">
        <v>1920</v>
      </c>
      <c r="M1" s="807">
        <f>SUMPRODUCT((区片价!B5:B9=I2)*(区片价!C3:G3=E2)*(区片价!C5:G9))</f>
        <v>0</v>
      </c>
      <c r="N1" s="810">
        <f>SUMPRODUCT((因素修正幅度!B5:B9=I2)*(因素修正幅度!C3:G3=E2)*(因素修正幅度!C5:G9))</f>
        <v>0</v>
      </c>
      <c r="O1" s="1839"/>
      <c r="P1" s="1839"/>
      <c r="Q1" s="1052"/>
      <c r="R1" s="1125" t="s">
        <v>1921</v>
      </c>
      <c r="S1" s="1125" t="s">
        <v>1922</v>
      </c>
      <c r="T1" s="1125" t="s">
        <v>1923</v>
      </c>
      <c r="U1" s="1125" t="s">
        <v>1924</v>
      </c>
      <c r="V1" s="1125" t="s">
        <v>1925</v>
      </c>
      <c r="W1" s="1129"/>
      <c r="X1" s="1129"/>
      <c r="Y1" s="1129"/>
      <c r="Z1" s="1129"/>
      <c r="AA1" s="1129"/>
      <c r="AB1" s="1129"/>
      <c r="AC1" s="1130"/>
      <c r="AD1" s="1131"/>
      <c r="AE1" s="1131"/>
      <c r="AF1" s="1131"/>
      <c r="AG1" s="1131"/>
      <c r="AH1" s="1131"/>
      <c r="AI1" s="1131"/>
      <c r="AJ1" s="1132"/>
    </row>
    <row r="2" spans="1:36" ht="15.75">
      <c r="A2" s="193" t="s">
        <v>1926</v>
      </c>
      <c r="B2" s="196">
        <f>C30</f>
        <v>26</v>
      </c>
      <c r="C2" s="1841" t="s">
        <v>1927</v>
      </c>
      <c r="D2" s="162" t="s">
        <v>1928</v>
      </c>
      <c r="E2" s="3116" t="s">
        <v>21</v>
      </c>
      <c r="F2" s="162" t="s">
        <v>1929</v>
      </c>
      <c r="G2" s="163" t="str">
        <f>IF(E2="商业",项目基本情况!B37,IF(E2="办公",项目基本情况!C37,IF(E2="住宅",项目基本情况!D37,IF(E2="工业",项目基本情况!E37,项目基本情况!F37))))</f>
        <v>二级</v>
      </c>
      <c r="H2" s="162" t="s">
        <v>1930</v>
      </c>
      <c r="I2" s="163" t="str">
        <f>IF(E2="商业",项目基本情况!B38,IF(E2="办公",项目基本情况!C38,IF(E2="住宅",项目基本情况!D38,IF(E2="工业",项目基本情况!E38,项目基本情况!F38))))</f>
        <v>Ⅱ—06</v>
      </c>
      <c r="J2" s="1837"/>
      <c r="K2" s="1052"/>
      <c r="L2" s="1842" t="s">
        <v>1931</v>
      </c>
      <c r="M2" s="808">
        <f>SUMPRODUCT((区片价!B10:B29=I2)*(区片价!C3:G3=E2)*(区片价!C10:G29))</f>
        <v>27590</v>
      </c>
      <c r="N2" s="810">
        <f>SUMPRODUCT((因素修正幅度!B10:B29=I2)*(因素修正幅度!C3:G3=E2)*(因素修正幅度!C10:G29))</f>
        <v>9.0999999999999998E-2</v>
      </c>
      <c r="O2" s="1052"/>
      <c r="P2" s="1052"/>
      <c r="Q2" s="1052"/>
      <c r="R2" s="1125">
        <v>1</v>
      </c>
      <c r="S2" s="3059">
        <f>ROUND(SUMPRODUCT((B106:B110=R2)*(C105:N105=G2)*(C106:N110)),4)</f>
        <v>1.5206</v>
      </c>
      <c r="T2" s="3059">
        <f t="shared" ref="T2:T16" si="0">ROUND($C$5*$C$22*$C$23*$C$24*S2*$C$28,0)</f>
        <v>38231</v>
      </c>
      <c r="U2" s="1126"/>
      <c r="V2" s="3059">
        <f>ROUND(T2*U2/10000,0)</f>
        <v>0</v>
      </c>
      <c r="W2" s="1129"/>
      <c r="X2" s="1129"/>
      <c r="Y2" s="1129"/>
      <c r="Z2" s="1129"/>
      <c r="AA2" s="1129"/>
      <c r="AB2" s="1129"/>
      <c r="AC2" s="1130"/>
      <c r="AD2" s="1131"/>
      <c r="AE2" s="1131"/>
      <c r="AF2" s="1131"/>
      <c r="AG2" s="1131"/>
      <c r="AH2" s="1131"/>
      <c r="AI2" s="1131"/>
      <c r="AJ2" s="1132"/>
    </row>
    <row r="3" spans="1:36" ht="15.75">
      <c r="A3" s="195" t="s">
        <v>1932</v>
      </c>
      <c r="B3" s="196">
        <f>ROUND(B2*10000/D1,0)</f>
        <v>4857</v>
      </c>
      <c r="C3" s="1841" t="s">
        <v>1933</v>
      </c>
      <c r="D3" s="162" t="s">
        <v>1934</v>
      </c>
      <c r="E3" s="3114" t="s">
        <v>3393</v>
      </c>
      <c r="F3" s="1843" t="s">
        <v>3424</v>
      </c>
      <c r="G3" s="705">
        <f>IF(F3="宗地容积率",'数据-汇总表'!I4,IF(F3="估价对象容积率",'数据-汇总表'!I6,'数据-汇总表'!I7))</f>
        <v>3.5</v>
      </c>
      <c r="H3" s="162" t="s">
        <v>1935</v>
      </c>
      <c r="I3" s="726"/>
      <c r="J3" s="1837" t="s">
        <v>1936</v>
      </c>
      <c r="K3" s="1052"/>
      <c r="L3" s="1842" t="s">
        <v>1937</v>
      </c>
      <c r="M3" s="808">
        <f>SUMPRODUCT((区片价!B30:B54=I2)*(区片价!C3:G3=E2)*(区片价!C30:G54))</f>
        <v>0</v>
      </c>
      <c r="N3" s="810">
        <f>SUMPRODUCT((因素修正幅度!B30:B54=I2)*(因素修正幅度!C3:G3=E2)*(因素修正幅度!C30:G54))</f>
        <v>0</v>
      </c>
      <c r="O3" s="1052"/>
      <c r="P3" s="1052"/>
      <c r="Q3" s="1052"/>
      <c r="R3" s="1125">
        <v>2</v>
      </c>
      <c r="S3" s="3059">
        <f>ROUND(SUMPRODUCT((B106:B110=R3)*(C105:N105=G2)*(C106:N110)),4)</f>
        <v>1.2072000000000001</v>
      </c>
      <c r="T3" s="3059">
        <f t="shared" si="0"/>
        <v>30351</v>
      </c>
      <c r="U3" s="1126"/>
      <c r="V3" s="3059">
        <f t="shared" ref="V3:V16" si="1">ROUND(T3*U3/10000,0)</f>
        <v>0</v>
      </c>
      <c r="W3" s="1129"/>
      <c r="X3" s="1129"/>
      <c r="Y3" s="1129"/>
      <c r="Z3" s="1129"/>
      <c r="AA3" s="1129"/>
      <c r="AB3" s="1129"/>
      <c r="AC3" s="1130"/>
      <c r="AD3" s="1131"/>
      <c r="AE3" s="1131"/>
      <c r="AF3" s="1131"/>
      <c r="AG3" s="1131"/>
      <c r="AH3" s="1131"/>
      <c r="AI3" s="1131"/>
      <c r="AJ3" s="1132"/>
    </row>
    <row r="4" spans="1:36" ht="15.75">
      <c r="A4" s="3444"/>
      <c r="B4" s="3445"/>
      <c r="C4" s="3445"/>
      <c r="D4" s="3446"/>
      <c r="E4" s="3446"/>
      <c r="F4" s="3446"/>
      <c r="G4" s="3446"/>
      <c r="H4" s="3446"/>
      <c r="I4" s="3446"/>
      <c r="J4" s="3447"/>
      <c r="K4" s="1052"/>
      <c r="L4" s="1842" t="s">
        <v>1938</v>
      </c>
      <c r="M4" s="808">
        <f>SUMPRODUCT((区片价!B55:B86=I2)*(区片价!C3:G3=E2)*(区片价!C55:G86))</f>
        <v>0</v>
      </c>
      <c r="N4" s="810">
        <f>SUMPRODUCT((因素修正幅度!B55:B86=I2)*(因素修正幅度!C3:G3=E2)*(因素修正幅度!C55:G86))</f>
        <v>0</v>
      </c>
      <c r="O4" s="1052"/>
      <c r="P4" s="1052"/>
      <c r="Q4" s="1052"/>
      <c r="R4" s="1125">
        <v>3</v>
      </c>
      <c r="S4" s="3059">
        <f>ROUND(SUMPRODUCT((B106:B110=R4)*(C105:N105=G2)*(C106:N110)),4)</f>
        <v>1.0430999999999999</v>
      </c>
      <c r="T4" s="3059">
        <f t="shared" si="0"/>
        <v>26225</v>
      </c>
      <c r="U4" s="1126"/>
      <c r="V4" s="3059">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1939</v>
      </c>
      <c r="C5" s="706">
        <f>ROUND(IF(E2="商业",C6*C7*C17+C20,(IF(E2="住宅",C6*C13*C17+C20,IF(E2="办公",C6*C12*C17+C20,C6+C20)))),0)</f>
        <v>28970</v>
      </c>
      <c r="D5" s="1248">
        <f>ROUND(C6*C17+C20,0)</f>
        <v>27590</v>
      </c>
      <c r="E5" s="1248"/>
      <c r="F5" s="1846"/>
      <c r="G5" s="1847"/>
      <c r="H5" s="1847"/>
      <c r="I5" s="1847"/>
      <c r="J5" s="1848"/>
      <c r="K5" s="1849"/>
      <c r="L5" s="1842" t="s">
        <v>1940</v>
      </c>
      <c r="M5" s="808">
        <f>SUMPRODUCT((区片价!B87:B126=I2)*(区片价!C3:G3=E2)*(区片价!C87:G126))</f>
        <v>0</v>
      </c>
      <c r="N5" s="810">
        <f>SUMPRODUCT((因素修正幅度!B87:B126=I2)*(因素修正幅度!C3:G3=E2)*(因素修正幅度!C87:G126))</f>
        <v>0</v>
      </c>
      <c r="O5" s="1052"/>
      <c r="P5" s="1052"/>
      <c r="Q5" s="1052"/>
      <c r="R5" s="1125">
        <v>4</v>
      </c>
      <c r="S5" s="3059">
        <f>ROUND(SUMPRODUCT((B106:B110=R5)*(C105:N105=G2)*(C106:N110)),4)</f>
        <v>0.94389999999999996</v>
      </c>
      <c r="T5" s="3059">
        <f t="shared" si="0"/>
        <v>23731</v>
      </c>
      <c r="U5" s="1126"/>
      <c r="V5" s="3059">
        <f t="shared" si="1"/>
        <v>0</v>
      </c>
      <c r="W5" s="1129"/>
      <c r="X5" s="1129"/>
      <c r="Y5" s="1129"/>
      <c r="Z5" s="1129"/>
      <c r="AA5" s="1129"/>
      <c r="AB5" s="1129"/>
      <c r="AC5" s="1850"/>
      <c r="AD5" s="1851"/>
      <c r="AE5" s="1851"/>
      <c r="AF5" s="1851"/>
      <c r="AG5" s="1851"/>
      <c r="AH5" s="1851"/>
      <c r="AI5" s="1851"/>
      <c r="AJ5" s="1852"/>
    </row>
    <row r="6" spans="1:36" ht="15.75" thickBot="1">
      <c r="A6" s="1854" t="s">
        <v>1941</v>
      </c>
      <c r="B6" s="1855" t="s">
        <v>1942</v>
      </c>
      <c r="C6" s="707">
        <f>SUMIF(L1:L12,G2,M1:M12)</f>
        <v>27590</v>
      </c>
      <c r="D6" s="1856"/>
      <c r="E6" s="1857"/>
      <c r="F6" s="1857"/>
      <c r="G6" s="1858"/>
      <c r="H6" s="1858"/>
      <c r="I6" s="1858"/>
      <c r="J6" s="1859"/>
      <c r="K6" s="1288"/>
      <c r="L6" s="1842" t="s">
        <v>1943</v>
      </c>
      <c r="M6" s="808">
        <f>SUMPRODUCT((区片价!B127:B189=I2)*(区片价!C3:G3=E2)*(区片价!C127:G189))</f>
        <v>0</v>
      </c>
      <c r="N6" s="810">
        <f>SUMPRODUCT((因素修正幅度!B127:B189=I2)*(因素修正幅度!C3:G3=E2)*(因素修正幅度!C127:G189))</f>
        <v>0</v>
      </c>
      <c r="O6" s="1052"/>
      <c r="P6" s="1052"/>
      <c r="Q6" s="1052"/>
      <c r="R6" s="1125">
        <v>5</v>
      </c>
      <c r="S6" s="3059">
        <f>ROUND(SUMPRODUCT((B106:B110=R6)*(C105:N105=G2)*(C106:N110)),4)</f>
        <v>0.89959999999999996</v>
      </c>
      <c r="T6" s="3059">
        <f t="shared" si="0"/>
        <v>22618</v>
      </c>
      <c r="U6" s="1126"/>
      <c r="V6" s="3059">
        <f t="shared" si="1"/>
        <v>0</v>
      </c>
      <c r="W6" s="1129"/>
      <c r="X6" s="1129"/>
      <c r="Y6" s="1129"/>
      <c r="Z6" s="1129"/>
      <c r="AA6" s="1129"/>
      <c r="AB6" s="1129"/>
      <c r="AC6" s="1850"/>
      <c r="AD6" s="1851"/>
      <c r="AE6" s="1851"/>
      <c r="AF6" s="1851"/>
      <c r="AG6" s="1851"/>
      <c r="AH6" s="1851"/>
      <c r="AI6" s="1851"/>
      <c r="AJ6" s="1852"/>
    </row>
    <row r="7" spans="1:36" ht="24.75" thickBot="1">
      <c r="A7" s="3008" t="s">
        <v>3219</v>
      </c>
      <c r="B7" s="1860" t="s">
        <v>1944</v>
      </c>
      <c r="C7" s="708">
        <f>IF(C8="不临65条商业街",1,ROUND(1+(1.6*E8+1.2*E9+0.8*E10+0.4*E11)*C9,4))</f>
        <v>1</v>
      </c>
      <c r="D7" s="1861" t="s">
        <v>1945</v>
      </c>
      <c r="E7" s="727"/>
      <c r="F7" s="1862"/>
      <c r="G7" s="1863"/>
      <c r="H7" s="1863"/>
      <c r="I7" s="1863"/>
      <c r="J7" s="1864"/>
      <c r="K7" s="1288"/>
      <c r="L7" s="1842" t="s">
        <v>1946</v>
      </c>
      <c r="M7" s="808">
        <f>SUMPRODUCT((区片价!B190:B233=I2)*(区片价!C3:G3=E2)*(区片价!C190:G233))</f>
        <v>0</v>
      </c>
      <c r="N7" s="810">
        <f>SUMPRODUCT((因素修正幅度!B190:B233=I2)*(因素修正幅度!C3:G3=E2)*(因素修正幅度!C190:G233))</f>
        <v>0</v>
      </c>
      <c r="O7" s="1052"/>
      <c r="P7" s="1052"/>
      <c r="Q7" s="1052"/>
      <c r="R7" s="1125">
        <v>6</v>
      </c>
      <c r="S7" s="3113"/>
      <c r="T7" s="3059">
        <f t="shared" si="0"/>
        <v>0</v>
      </c>
      <c r="U7" s="1126"/>
      <c r="V7" s="3059">
        <f t="shared" si="1"/>
        <v>0</v>
      </c>
      <c r="W7" s="1263" t="s">
        <v>1947</v>
      </c>
      <c r="X7" s="1127" t="str">
        <f>G2</f>
        <v>二级</v>
      </c>
      <c r="Y7" s="1127" t="s">
        <v>1948</v>
      </c>
      <c r="Z7" s="1128">
        <f>G3</f>
        <v>3.5</v>
      </c>
      <c r="AA7" s="1129"/>
      <c r="AB7" s="1129"/>
      <c r="AC7" s="1130"/>
      <c r="AD7" s="1131"/>
      <c r="AE7" s="1131"/>
      <c r="AF7" s="1131"/>
      <c r="AG7" s="1131"/>
      <c r="AH7" s="1131"/>
      <c r="AI7" s="1131"/>
      <c r="AJ7" s="1132"/>
    </row>
    <row r="8" spans="1:36" ht="25.5">
      <c r="A8" s="3005"/>
      <c r="B8" s="162" t="s">
        <v>1949</v>
      </c>
      <c r="C8" s="1865" t="s">
        <v>3457</v>
      </c>
      <c r="D8" s="709" t="s">
        <v>112</v>
      </c>
      <c r="E8" s="710" t="e">
        <f>ROUND(C11/E7,4)</f>
        <v>#DIV/0!</v>
      </c>
      <c r="F8" s="1866" t="s">
        <v>1950</v>
      </c>
      <c r="G8" s="1867"/>
      <c r="H8" s="1867"/>
      <c r="I8" s="1867"/>
      <c r="J8" s="1868"/>
      <c r="K8" s="1052"/>
      <c r="L8" s="1842" t="s">
        <v>1951</v>
      </c>
      <c r="M8" s="808">
        <f>SUMPRODUCT((区片价!B234:B276=I2)*(区片价!C3:G3=E2)*(区片价!C234:G276))</f>
        <v>0</v>
      </c>
      <c r="N8" s="810">
        <f>SUMPRODUCT((因素修正幅度!B234:B276=I2)*(因素修正幅度!C3:G3=E2)*(因素修正幅度!C234:G276))</f>
        <v>0</v>
      </c>
      <c r="O8" s="1052"/>
      <c r="P8" s="1052"/>
      <c r="Q8" s="1052"/>
      <c r="R8" s="1125">
        <v>7</v>
      </c>
      <c r="S8" s="1126"/>
      <c r="T8" s="3059">
        <f t="shared" si="0"/>
        <v>0</v>
      </c>
      <c r="U8" s="1126"/>
      <c r="V8" s="3059">
        <f t="shared" si="1"/>
        <v>0</v>
      </c>
      <c r="W8" s="3441" t="s">
        <v>1952</v>
      </c>
      <c r="X8" s="3442"/>
      <c r="Y8" s="1133" t="s">
        <v>1953</v>
      </c>
      <c r="Z8" s="1133" t="s">
        <v>1954</v>
      </c>
      <c r="AA8" s="1133" t="s">
        <v>1955</v>
      </c>
      <c r="AB8" s="1133" t="s">
        <v>1956</v>
      </c>
      <c r="AC8" s="1133" t="s">
        <v>1957</v>
      </c>
      <c r="AD8" s="1133" t="s">
        <v>1958</v>
      </c>
      <c r="AE8" s="1133" t="s">
        <v>1959</v>
      </c>
      <c r="AF8" s="1133" t="s">
        <v>1960</v>
      </c>
      <c r="AG8" s="1133" t="s">
        <v>1961</v>
      </c>
      <c r="AH8" s="1133" t="s">
        <v>1962</v>
      </c>
      <c r="AI8" s="1133" t="s">
        <v>1963</v>
      </c>
      <c r="AJ8" s="1133" t="s">
        <v>1964</v>
      </c>
    </row>
    <row r="9" spans="1:36" ht="15">
      <c r="A9" s="3005"/>
      <c r="B9" s="162" t="s">
        <v>1965</v>
      </c>
      <c r="C9" s="711">
        <f>SUMIF(修正!C73:C140,C8,修正!E73:E140)</f>
        <v>0</v>
      </c>
      <c r="D9" s="163" t="s">
        <v>113</v>
      </c>
      <c r="E9" s="163" t="e">
        <f>ROUND(C11/E7,4)</f>
        <v>#DIV/0!</v>
      </c>
      <c r="F9" s="1866" t="s">
        <v>1966</v>
      </c>
      <c r="G9" s="1867"/>
      <c r="H9" s="1867"/>
      <c r="I9" s="1867"/>
      <c r="J9" s="1868"/>
      <c r="K9" s="1052"/>
      <c r="L9" s="1842" t="s">
        <v>1967</v>
      </c>
      <c r="M9" s="808">
        <f>SUMPRODUCT((区片价!B277:B326=I2)*(区片价!C3:G3=E2)*(区片价!C277:G326))</f>
        <v>0</v>
      </c>
      <c r="N9" s="810">
        <f>SUMPRODUCT((因素修正幅度!B277:B326=I2)*(因素修正幅度!C3:G3=E2)*(因素修正幅度!C277:G326))</f>
        <v>0</v>
      </c>
      <c r="O9" s="1052"/>
      <c r="P9" s="1052"/>
      <c r="Q9" s="1052"/>
      <c r="R9" s="1125">
        <v>8</v>
      </c>
      <c r="S9" s="1126"/>
      <c r="T9" s="3059">
        <f t="shared" si="0"/>
        <v>0</v>
      </c>
      <c r="U9" s="1126"/>
      <c r="V9" s="3059">
        <f t="shared" si="1"/>
        <v>0</v>
      </c>
      <c r="W9" s="3443"/>
      <c r="X9" s="3060" t="s">
        <v>3248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1968</v>
      </c>
      <c r="C10" s="163">
        <f>SUMIF(修正!C73:C140,C8,修正!F73:F140)</f>
        <v>0</v>
      </c>
      <c r="D10" s="163" t="s">
        <v>114</v>
      </c>
      <c r="E10" s="163" t="e">
        <f>ROUND(C11/E7,4)</f>
        <v>#DIV/0!</v>
      </c>
      <c r="F10" s="1866" t="s">
        <v>1969</v>
      </c>
      <c r="G10" s="1867"/>
      <c r="H10" s="1867"/>
      <c r="I10" s="1867"/>
      <c r="J10" s="1868"/>
      <c r="K10" s="1052"/>
      <c r="L10" s="1842" t="s">
        <v>1970</v>
      </c>
      <c r="M10" s="808">
        <f>SUMPRODUCT((区片价!B327:B357=I2)*(区片价!C3:G3=E2)*(区片价!C327:G357))</f>
        <v>0</v>
      </c>
      <c r="N10" s="810">
        <f>SUMPRODUCT((因素修正幅度!B327:B357=I2)*(因素修正幅度!C3:G3=E2)*(因素修正幅度!C327:G357))</f>
        <v>0</v>
      </c>
      <c r="O10" s="1052"/>
      <c r="P10" s="1052"/>
      <c r="Q10" s="1052"/>
      <c r="R10" s="1125">
        <v>9</v>
      </c>
      <c r="S10" s="1126"/>
      <c r="T10" s="3059">
        <f t="shared" si="0"/>
        <v>0</v>
      </c>
      <c r="U10" s="1126"/>
      <c r="V10" s="3059">
        <f t="shared" si="1"/>
        <v>0</v>
      </c>
      <c r="W10" s="344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1971</v>
      </c>
      <c r="C11" s="712">
        <f>C10/4</f>
        <v>0</v>
      </c>
      <c r="D11" s="712" t="s">
        <v>115</v>
      </c>
      <c r="E11" s="712" t="e">
        <f>ROUND(C11/E7,4)</f>
        <v>#DIV/0!</v>
      </c>
      <c r="F11" s="1870" t="s">
        <v>1972</v>
      </c>
      <c r="G11" s="1871"/>
      <c r="H11" s="1871"/>
      <c r="I11" s="1871"/>
      <c r="J11" s="1872"/>
      <c r="K11" s="1052"/>
      <c r="L11" s="1842" t="s">
        <v>1973</v>
      </c>
      <c r="M11" s="808">
        <f>SUMPRODUCT((区片价!B358:B377=I2)*(区片价!C3:G3=E2)*(区片价!C358:G377))</f>
        <v>0</v>
      </c>
      <c r="N11" s="810">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5" thickBot="1">
      <c r="A12" s="3008" t="s">
        <v>3220</v>
      </c>
      <c r="B12" s="3009" t="s">
        <v>3221</v>
      </c>
      <c r="C12" s="3010">
        <v>1.05</v>
      </c>
      <c r="D12" s="3011" t="s">
        <v>3222</v>
      </c>
      <c r="E12" s="3012" t="s">
        <v>3223</v>
      </c>
      <c r="F12" s="3013"/>
      <c r="G12" s="3014"/>
      <c r="H12" s="3014"/>
      <c r="I12" s="3014"/>
      <c r="J12" s="3015"/>
      <c r="K12" s="1052"/>
      <c r="L12" s="1791" t="s">
        <v>1976</v>
      </c>
      <c r="M12" s="809">
        <f>SUMPRODUCT((区片价!B378:B384=I2)*(区片价!C3:G3=E2)*(区片价!C378:G384))</f>
        <v>0</v>
      </c>
      <c r="N12" s="810">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15.75" thickBot="1">
      <c r="A13" s="3008" t="s">
        <v>3224</v>
      </c>
      <c r="B13" s="1873" t="s">
        <v>1974</v>
      </c>
      <c r="C13" s="708">
        <f>ROUND(C16*D16*E16*F16*G16*H16*I16*J16,4)</f>
        <v>0</v>
      </c>
      <c r="D13" s="1874" t="s">
        <v>1975</v>
      </c>
      <c r="E13" s="1875"/>
      <c r="F13" s="1875"/>
      <c r="G13" s="1876"/>
      <c r="H13" s="1876"/>
      <c r="I13" s="1876"/>
      <c r="J13" s="1877"/>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15">
      <c r="A14" s="3004"/>
      <c r="B14" s="1878" t="s">
        <v>1977</v>
      </c>
      <c r="C14" s="1879" t="s">
        <v>1978</v>
      </c>
      <c r="D14" s="1257" t="s">
        <v>1979</v>
      </c>
      <c r="E14" s="27" t="s">
        <v>1980</v>
      </c>
      <c r="F14" s="3016" t="s">
        <v>3225</v>
      </c>
      <c r="G14" s="3016" t="s">
        <v>3225</v>
      </c>
      <c r="H14" s="3016" t="s">
        <v>3225</v>
      </c>
      <c r="I14" s="3016" t="s">
        <v>3225</v>
      </c>
      <c r="J14" s="3016" t="s">
        <v>3225</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0"/>
      <c r="C15" s="1881"/>
      <c r="D15" s="1882"/>
      <c r="E15" s="1883"/>
      <c r="F15" s="1466" t="s">
        <v>3226</v>
      </c>
      <c r="G15" s="1923"/>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75" thickBot="1">
      <c r="A16" s="3004"/>
      <c r="B16" s="3022" t="s">
        <v>1981</v>
      </c>
      <c r="C16" s="3020"/>
      <c r="D16" s="3020"/>
      <c r="E16" s="3020"/>
      <c r="F16" s="3020">
        <v>1</v>
      </c>
      <c r="G16" s="3020">
        <v>1</v>
      </c>
      <c r="H16" s="3020">
        <v>1</v>
      </c>
      <c r="I16" s="3020">
        <v>1</v>
      </c>
      <c r="J16" s="3021">
        <v>1</v>
      </c>
      <c r="K16" s="1052"/>
      <c r="L16" s="1839"/>
      <c r="M16" s="1839"/>
      <c r="N16" s="1839"/>
      <c r="O16" s="1839"/>
      <c r="P16" s="1839"/>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c r="A17" s="3031" t="s">
        <v>3227</v>
      </c>
      <c r="B17" s="3023" t="s">
        <v>3228</v>
      </c>
      <c r="C17" s="3032">
        <f>ROUND(IF(OR(E2="工业",E2="公共服务"),1,IF(AND(E18=0,E19=0),1,IF(AND(E18=J24,E19=G19),0.8,IF(E19=0,1+E17*(-0.2),1+E17*G17*(-0.2))))),4)</f>
        <v>1</v>
      </c>
      <c r="D17" s="3024" t="s">
        <v>3229</v>
      </c>
      <c r="E17" s="3032">
        <f>ROUND(G18/I18,2)</f>
        <v>0</v>
      </c>
      <c r="F17" s="3024" t="s">
        <v>3232</v>
      </c>
      <c r="G17" s="3032" t="e">
        <f>ROUND(E19/G19,2)</f>
        <v>#DIV/0!</v>
      </c>
      <c r="H17" s="3032"/>
      <c r="I17" s="3032"/>
      <c r="J17" s="3033"/>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4"/>
      <c r="B18" s="2305"/>
      <c r="C18" s="3030"/>
      <c r="D18" s="3025" t="s">
        <v>3230</v>
      </c>
      <c r="E18" s="2352"/>
      <c r="F18" s="3026" t="s">
        <v>3233</v>
      </c>
      <c r="G18" s="3030">
        <f>ROUND(1-(1/(POWER(1+G24,E18))),4)</f>
        <v>0</v>
      </c>
      <c r="H18" s="3026" t="s">
        <v>3235</v>
      </c>
      <c r="I18" s="3030">
        <f>ROUND(1-(1/(POWER(1+G24,J24))),4)</f>
        <v>0.93120000000000003</v>
      </c>
      <c r="J18" s="3035"/>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8"/>
    </row>
    <row r="19" spans="1:37" s="1853" customFormat="1" ht="15" thickBot="1">
      <c r="A19" s="3036"/>
      <c r="B19" s="3037"/>
      <c r="C19" s="3038"/>
      <c r="D19" s="3038" t="s">
        <v>3231</v>
      </c>
      <c r="E19" s="3039"/>
      <c r="F19" s="3040" t="s">
        <v>3234</v>
      </c>
      <c r="G19" s="3039"/>
      <c r="H19" s="3038"/>
      <c r="I19" s="3038"/>
      <c r="J19" s="3041"/>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51"/>
      <c r="AH19" s="1975"/>
      <c r="AI19" s="561"/>
      <c r="AJ19" s="561"/>
      <c r="AK19" s="1894"/>
    </row>
    <row r="20" spans="1:37" s="1853" customFormat="1" ht="14.25">
      <c r="A20" s="3448" t="s">
        <v>3236</v>
      </c>
      <c r="B20" s="159" t="s">
        <v>1986</v>
      </c>
      <c r="C20" s="3027">
        <f>ROUND(IF(F21="与级别开发程度一致",0,(G21-E21)/C21),0)</f>
        <v>0</v>
      </c>
      <c r="D20" s="3042" t="s">
        <v>1990</v>
      </c>
      <c r="E20" s="3043"/>
      <c r="F20" s="3454" t="s">
        <v>1987</v>
      </c>
      <c r="G20" s="3455"/>
      <c r="H20" s="3028"/>
      <c r="I20" s="3028"/>
      <c r="J20" s="3029"/>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3" customFormat="1" ht="26.25" thickBot="1">
      <c r="A21" s="3449"/>
      <c r="B21" s="1997" t="s">
        <v>1989</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3458</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3" customFormat="1" ht="15.75" thickBot="1">
      <c r="A22" s="1991" t="s">
        <v>363</v>
      </c>
      <c r="B22" s="1992" t="s">
        <v>1992</v>
      </c>
      <c r="C22" s="1993">
        <f>SUMIF(修正!C20:C53,E3,修正!E20:E53)</f>
        <v>1</v>
      </c>
      <c r="D22" s="1994"/>
      <c r="E22" s="1995"/>
      <c r="F22" s="1995"/>
      <c r="G22" s="1995"/>
      <c r="H22" s="1995"/>
      <c r="I22" s="1995"/>
      <c r="J22" s="1996"/>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6.25" thickBot="1">
      <c r="A23" s="1887" t="s">
        <v>364</v>
      </c>
      <c r="B23" s="1888" t="s">
        <v>1993</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1" t="s">
        <v>1994</v>
      </c>
      <c r="E23" s="714">
        <v>44197</v>
      </c>
      <c r="F23" s="1891" t="s">
        <v>1995</v>
      </c>
      <c r="G23" s="715">
        <f>'数据-取费表'!B2</f>
        <v>45943</v>
      </c>
      <c r="H23" s="3044" t="s">
        <v>3459</v>
      </c>
      <c r="I23" s="3045" t="str">
        <f>IF(H23="季度增幅（自定义）",SUMIF(N25:N28,E2,O25:O28),"")</f>
        <v/>
      </c>
      <c r="J23" s="3136" t="s">
        <v>3460</v>
      </c>
      <c r="K23" s="1057"/>
      <c r="L23" s="1892" t="s">
        <v>1996</v>
      </c>
      <c r="M23" s="1237">
        <f>ROUND(SUMIF(地价!B2:G2,E2,地价!B16:G16),0)</f>
        <v>350</v>
      </c>
      <c r="N23" s="1893" t="s">
        <v>1997</v>
      </c>
      <c r="O23" s="716">
        <f>ROUNDDOWN(DATEDIF(E23,G23,"M")/3,0)</f>
        <v>19</v>
      </c>
      <c r="P23" s="1053"/>
      <c r="Q23" s="2548"/>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1998</v>
      </c>
      <c r="C24" s="717">
        <f>ROUND(POWER(1+G24,J24-I24)*(POWER(1+G24,I24)-1)/(POWER(1+G24,J24)-1),4)</f>
        <v>0.84519999999999995</v>
      </c>
      <c r="D24" s="1897" t="s">
        <v>1999</v>
      </c>
      <c r="E24" s="1244">
        <f>存贷款利率!E28/100</f>
        <v>4.3499999999999997E-2</v>
      </c>
      <c r="F24" s="1897" t="s">
        <v>1991</v>
      </c>
      <c r="G24" s="721">
        <f>SUMIF(M30:Q30,E2,M33:Q33)</f>
        <v>5.5E-2</v>
      </c>
      <c r="H24" s="1897" t="s">
        <v>2000</v>
      </c>
      <c r="I24" s="722">
        <f>SUMIF('数据-取费表'!C6:C15,E2,'数据-取费表'!F6:F15)/COUNTIF('数据-取费表'!C6:C15,E2)</f>
        <v>28.89</v>
      </c>
      <c r="J24" s="723">
        <f>IF(E2="住宅",70,IF(E2="商业",40,50))</f>
        <v>50</v>
      </c>
      <c r="K24" s="1057"/>
      <c r="L24" s="1898" t="s">
        <v>2001</v>
      </c>
      <c r="M24" s="1238">
        <f>ROUND(SUMPRODUCT((地价!A4:A16=YEAR(G23)&amp;"-"&amp;ROUNDUP(MONTH(G23)/3,0))*(地价!B2:G2=E2)*(地价!B4:G16)),0)</f>
        <v>0</v>
      </c>
      <c r="N24" s="1899" t="s">
        <v>2002</v>
      </c>
      <c r="O24" s="1900" t="s">
        <v>2003</v>
      </c>
      <c r="P24" s="1901" t="s">
        <v>2004</v>
      </c>
      <c r="Q24" s="1839"/>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5">
      <c r="A25" s="1902" t="s">
        <v>366</v>
      </c>
      <c r="B25" s="1903" t="s">
        <v>3315</v>
      </c>
      <c r="C25" s="461">
        <f>IF(B25="容积率修正",IF(G3&lt;10,D26,J26),C27)</f>
        <v>1</v>
      </c>
      <c r="D25" s="1904"/>
      <c r="E25" s="1904"/>
      <c r="F25" s="1904"/>
      <c r="G25" s="1904"/>
      <c r="H25" s="1904"/>
      <c r="I25" s="1904"/>
      <c r="J25" s="1905"/>
      <c r="K25" s="1057"/>
      <c r="L25" s="2548"/>
      <c r="M25" s="2548"/>
      <c r="N25" s="1906" t="s">
        <v>2005</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2006</v>
      </c>
      <c r="B26" s="1907" t="s">
        <v>2007</v>
      </c>
      <c r="C26" s="1907" t="s">
        <v>3237</v>
      </c>
      <c r="D26" s="1259">
        <f>IF(E26=G26,F26,IF(G3&lt;10,ROUND(F26+(H26-F26)*(G3-E26)/(G26-E26),4),"——"))</f>
        <v>1</v>
      </c>
      <c r="E26" s="705">
        <f>ROUNDDOWN(G3,1)</f>
        <v>3.5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3.5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3238</v>
      </c>
      <c r="J26" s="374" t="str">
        <f>IF(G3&gt;=10,D115,"——")</f>
        <v>——</v>
      </c>
      <c r="K26" s="1057"/>
      <c r="L26" s="2548"/>
      <c r="M26" s="2548"/>
      <c r="N26" s="1906" t="s">
        <v>2008</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2009</v>
      </c>
      <c r="B27" s="1908" t="s">
        <v>2010</v>
      </c>
      <c r="C27" s="788">
        <f>ROUND(IF(I3&lt;6,SUMPRODUCT((B106:B110=I3)*(C105:N105=G2)*(C106:N110)),SUMIF(C105:N105,G2,C112:N112)),4)</f>
        <v>0</v>
      </c>
      <c r="D27" s="1837"/>
      <c r="E27" s="1837"/>
      <c r="F27" s="1909"/>
      <c r="G27" s="1910"/>
      <c r="H27" s="1911"/>
      <c r="I27" s="1912"/>
      <c r="J27" s="1913"/>
      <c r="K27" s="1052"/>
      <c r="L27" s="1839"/>
      <c r="M27" s="1839"/>
      <c r="N27" s="1906" t="s">
        <v>2011</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2012</v>
      </c>
      <c r="C28" s="713">
        <f>SUMIF(A47:A101,E2,B47:B101)</f>
        <v>1.0468</v>
      </c>
      <c r="D28" s="1889"/>
      <c r="E28" s="1914"/>
      <c r="F28" s="1914"/>
      <c r="G28" s="1914"/>
      <c r="H28" s="1914"/>
      <c r="I28" s="1914"/>
      <c r="J28" s="1915"/>
      <c r="K28" s="1057"/>
      <c r="L28" s="2548"/>
      <c r="M28" s="2548"/>
      <c r="N28" s="1916" t="s">
        <v>2013</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2014</v>
      </c>
      <c r="C29" s="718"/>
      <c r="D29" s="1863"/>
      <c r="E29" s="1863"/>
      <c r="F29" s="1918"/>
      <c r="G29" s="1863"/>
      <c r="H29" s="1863"/>
      <c r="I29" s="1863"/>
      <c r="J29" s="1864"/>
      <c r="K29" s="1052"/>
      <c r="L29" s="1839"/>
      <c r="M29" s="1839"/>
      <c r="N29" s="2545" t="s">
        <v>2015</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2016</v>
      </c>
      <c r="C30" s="2140">
        <f>IF(B25="容积率修正",E33+SUM(E37:E42),SUM(V2:V16)+SUM(E37:E42))</f>
        <v>26</v>
      </c>
      <c r="D30" s="1920"/>
      <c r="E30" s="1837"/>
      <c r="F30" s="1921"/>
      <c r="G30" s="1837"/>
      <c r="H30" s="1837"/>
      <c r="I30" s="1837"/>
      <c r="J30" s="1922"/>
      <c r="K30" s="1052"/>
      <c r="L30" s="3051" t="s">
        <v>1928</v>
      </c>
      <c r="M30" s="3052" t="s">
        <v>1982</v>
      </c>
      <c r="N30" s="3052" t="s">
        <v>1983</v>
      </c>
      <c r="O30" s="3052" t="s">
        <v>1984</v>
      </c>
      <c r="P30" s="3052" t="s">
        <v>1985</v>
      </c>
      <c r="Q30" s="3055" t="s">
        <v>3242</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2017</v>
      </c>
      <c r="C31" s="719">
        <f>E34+SUM(I37:I42)</f>
        <v>6</v>
      </c>
      <c r="D31" s="1924"/>
      <c r="E31" s="1925"/>
      <c r="F31" s="1926"/>
      <c r="G31" s="1925"/>
      <c r="H31" s="1925"/>
      <c r="I31" s="1925"/>
      <c r="J31" s="1927"/>
      <c r="K31" s="1052"/>
      <c r="L31" s="3053" t="s">
        <v>1988</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2018</v>
      </c>
      <c r="C32" s="1930" t="s">
        <v>2019</v>
      </c>
      <c r="D32" s="1930" t="s">
        <v>2020</v>
      </c>
      <c r="E32" s="1931" t="s">
        <v>2021</v>
      </c>
      <c r="F32" s="1932"/>
      <c r="G32" s="1876"/>
      <c r="H32" s="1876"/>
      <c r="I32" s="1876"/>
      <c r="J32" s="1877"/>
      <c r="K32" s="1052"/>
      <c r="L32" s="3054" t="s">
        <v>1991</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2022</v>
      </c>
      <c r="C33" s="167">
        <f>ROUND(C5*C22*C23*C24*C25*C28,0)</f>
        <v>25142</v>
      </c>
      <c r="D33" s="1935"/>
      <c r="E33" s="724">
        <f>ROUND(C33*D33/10000,0)</f>
        <v>0</v>
      </c>
      <c r="F33" s="3046" t="s">
        <v>3240</v>
      </c>
      <c r="G33" s="1936"/>
      <c r="H33" s="1936"/>
      <c r="I33" s="1936"/>
      <c r="J33" s="1937"/>
      <c r="K33" s="1052"/>
      <c r="L33" s="3049" t="s">
        <v>3243</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2023</v>
      </c>
      <c r="C34" s="179">
        <f>ROUND(IF(E2="工业",C33*M42,IF(B25="楼层修正",SUM(V2:V16)*M41*10000/D34,C33*M41)),0)</f>
        <v>6286</v>
      </c>
      <c r="D34" s="1940"/>
      <c r="E34" s="724">
        <f>ROUND(IF(B25="楼层修正",SUM(V2:V16)*M40,C34*D34/10000),0)</f>
        <v>0</v>
      </c>
      <c r="F34" s="1941" t="s">
        <v>2024</v>
      </c>
      <c r="G34" s="1942"/>
      <c r="H34" s="1942"/>
      <c r="I34" s="1942"/>
      <c r="J34" s="1943"/>
      <c r="K34" s="1052"/>
      <c r="L34" s="3049" t="s">
        <v>3244</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2025</v>
      </c>
      <c r="C35" s="3047" t="s">
        <v>3241</v>
      </c>
      <c r="D35" s="1876"/>
      <c r="E35" s="1946"/>
      <c r="F35" s="1946"/>
      <c r="G35" s="1874" t="s">
        <v>2026</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6" t="s">
        <v>2019</v>
      </c>
      <c r="D36" s="433" t="s">
        <v>2020</v>
      </c>
      <c r="E36" s="433" t="s">
        <v>2021</v>
      </c>
      <c r="F36" s="333" t="s">
        <v>2027</v>
      </c>
      <c r="G36" s="1949" t="s">
        <v>2019</v>
      </c>
      <c r="H36" s="1949" t="s">
        <v>2020</v>
      </c>
      <c r="I36" s="1949" t="s">
        <v>2021</v>
      </c>
      <c r="J36" s="235"/>
      <c r="K36" s="1959" t="s">
        <v>3245</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452"/>
      <c r="B37" s="1950" t="s">
        <v>2028</v>
      </c>
      <c r="C37" s="167">
        <f>ROUND(D5*C22*C23*C24*C28*F37,0)</f>
        <v>16761</v>
      </c>
      <c r="D37" s="1935"/>
      <c r="E37" s="163">
        <f>ROUND(C37*D37/10000,0)</f>
        <v>0</v>
      </c>
      <c r="F37" s="163">
        <f>SUMIF(修正!A59:A70,G2,修正!B59:B70)</f>
        <v>0.7</v>
      </c>
      <c r="G37" s="163">
        <f>ROUND(IF(E2="工业",C37*$M$42,C37*$M$41),0)</f>
        <v>4190</v>
      </c>
      <c r="H37" s="163">
        <f>D37</f>
        <v>0</v>
      </c>
      <c r="I37" s="163">
        <f>ROUND(G37*H37/10000,0)</f>
        <v>0</v>
      </c>
      <c r="J37" s="2750"/>
      <c r="K37" s="3057" t="s">
        <v>3246</v>
      </c>
      <c r="L37" s="1959">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453"/>
      <c r="B38" s="1879" t="s">
        <v>2029</v>
      </c>
      <c r="C38" s="167">
        <f>ROUND(D5*C22*C23*C24*C28*F38,0)</f>
        <v>9578</v>
      </c>
      <c r="D38" s="1935"/>
      <c r="E38" s="163">
        <f t="shared" ref="E38:E42" si="4">ROUND(C38*D38/10000,0)</f>
        <v>0</v>
      </c>
      <c r="F38" s="163">
        <f>SUMIF(修正!A59:A70,G2,修正!C59:C70)</f>
        <v>0.4</v>
      </c>
      <c r="G38" s="163">
        <f>ROUND(IF(E2="工业",C38*$M$42,C38*$M$41),0)</f>
        <v>2395</v>
      </c>
      <c r="H38" s="163">
        <f t="shared" ref="H38:H42" si="5">D38</f>
        <v>0</v>
      </c>
      <c r="I38" s="163">
        <f t="shared" ref="I38:I42" si="6">ROUND(G38*H38/10000,0)</f>
        <v>0</v>
      </c>
      <c r="J38" s="2749"/>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453"/>
      <c r="B39" s="1879" t="s">
        <v>3239</v>
      </c>
      <c r="C39" s="167">
        <f>ROUND(D5*C22*C23*C24*C28*F39,0)</f>
        <v>7183</v>
      </c>
      <c r="D39" s="1935"/>
      <c r="E39" s="163">
        <f t="shared" si="4"/>
        <v>0</v>
      </c>
      <c r="F39" s="163">
        <f>SUMIF(修正!A59:A70,G2,修正!D59:D70)</f>
        <v>0.3</v>
      </c>
      <c r="G39" s="163">
        <f>ROUND(IF(E2="工业",C39*$M$42,C39*$M$41),0)</f>
        <v>1796</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2030</v>
      </c>
      <c r="C40" s="163">
        <f>ROUND(D5*C22*C23*C24*C28*F40,0)</f>
        <v>7183</v>
      </c>
      <c r="D40" s="1935"/>
      <c r="E40" s="163">
        <f t="shared" si="4"/>
        <v>0</v>
      </c>
      <c r="F40" s="167">
        <f>SUMIF(修正!A59:A70,G2,修正!E59:E70)</f>
        <v>0.3</v>
      </c>
      <c r="G40" s="163">
        <f>ROUND(IF(E2="工业",C40*$M$42,C40*$M$41),0)</f>
        <v>1796</v>
      </c>
      <c r="H40" s="163">
        <f t="shared" si="5"/>
        <v>0</v>
      </c>
      <c r="I40" s="163">
        <f t="shared" si="6"/>
        <v>0</v>
      </c>
      <c r="J40" s="936"/>
      <c r="L40" s="1952" t="s">
        <v>2031</v>
      </c>
      <c r="M40" s="1953"/>
      <c r="Z40" s="1053"/>
      <c r="AA40" s="1053"/>
      <c r="AB40" s="1053"/>
      <c r="AC40" s="1053"/>
      <c r="AD40" s="1053"/>
      <c r="AE40" s="1053"/>
      <c r="AF40" s="1053"/>
      <c r="AG40" s="1053"/>
      <c r="AH40" s="1053"/>
      <c r="AI40" s="1053"/>
      <c r="AJ40" s="1053"/>
    </row>
    <row r="41" spans="1:37" s="1052" customFormat="1">
      <c r="A41" s="1951"/>
      <c r="B41" s="1879" t="s">
        <v>2032</v>
      </c>
      <c r="C41" s="163">
        <f>ROUND(D5*C22*C23*C44*C28*F41,0)</f>
        <v>7183</v>
      </c>
      <c r="D41" s="1935"/>
      <c r="E41" s="163">
        <f t="shared" si="4"/>
        <v>0</v>
      </c>
      <c r="F41" s="167">
        <f>SUMIF(修正!A59:A70,G2,修正!F59:F70)</f>
        <v>0.3</v>
      </c>
      <c r="G41" s="163">
        <f>ROUND(IF(E2="工业",C41*$M$42,C41*$M$41),0)</f>
        <v>1796</v>
      </c>
      <c r="H41" s="163">
        <f t="shared" si="5"/>
        <v>0</v>
      </c>
      <c r="I41" s="163">
        <f t="shared" si="6"/>
        <v>0</v>
      </c>
      <c r="J41" s="936"/>
      <c r="L41" s="3058" t="s">
        <v>3247</v>
      </c>
      <c r="M41" s="1954">
        <v>0.25</v>
      </c>
      <c r="Z41" s="1053"/>
      <c r="AA41" s="1053"/>
      <c r="AB41" s="1053"/>
      <c r="AC41" s="1053"/>
      <c r="AD41" s="1053"/>
      <c r="AE41" s="1053"/>
      <c r="AF41" s="1053"/>
      <c r="AG41" s="1053"/>
      <c r="AH41" s="1053"/>
      <c r="AI41" s="1053"/>
      <c r="AJ41" s="1053"/>
    </row>
    <row r="42" spans="1:37" s="1052" customFormat="1" ht="13.5" thickBot="1">
      <c r="A42" s="1938"/>
      <c r="B42" s="1955" t="s">
        <v>2033</v>
      </c>
      <c r="C42" s="179">
        <f>ROUND(D5*C22*C23*C44*C28*F42,0)</f>
        <v>4789</v>
      </c>
      <c r="D42" s="1940">
        <f>'数据-汇总表'!G21</f>
        <v>53.53</v>
      </c>
      <c r="E42" s="179">
        <f t="shared" si="4"/>
        <v>26</v>
      </c>
      <c r="F42" s="720">
        <f>SUMIF(修正!A59:A70,G2,修正!G59:G70)</f>
        <v>0.2</v>
      </c>
      <c r="G42" s="179">
        <f>ROUND(IF(E2="工业",C42*$M$42,C42*$M$41),0)</f>
        <v>1197</v>
      </c>
      <c r="H42" s="179">
        <f t="shared" si="5"/>
        <v>53.53</v>
      </c>
      <c r="I42" s="179">
        <f t="shared" si="6"/>
        <v>6</v>
      </c>
      <c r="J42" s="1956"/>
      <c r="L42" s="1957" t="s">
        <v>1985</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2113</v>
      </c>
      <c r="C44" s="333">
        <f>ROUND(POWER(1+E44,H44-G44)*(POWER(1+E44,G44)-1)/(POWER(1+E44,H44)-1),4)</f>
        <v>0.84519999999999995</v>
      </c>
      <c r="D44" s="163" t="s">
        <v>1991</v>
      </c>
      <c r="E44" s="1986">
        <f>G24</f>
        <v>5.5E-2</v>
      </c>
      <c r="F44" s="163" t="s">
        <v>2000</v>
      </c>
      <c r="G44" s="175">
        <f>项目基本情况!F15</f>
        <v>28.89</v>
      </c>
      <c r="H44" s="163">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2034</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2035</v>
      </c>
      <c r="B48" s="1963">
        <f>1+E50</f>
        <v>1</v>
      </c>
      <c r="C48" s="1721"/>
      <c r="D48" s="696"/>
      <c r="E48" s="697"/>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2036</v>
      </c>
      <c r="B49" s="1258" t="s">
        <v>2037</v>
      </c>
      <c r="C49" s="1258" t="s">
        <v>2038</v>
      </c>
      <c r="D49" s="1258" t="s">
        <v>2039</v>
      </c>
      <c r="E49" s="698" t="s">
        <v>2040</v>
      </c>
      <c r="F49" s="1966" t="s">
        <v>2041</v>
      </c>
      <c r="G49" s="1258" t="s">
        <v>310</v>
      </c>
      <c r="H49" s="1967" t="s">
        <v>2042</v>
      </c>
      <c r="I49" s="1258" t="s">
        <v>2043</v>
      </c>
      <c r="J49" s="530" t="s">
        <v>1713</v>
      </c>
      <c r="K49" s="530" t="s">
        <v>1714</v>
      </c>
      <c r="L49" s="530" t="s">
        <v>1715</v>
      </c>
      <c r="M49" s="530" t="s">
        <v>1716</v>
      </c>
      <c r="N49" s="530" t="s">
        <v>1717</v>
      </c>
      <c r="AA49" s="1053"/>
      <c r="AB49" s="1053"/>
      <c r="AC49" s="1053"/>
      <c r="AD49" s="1053"/>
      <c r="AE49" s="1053"/>
      <c r="AF49" s="1053"/>
      <c r="AG49" s="1053"/>
      <c r="AH49" s="1053"/>
      <c r="AI49" s="1053"/>
      <c r="AJ49" s="1053"/>
      <c r="AK49" s="1053"/>
    </row>
    <row r="50" spans="1:37" s="1052" customFormat="1" ht="24.75">
      <c r="A50" s="1965" t="s">
        <v>2044</v>
      </c>
      <c r="B50" s="1968">
        <f>估价对象房地状况!C4</f>
        <v>0</v>
      </c>
      <c r="C50" s="1882"/>
      <c r="D50" s="998">
        <f t="shared" ref="D50:D58" si="7">SUMIF($J$49:$N$49,C50,J50:N50)</f>
        <v>0</v>
      </c>
      <c r="E50" s="699">
        <f>ROUND(SUM(D50:D58),4)</f>
        <v>0</v>
      </c>
      <c r="F50" s="1670"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5" t="s">
        <v>2045</v>
      </c>
      <c r="B51" s="1258">
        <f>估价对象房地状况!C18</f>
        <v>0</v>
      </c>
      <c r="C51" s="1882"/>
      <c r="D51" s="998">
        <f t="shared" si="7"/>
        <v>0</v>
      </c>
      <c r="E51" s="700"/>
      <c r="F51" s="1670"/>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6" t="s">
        <v>3249</v>
      </c>
      <c r="B52" s="1258">
        <f>估价对象房地状况!C19</f>
        <v>0</v>
      </c>
      <c r="C52" s="1882"/>
      <c r="D52" s="998">
        <f t="shared" si="7"/>
        <v>0</v>
      </c>
      <c r="E52" s="700"/>
      <c r="F52" s="1670"/>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5" t="s">
        <v>2046</v>
      </c>
      <c r="B53" s="1969" t="s">
        <v>2047</v>
      </c>
      <c r="C53" s="1882"/>
      <c r="D53" s="998">
        <f t="shared" si="7"/>
        <v>0</v>
      </c>
      <c r="E53" s="700"/>
      <c r="F53" s="1670"/>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5" t="s">
        <v>2048</v>
      </c>
      <c r="B54" s="1258">
        <f>估价对象房地状况!C24</f>
        <v>0</v>
      </c>
      <c r="C54" s="1882"/>
      <c r="D54" s="998">
        <f t="shared" si="7"/>
        <v>0</v>
      </c>
      <c r="E54" s="700"/>
      <c r="F54" s="1670"/>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5" t="s">
        <v>2049</v>
      </c>
      <c r="B55" s="1970" t="s">
        <v>2050</v>
      </c>
      <c r="C55" s="1882"/>
      <c r="D55" s="998">
        <f t="shared" si="7"/>
        <v>0</v>
      </c>
      <c r="E55" s="700"/>
      <c r="F55" s="1670"/>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1" t="s">
        <v>2051</v>
      </c>
      <c r="B56" s="1236">
        <f>估价对象房地状况!C21</f>
        <v>0</v>
      </c>
      <c r="C56" s="1882"/>
      <c r="D56" s="998">
        <f t="shared" si="7"/>
        <v>0</v>
      </c>
      <c r="E56" s="700"/>
      <c r="F56" s="1670"/>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1" t="s">
        <v>2052</v>
      </c>
      <c r="B57" s="1258">
        <f>估价对象房地状况!C22</f>
        <v>0</v>
      </c>
      <c r="C57" s="1882"/>
      <c r="D57" s="998">
        <f t="shared" si="7"/>
        <v>0</v>
      </c>
      <c r="E57" s="700"/>
      <c r="F57" s="1670"/>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2" t="s">
        <v>2053</v>
      </c>
      <c r="B58" s="1973">
        <f>估价对象房地状况!C20</f>
        <v>0</v>
      </c>
      <c r="C58" s="1882"/>
      <c r="D58" s="998">
        <f t="shared" si="7"/>
        <v>0</v>
      </c>
      <c r="E58" s="701"/>
      <c r="F58" s="1670"/>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2" t="s">
        <v>2054</v>
      </c>
      <c r="B59" s="1963">
        <f>1+E61</f>
        <v>1.0468</v>
      </c>
      <c r="C59" s="696"/>
      <c r="D59" s="696"/>
      <c r="E59" s="697"/>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2036</v>
      </c>
      <c r="B60" s="1258"/>
      <c r="C60" s="1258" t="s">
        <v>2038</v>
      </c>
      <c r="D60" s="1258" t="s">
        <v>2039</v>
      </c>
      <c r="E60" s="698" t="s">
        <v>2040</v>
      </c>
      <c r="F60" s="1966" t="s">
        <v>2055</v>
      </c>
      <c r="G60" s="1258" t="s">
        <v>310</v>
      </c>
      <c r="H60" s="1967" t="s">
        <v>2042</v>
      </c>
      <c r="I60" s="1258" t="s">
        <v>2043</v>
      </c>
      <c r="J60" s="530" t="s">
        <v>1713</v>
      </c>
      <c r="K60" s="530" t="s">
        <v>1714</v>
      </c>
      <c r="L60" s="530" t="s">
        <v>1715</v>
      </c>
      <c r="M60" s="530" t="s">
        <v>1716</v>
      </c>
      <c r="N60" s="530" t="s">
        <v>1717</v>
      </c>
      <c r="AA60" s="1053"/>
      <c r="AB60" s="1053"/>
      <c r="AC60" s="1053"/>
      <c r="AD60" s="1053"/>
      <c r="AE60" s="1053"/>
      <c r="AF60" s="1053"/>
      <c r="AG60" s="1053"/>
      <c r="AH60" s="1053"/>
      <c r="AI60" s="1053"/>
      <c r="AJ60" s="1053"/>
      <c r="AK60" s="1053"/>
    </row>
    <row r="61" spans="1:37" s="1052" customFormat="1" ht="24">
      <c r="A61" s="1965" t="s">
        <v>2056</v>
      </c>
      <c r="B61" s="1968">
        <f>估价对象房地状况!C17</f>
        <v>0</v>
      </c>
      <c r="C61" s="1882" t="s">
        <v>3461</v>
      </c>
      <c r="D61" s="998">
        <f t="shared" ref="D61:D69" si="12">SUMIF($J$60:$N$60,C61,J61:N61)</f>
        <v>1.1299999999999999E-2</v>
      </c>
      <c r="E61" s="699">
        <f>ROUND(SUM(D61:D69),4)</f>
        <v>4.6800000000000001E-2</v>
      </c>
      <c r="F61" s="1670">
        <f>IF(E2="办公",SUMIF(L1:L12,G2,N1:N12),"——")</f>
        <v>9.0999999999999998E-2</v>
      </c>
      <c r="G61" s="996">
        <f>H61</f>
        <v>1.1299999999999999E-2</v>
      </c>
      <c r="H61" s="999">
        <f t="shared" ref="H61:H69" si="13">IFERROR(ROUNDDOWN($F$61*I61/2,4),"——")</f>
        <v>1.1299999999999999E-2</v>
      </c>
      <c r="I61" s="3064">
        <v>0.25</v>
      </c>
      <c r="J61" s="997">
        <f t="shared" ref="J61:J69" si="14">K61+$G61</f>
        <v>2.2599999999999999E-2</v>
      </c>
      <c r="K61" s="997">
        <f t="shared" ref="K61:K69" si="15">$L61+$G61</f>
        <v>1.1299999999999999E-2</v>
      </c>
      <c r="L61" s="997">
        <v>0</v>
      </c>
      <c r="M61" s="997">
        <f t="shared" ref="M61:N69" si="16">L61-$G61</f>
        <v>-1.1299999999999999E-2</v>
      </c>
      <c r="N61" s="997">
        <f t="shared" si="16"/>
        <v>-2.2599999999999999E-2</v>
      </c>
      <c r="AA61" s="1053"/>
      <c r="AB61" s="1053"/>
      <c r="AC61" s="1053"/>
      <c r="AD61" s="1053"/>
      <c r="AE61" s="1053"/>
      <c r="AF61" s="1053"/>
      <c r="AG61" s="1053"/>
      <c r="AH61" s="1053"/>
      <c r="AI61" s="1053"/>
      <c r="AJ61" s="1053"/>
      <c r="AK61" s="1053"/>
    </row>
    <row r="62" spans="1:37" s="1052" customFormat="1" ht="14.25">
      <c r="A62" s="1965" t="s">
        <v>2045</v>
      </c>
      <c r="B62" s="1258">
        <f>估价对象房地状况!C18</f>
        <v>0</v>
      </c>
      <c r="C62" s="1882" t="s">
        <v>3461</v>
      </c>
      <c r="D62" s="998">
        <f t="shared" si="12"/>
        <v>1.18E-2</v>
      </c>
      <c r="E62" s="700"/>
      <c r="F62" s="1670"/>
      <c r="G62" s="996">
        <f t="shared" ref="G62:G69" si="17">H62</f>
        <v>1.18E-2</v>
      </c>
      <c r="H62" s="999">
        <f t="shared" si="13"/>
        <v>1.18E-2</v>
      </c>
      <c r="I62" s="3064">
        <v>0.26</v>
      </c>
      <c r="J62" s="997">
        <f t="shared" si="14"/>
        <v>2.3599999999999999E-2</v>
      </c>
      <c r="K62" s="997">
        <f t="shared" si="15"/>
        <v>1.18E-2</v>
      </c>
      <c r="L62" s="997">
        <v>0</v>
      </c>
      <c r="M62" s="997">
        <f t="shared" si="16"/>
        <v>-1.18E-2</v>
      </c>
      <c r="N62" s="997">
        <f t="shared" si="16"/>
        <v>-2.3599999999999999E-2</v>
      </c>
      <c r="AA62" s="1053"/>
      <c r="AB62" s="1053"/>
      <c r="AC62" s="1053"/>
      <c r="AD62" s="1053"/>
      <c r="AE62" s="1053"/>
      <c r="AF62" s="1053"/>
      <c r="AG62" s="1053"/>
      <c r="AH62" s="1053"/>
      <c r="AI62" s="1053"/>
      <c r="AJ62" s="1053"/>
      <c r="AK62" s="1053"/>
    </row>
    <row r="63" spans="1:37" s="1052" customFormat="1" ht="36">
      <c r="A63" s="3066" t="s">
        <v>3249</v>
      </c>
      <c r="B63" s="1258">
        <f>估价对象房地状况!C19</f>
        <v>0</v>
      </c>
      <c r="C63" s="1882" t="s">
        <v>3461</v>
      </c>
      <c r="D63" s="998">
        <f t="shared" si="12"/>
        <v>5.0000000000000001E-3</v>
      </c>
      <c r="E63" s="700"/>
      <c r="F63" s="1670"/>
      <c r="G63" s="996">
        <f t="shared" si="17"/>
        <v>5.0000000000000001E-3</v>
      </c>
      <c r="H63" s="999">
        <f t="shared" si="13"/>
        <v>5.0000000000000001E-3</v>
      </c>
      <c r="I63" s="3064">
        <v>0.11</v>
      </c>
      <c r="J63" s="997">
        <f t="shared" si="14"/>
        <v>0.01</v>
      </c>
      <c r="K63" s="997">
        <f t="shared" si="15"/>
        <v>5.0000000000000001E-3</v>
      </c>
      <c r="L63" s="997">
        <v>0</v>
      </c>
      <c r="M63" s="997">
        <f t="shared" si="16"/>
        <v>-5.0000000000000001E-3</v>
      </c>
      <c r="N63" s="997">
        <f t="shared" si="16"/>
        <v>-0.01</v>
      </c>
      <c r="AA63" s="1053"/>
      <c r="AB63" s="1053"/>
      <c r="AC63" s="1053"/>
      <c r="AD63" s="1053"/>
      <c r="AE63" s="1053"/>
      <c r="AF63" s="1053"/>
      <c r="AG63" s="1053"/>
      <c r="AH63" s="1053"/>
      <c r="AI63" s="1053"/>
      <c r="AJ63" s="1053"/>
      <c r="AK63" s="1053"/>
    </row>
    <row r="64" spans="1:37" s="1052" customFormat="1" ht="36.75">
      <c r="A64" s="1965" t="s">
        <v>2046</v>
      </c>
      <c r="B64" s="1969" t="s">
        <v>2047</v>
      </c>
      <c r="C64" s="1882" t="s">
        <v>3461</v>
      </c>
      <c r="D64" s="998">
        <f t="shared" si="12"/>
        <v>2.2000000000000001E-3</v>
      </c>
      <c r="E64" s="700"/>
      <c r="F64" s="1670"/>
      <c r="G64" s="996">
        <f t="shared" si="17"/>
        <v>2.2000000000000001E-3</v>
      </c>
      <c r="H64" s="999">
        <f t="shared" si="13"/>
        <v>2.2000000000000001E-3</v>
      </c>
      <c r="I64" s="3064">
        <v>0.05</v>
      </c>
      <c r="J64" s="997">
        <f t="shared" si="14"/>
        <v>4.4000000000000003E-3</v>
      </c>
      <c r="K64" s="997">
        <f t="shared" si="15"/>
        <v>2.2000000000000001E-3</v>
      </c>
      <c r="L64" s="997">
        <v>0</v>
      </c>
      <c r="M64" s="997">
        <f t="shared" si="16"/>
        <v>-2.2000000000000001E-3</v>
      </c>
      <c r="N64" s="997">
        <f t="shared" si="16"/>
        <v>-4.4000000000000003E-3</v>
      </c>
      <c r="AA64" s="1053"/>
      <c r="AB64" s="1053"/>
      <c r="AC64" s="1053"/>
      <c r="AD64" s="1053"/>
      <c r="AE64" s="1053"/>
      <c r="AF64" s="1053"/>
      <c r="AG64" s="1053"/>
      <c r="AH64" s="1053"/>
      <c r="AI64" s="1053"/>
      <c r="AJ64" s="1053"/>
      <c r="AK64" s="1053"/>
    </row>
    <row r="65" spans="1:37" s="1052" customFormat="1" ht="24">
      <c r="A65" s="1965" t="s">
        <v>2048</v>
      </c>
      <c r="B65" s="1258">
        <f>估价对象房地状况!C24</f>
        <v>0</v>
      </c>
      <c r="C65" s="1882" t="s">
        <v>3463</v>
      </c>
      <c r="D65" s="998">
        <f t="shared" si="12"/>
        <v>0</v>
      </c>
      <c r="E65" s="700"/>
      <c r="F65" s="1670"/>
      <c r="G65" s="996">
        <f t="shared" si="17"/>
        <v>2.2000000000000001E-3</v>
      </c>
      <c r="H65" s="999">
        <f t="shared" si="13"/>
        <v>2.2000000000000001E-3</v>
      </c>
      <c r="I65" s="3064">
        <v>0.05</v>
      </c>
      <c r="J65" s="997">
        <f t="shared" si="14"/>
        <v>4.4000000000000003E-3</v>
      </c>
      <c r="K65" s="997">
        <f t="shared" si="15"/>
        <v>2.2000000000000001E-3</v>
      </c>
      <c r="L65" s="997">
        <v>0</v>
      </c>
      <c r="M65" s="997">
        <f t="shared" si="16"/>
        <v>-2.2000000000000001E-3</v>
      </c>
      <c r="N65" s="997">
        <f t="shared" si="16"/>
        <v>-4.4000000000000003E-3</v>
      </c>
      <c r="AA65" s="1053"/>
      <c r="AB65" s="1053"/>
      <c r="AC65" s="1053"/>
      <c r="AD65" s="1053"/>
      <c r="AE65" s="1053"/>
      <c r="AF65" s="1053"/>
      <c r="AG65" s="1053"/>
      <c r="AH65" s="1053"/>
      <c r="AI65" s="1053"/>
      <c r="AJ65" s="1053"/>
      <c r="AK65" s="1053"/>
    </row>
    <row r="66" spans="1:37" s="1052" customFormat="1" ht="24">
      <c r="A66" s="1965" t="s">
        <v>2049</v>
      </c>
      <c r="B66" s="1970" t="s">
        <v>2050</v>
      </c>
      <c r="C66" s="1882" t="s">
        <v>3461</v>
      </c>
      <c r="D66" s="998">
        <f t="shared" si="12"/>
        <v>2.7000000000000001E-3</v>
      </c>
      <c r="E66" s="700"/>
      <c r="F66" s="1670"/>
      <c r="G66" s="996">
        <f t="shared" si="17"/>
        <v>2.7000000000000001E-3</v>
      </c>
      <c r="H66" s="999">
        <f t="shared" si="13"/>
        <v>2.7000000000000001E-3</v>
      </c>
      <c r="I66" s="3064">
        <v>0.06</v>
      </c>
      <c r="J66" s="997">
        <f t="shared" si="14"/>
        <v>5.4000000000000003E-3</v>
      </c>
      <c r="K66" s="997">
        <f t="shared" si="15"/>
        <v>2.7000000000000001E-3</v>
      </c>
      <c r="L66" s="997">
        <v>0</v>
      </c>
      <c r="M66" s="997">
        <f t="shared" si="16"/>
        <v>-2.7000000000000001E-3</v>
      </c>
      <c r="N66" s="997">
        <f t="shared" si="16"/>
        <v>-5.4000000000000003E-3</v>
      </c>
      <c r="AA66" s="1053"/>
      <c r="AB66" s="1053"/>
      <c r="AC66" s="1053"/>
      <c r="AD66" s="1053"/>
      <c r="AE66" s="1053"/>
      <c r="AF66" s="1053"/>
      <c r="AG66" s="1053"/>
      <c r="AH66" s="1053"/>
      <c r="AI66" s="1053"/>
      <c r="AJ66" s="1053"/>
      <c r="AK66" s="1053"/>
    </row>
    <row r="67" spans="1:37" s="1052" customFormat="1" ht="24">
      <c r="A67" s="1965" t="s">
        <v>2051</v>
      </c>
      <c r="B67" s="1236">
        <f>估价对象房地状况!C21</f>
        <v>0</v>
      </c>
      <c r="C67" s="1882" t="s">
        <v>3461</v>
      </c>
      <c r="D67" s="998">
        <f t="shared" si="12"/>
        <v>2.7000000000000001E-3</v>
      </c>
      <c r="E67" s="700"/>
      <c r="F67" s="1670"/>
      <c r="G67" s="996">
        <f t="shared" si="17"/>
        <v>2.7000000000000001E-3</v>
      </c>
      <c r="H67" s="999">
        <f t="shared" si="13"/>
        <v>2.7000000000000001E-3</v>
      </c>
      <c r="I67" s="3064">
        <v>0.06</v>
      </c>
      <c r="J67" s="997">
        <f t="shared" si="14"/>
        <v>5.4000000000000003E-3</v>
      </c>
      <c r="K67" s="997">
        <f t="shared" si="15"/>
        <v>2.7000000000000001E-3</v>
      </c>
      <c r="L67" s="997">
        <v>0</v>
      </c>
      <c r="M67" s="997">
        <f t="shared" si="16"/>
        <v>-2.7000000000000001E-3</v>
      </c>
      <c r="N67" s="997">
        <f t="shared" si="16"/>
        <v>-5.4000000000000003E-3</v>
      </c>
      <c r="AA67" s="1053"/>
      <c r="AB67" s="1053"/>
      <c r="AC67" s="1053"/>
      <c r="AD67" s="1053"/>
      <c r="AE67" s="1053"/>
      <c r="AF67" s="1053"/>
      <c r="AG67" s="1053"/>
      <c r="AH67" s="1053"/>
      <c r="AI67" s="1053"/>
      <c r="AJ67" s="1053"/>
      <c r="AK67" s="1053"/>
    </row>
    <row r="68" spans="1:37" s="1052" customFormat="1" ht="24">
      <c r="A68" s="1965" t="s">
        <v>2052</v>
      </c>
      <c r="B68" s="1236">
        <f>估价对象房地状况!C22</f>
        <v>0</v>
      </c>
      <c r="C68" s="1882" t="s">
        <v>3462</v>
      </c>
      <c r="D68" s="998">
        <f t="shared" si="12"/>
        <v>8.0000000000000002E-3</v>
      </c>
      <c r="E68" s="700"/>
      <c r="F68" s="1670"/>
      <c r="G68" s="996">
        <f t="shared" si="17"/>
        <v>4.0000000000000001E-3</v>
      </c>
      <c r="H68" s="999">
        <f t="shared" si="13"/>
        <v>4.0000000000000001E-3</v>
      </c>
      <c r="I68" s="3064">
        <v>0.09</v>
      </c>
      <c r="J68" s="997">
        <f t="shared" si="14"/>
        <v>8.0000000000000002E-3</v>
      </c>
      <c r="K68" s="997">
        <f t="shared" si="15"/>
        <v>4.0000000000000001E-3</v>
      </c>
      <c r="L68" s="997">
        <v>0</v>
      </c>
      <c r="M68" s="997">
        <f t="shared" si="16"/>
        <v>-4.0000000000000001E-3</v>
      </c>
      <c r="N68" s="997">
        <f t="shared" si="16"/>
        <v>-8.0000000000000002E-3</v>
      </c>
      <c r="AA68" s="1053"/>
      <c r="AB68" s="1053"/>
      <c r="AC68" s="1053"/>
      <c r="AD68" s="1053"/>
      <c r="AE68" s="1053"/>
      <c r="AF68" s="1053"/>
      <c r="AG68" s="1053"/>
      <c r="AH68" s="1053"/>
      <c r="AI68" s="1053"/>
      <c r="AJ68" s="1053"/>
      <c r="AK68" s="1053"/>
    </row>
    <row r="69" spans="1:37" s="1052" customFormat="1" ht="24.75" thickBot="1">
      <c r="A69" s="1972" t="s">
        <v>2053</v>
      </c>
      <c r="B69" s="1974">
        <f>估价对象房地状况!C20</f>
        <v>0</v>
      </c>
      <c r="C69" s="1882" t="s">
        <v>3461</v>
      </c>
      <c r="D69" s="998">
        <f t="shared" si="12"/>
        <v>3.0999999999999999E-3</v>
      </c>
      <c r="E69" s="701"/>
      <c r="F69" s="1670"/>
      <c r="G69" s="996">
        <f t="shared" si="17"/>
        <v>3.0999999999999999E-3</v>
      </c>
      <c r="H69" s="999">
        <f t="shared" si="13"/>
        <v>3.0999999999999999E-3</v>
      </c>
      <c r="I69" s="3065">
        <v>7.0000000000000007E-2</v>
      </c>
      <c r="J69" s="997">
        <f t="shared" si="14"/>
        <v>6.1999999999999998E-3</v>
      </c>
      <c r="K69" s="997">
        <f t="shared" si="15"/>
        <v>3.0999999999999999E-3</v>
      </c>
      <c r="L69" s="997">
        <v>0</v>
      </c>
      <c r="M69" s="997">
        <f t="shared" si="16"/>
        <v>-3.0999999999999999E-3</v>
      </c>
      <c r="N69" s="997">
        <f t="shared" si="16"/>
        <v>-6.1999999999999998E-3</v>
      </c>
      <c r="AA69" s="1053"/>
      <c r="AB69" s="1053"/>
      <c r="AC69" s="1053"/>
      <c r="AD69" s="1053"/>
      <c r="AE69" s="1053"/>
      <c r="AF69" s="1053"/>
      <c r="AG69" s="1053"/>
      <c r="AH69" s="1053"/>
      <c r="AI69" s="1053"/>
      <c r="AJ69" s="1053"/>
      <c r="AK69" s="1053"/>
    </row>
    <row r="70" spans="1:37" s="1052" customFormat="1" ht="15">
      <c r="A70" s="1962" t="s">
        <v>2057</v>
      </c>
      <c r="B70" s="1963">
        <f>1+E72</f>
        <v>1</v>
      </c>
      <c r="C70" s="696"/>
      <c r="D70" s="696"/>
      <c r="E70" s="697"/>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2036</v>
      </c>
      <c r="B71" s="1258"/>
      <c r="C71" s="1258" t="s">
        <v>2038</v>
      </c>
      <c r="D71" s="1258" t="s">
        <v>2039</v>
      </c>
      <c r="E71" s="698" t="s">
        <v>2040</v>
      </c>
      <c r="F71" s="1966" t="s">
        <v>2055</v>
      </c>
      <c r="G71" s="1258" t="s">
        <v>310</v>
      </c>
      <c r="H71" s="1967" t="s">
        <v>2042</v>
      </c>
      <c r="I71" s="1258" t="s">
        <v>2043</v>
      </c>
      <c r="J71" s="530" t="s">
        <v>1713</v>
      </c>
      <c r="K71" s="530" t="s">
        <v>1714</v>
      </c>
      <c r="L71" s="530" t="s">
        <v>1715</v>
      </c>
      <c r="M71" s="530" t="s">
        <v>1716</v>
      </c>
      <c r="N71" s="530" t="s">
        <v>1717</v>
      </c>
      <c r="AA71" s="1053"/>
      <c r="AB71" s="1053"/>
      <c r="AC71" s="1053"/>
      <c r="AD71" s="1053"/>
      <c r="AE71" s="1053"/>
      <c r="AF71" s="1053"/>
      <c r="AG71" s="1053"/>
      <c r="AH71" s="1053"/>
      <c r="AI71" s="1053"/>
      <c r="AJ71" s="1053"/>
      <c r="AK71" s="1053"/>
    </row>
    <row r="72" spans="1:37" s="1052" customFormat="1" ht="24">
      <c r="A72" s="1965" t="s">
        <v>2058</v>
      </c>
      <c r="B72" s="1968">
        <f>估价对象房地状况!C15</f>
        <v>0</v>
      </c>
      <c r="C72" s="1882"/>
      <c r="D72" s="998">
        <f t="shared" ref="D72:D80" si="18">SUMIF($J$71:$N$71,C72,J72:N72)</f>
        <v>0</v>
      </c>
      <c r="E72" s="699">
        <f>ROUND(SUM(D72:D80),4)</f>
        <v>0</v>
      </c>
      <c r="F72" s="1670" t="str">
        <f>IF(E2="住宅",SUMIF(L1:L12,G2,N1:N12),"——")</f>
        <v>——</v>
      </c>
      <c r="G72" s="996"/>
      <c r="H72" s="999" t="str">
        <f t="shared" ref="H72:H80" si="19">IFERROR(ROUNDDOWN($F$72*I72/2,4),"——")</f>
        <v>——</v>
      </c>
      <c r="I72" s="3064">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5" t="s">
        <v>2045</v>
      </c>
      <c r="B73" s="1258">
        <f>估价对象房地状况!C18</f>
        <v>0</v>
      </c>
      <c r="C73" s="1882"/>
      <c r="D73" s="998">
        <f t="shared" si="18"/>
        <v>0</v>
      </c>
      <c r="E73" s="702"/>
      <c r="F73" s="1670"/>
      <c r="G73" s="996"/>
      <c r="H73" s="999" t="str">
        <f t="shared" si="19"/>
        <v>——</v>
      </c>
      <c r="I73" s="3064">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9" customFormat="1" ht="36">
      <c r="A74" s="3066" t="s">
        <v>3249</v>
      </c>
      <c r="B74" s="1258">
        <f>估价对象房地状况!C19</f>
        <v>0</v>
      </c>
      <c r="C74" s="1882"/>
      <c r="D74" s="998">
        <f t="shared" si="18"/>
        <v>0</v>
      </c>
      <c r="E74" s="702"/>
      <c r="F74" s="1670"/>
      <c r="G74" s="996"/>
      <c r="H74" s="999" t="str">
        <f t="shared" si="19"/>
        <v>——</v>
      </c>
      <c r="I74" s="3064">
        <v>0.1</v>
      </c>
      <c r="J74" s="997">
        <f t="shared" si="20"/>
        <v>0</v>
      </c>
      <c r="K74" s="997">
        <f t="shared" si="21"/>
        <v>0</v>
      </c>
      <c r="L74" s="997">
        <v>0</v>
      </c>
      <c r="M74" s="997">
        <f t="shared" si="22"/>
        <v>0</v>
      </c>
      <c r="N74" s="997">
        <f t="shared" si="22"/>
        <v>0</v>
      </c>
      <c r="O74" s="1052"/>
      <c r="P74" s="1052"/>
      <c r="Q74" s="1052"/>
      <c r="AA74" s="1975"/>
      <c r="AB74" s="1053"/>
      <c r="AC74" s="1053"/>
      <c r="AD74" s="1053"/>
      <c r="AE74" s="1053"/>
      <c r="AF74" s="1053"/>
      <c r="AG74" s="1053"/>
      <c r="AH74" s="1975"/>
      <c r="AI74" s="1975"/>
      <c r="AJ74" s="1975"/>
      <c r="AK74" s="1975"/>
    </row>
    <row r="75" spans="1:37" ht="14.25">
      <c r="A75" s="1965" t="s">
        <v>2059</v>
      </c>
      <c r="B75" s="1258">
        <f>估价对象房地状况!C24</f>
        <v>0</v>
      </c>
      <c r="C75" s="1882"/>
      <c r="D75" s="998">
        <f t="shared" si="18"/>
        <v>0</v>
      </c>
      <c r="E75" s="702"/>
      <c r="F75" s="1670"/>
      <c r="G75" s="996"/>
      <c r="H75" s="999" t="str">
        <f t="shared" si="19"/>
        <v>——</v>
      </c>
      <c r="I75" s="3064">
        <v>0.05</v>
      </c>
      <c r="J75" s="997">
        <f t="shared" si="20"/>
        <v>0</v>
      </c>
      <c r="K75" s="997">
        <f t="shared" si="21"/>
        <v>0</v>
      </c>
      <c r="L75" s="997">
        <v>0</v>
      </c>
      <c r="M75" s="997">
        <f t="shared" si="22"/>
        <v>0</v>
      </c>
      <c r="N75" s="997">
        <f t="shared" si="22"/>
        <v>0</v>
      </c>
      <c r="O75" s="1052"/>
      <c r="P75" s="1052"/>
      <c r="Q75" s="1839"/>
      <c r="Z75" s="1840"/>
      <c r="AA75" s="1890"/>
      <c r="AG75" s="1054"/>
      <c r="AK75" s="1890"/>
    </row>
    <row r="76" spans="1:37" ht="24">
      <c r="A76" s="1965" t="s">
        <v>2051</v>
      </c>
      <c r="B76" s="1236">
        <f>估价对象房地状况!C21</f>
        <v>0</v>
      </c>
      <c r="C76" s="1882"/>
      <c r="D76" s="998">
        <f t="shared" si="18"/>
        <v>0</v>
      </c>
      <c r="E76" s="702"/>
      <c r="F76" s="1670"/>
      <c r="G76" s="996"/>
      <c r="H76" s="999" t="str">
        <f t="shared" si="19"/>
        <v>——</v>
      </c>
      <c r="I76" s="3064">
        <v>0.08</v>
      </c>
      <c r="J76" s="997">
        <f t="shared" si="20"/>
        <v>0</v>
      </c>
      <c r="K76" s="997">
        <f t="shared" si="21"/>
        <v>0</v>
      </c>
      <c r="L76" s="997">
        <v>0</v>
      </c>
      <c r="M76" s="997">
        <f t="shared" si="22"/>
        <v>0</v>
      </c>
      <c r="N76" s="997">
        <f t="shared" si="22"/>
        <v>0</v>
      </c>
      <c r="O76" s="1052"/>
      <c r="P76" s="1052"/>
      <c r="Z76" s="1840"/>
      <c r="AA76" s="1890"/>
      <c r="AG76" s="1054"/>
      <c r="AK76" s="1890"/>
    </row>
    <row r="77" spans="1:37" ht="24">
      <c r="A77" s="1965" t="s">
        <v>2052</v>
      </c>
      <c r="B77" s="1236">
        <f>估价对象房地状况!C22</f>
        <v>0</v>
      </c>
      <c r="C77" s="1882"/>
      <c r="D77" s="998">
        <f t="shared" si="18"/>
        <v>0</v>
      </c>
      <c r="E77" s="702"/>
      <c r="F77" s="1670"/>
      <c r="G77" s="996"/>
      <c r="H77" s="999" t="str">
        <f t="shared" si="19"/>
        <v>——</v>
      </c>
      <c r="I77" s="3064">
        <v>0.09</v>
      </c>
      <c r="J77" s="997">
        <f t="shared" si="20"/>
        <v>0</v>
      </c>
      <c r="K77" s="997">
        <f t="shared" si="21"/>
        <v>0</v>
      </c>
      <c r="L77" s="997">
        <v>0</v>
      </c>
      <c r="M77" s="997">
        <f t="shared" si="22"/>
        <v>0</v>
      </c>
      <c r="N77" s="997">
        <f t="shared" si="22"/>
        <v>0</v>
      </c>
      <c r="O77" s="1052"/>
      <c r="P77" s="1052"/>
      <c r="Z77" s="1840"/>
      <c r="AA77" s="1890"/>
      <c r="AG77" s="1054"/>
      <c r="AK77" s="1890"/>
    </row>
    <row r="78" spans="1:37" ht="24">
      <c r="A78" s="1965" t="s">
        <v>2049</v>
      </c>
      <c r="B78" s="1970" t="s">
        <v>2050</v>
      </c>
      <c r="C78" s="1882"/>
      <c r="D78" s="998">
        <f t="shared" si="18"/>
        <v>0</v>
      </c>
      <c r="E78" s="702"/>
      <c r="F78" s="1670"/>
      <c r="G78" s="996"/>
      <c r="H78" s="999" t="str">
        <f t="shared" si="19"/>
        <v>——</v>
      </c>
      <c r="I78" s="3064">
        <v>0.05</v>
      </c>
      <c r="J78" s="997">
        <f t="shared" si="20"/>
        <v>0</v>
      </c>
      <c r="K78" s="997">
        <f t="shared" si="21"/>
        <v>0</v>
      </c>
      <c r="L78" s="997">
        <v>0</v>
      </c>
      <c r="M78" s="997">
        <f t="shared" si="22"/>
        <v>0</v>
      </c>
      <c r="N78" s="997">
        <f t="shared" si="22"/>
        <v>0</v>
      </c>
      <c r="O78" s="1839"/>
      <c r="P78" s="1839"/>
      <c r="Z78" s="1840"/>
      <c r="AA78" s="1890"/>
      <c r="AG78" s="1054"/>
      <c r="AK78" s="1890"/>
    </row>
    <row r="79" spans="1:37" ht="24">
      <c r="A79" s="1965" t="s">
        <v>2053</v>
      </c>
      <c r="B79" s="1968">
        <f>估价对象房地状况!C20</f>
        <v>0</v>
      </c>
      <c r="C79" s="1882"/>
      <c r="D79" s="998">
        <f t="shared" si="18"/>
        <v>0</v>
      </c>
      <c r="E79" s="702"/>
      <c r="F79" s="1670"/>
      <c r="G79" s="996"/>
      <c r="H79" s="999" t="str">
        <f t="shared" si="19"/>
        <v>——</v>
      </c>
      <c r="I79" s="3064">
        <v>0.12</v>
      </c>
      <c r="J79" s="997">
        <f t="shared" si="20"/>
        <v>0</v>
      </c>
      <c r="K79" s="997">
        <f t="shared" si="21"/>
        <v>0</v>
      </c>
      <c r="L79" s="997">
        <v>0</v>
      </c>
      <c r="M79" s="997">
        <f t="shared" si="22"/>
        <v>0</v>
      </c>
      <c r="N79" s="997">
        <f t="shared" si="22"/>
        <v>0</v>
      </c>
      <c r="Z79" s="1840"/>
      <c r="AA79" s="1890"/>
      <c r="AG79" s="1054"/>
      <c r="AK79" s="1890"/>
    </row>
    <row r="80" spans="1:37" ht="24.75" thickBot="1">
      <c r="A80" s="1972" t="s">
        <v>2060</v>
      </c>
      <c r="B80" s="1976"/>
      <c r="C80" s="1882"/>
      <c r="D80" s="998">
        <f t="shared" si="18"/>
        <v>0</v>
      </c>
      <c r="E80" s="703"/>
      <c r="F80" s="1670"/>
      <c r="G80" s="996"/>
      <c r="H80" s="999" t="str">
        <f t="shared" si="19"/>
        <v>——</v>
      </c>
      <c r="I80" s="3065">
        <v>0.05</v>
      </c>
      <c r="J80" s="997">
        <f t="shared" si="20"/>
        <v>0</v>
      </c>
      <c r="K80" s="997">
        <f t="shared" si="21"/>
        <v>0</v>
      </c>
      <c r="L80" s="997">
        <v>0</v>
      </c>
      <c r="M80" s="997">
        <f t="shared" si="22"/>
        <v>0</v>
      </c>
      <c r="N80" s="997">
        <f t="shared" si="22"/>
        <v>0</v>
      </c>
      <c r="Z80" s="1840"/>
      <c r="AA80" s="1890"/>
      <c r="AG80" s="1054"/>
      <c r="AK80" s="1890"/>
    </row>
    <row r="81" spans="1:37" ht="15">
      <c r="A81" s="1962" t="s">
        <v>2061</v>
      </c>
      <c r="B81" s="1963">
        <f>1+E83</f>
        <v>1</v>
      </c>
      <c r="C81" s="696"/>
      <c r="D81" s="696"/>
      <c r="E81" s="697"/>
      <c r="F81" s="1964"/>
      <c r="G81" s="3"/>
      <c r="H81" s="3"/>
      <c r="I81" s="3"/>
      <c r="J81" s="4"/>
      <c r="K81" s="4"/>
      <c r="L81" s="4"/>
      <c r="M81" s="4"/>
      <c r="N81" s="4"/>
      <c r="Z81" s="1840"/>
      <c r="AA81" s="1890"/>
      <c r="AG81" s="1054"/>
      <c r="AK81" s="1890"/>
    </row>
    <row r="82" spans="1:37" ht="24.75">
      <c r="A82" s="1965" t="s">
        <v>2036</v>
      </c>
      <c r="B82" s="1258"/>
      <c r="C82" s="1258" t="s">
        <v>2038</v>
      </c>
      <c r="D82" s="1258" t="s">
        <v>2039</v>
      </c>
      <c r="E82" s="698" t="s">
        <v>2040</v>
      </c>
      <c r="F82" s="1966" t="s">
        <v>2055</v>
      </c>
      <c r="G82" s="1258" t="s">
        <v>310</v>
      </c>
      <c r="H82" s="1967" t="s">
        <v>2042</v>
      </c>
      <c r="I82" s="1258" t="s">
        <v>2043</v>
      </c>
      <c r="J82" s="530" t="s">
        <v>1713</v>
      </c>
      <c r="K82" s="530" t="s">
        <v>1714</v>
      </c>
      <c r="L82" s="530" t="s">
        <v>1715</v>
      </c>
      <c r="M82" s="530" t="s">
        <v>1716</v>
      </c>
      <c r="N82" s="530" t="s">
        <v>1717</v>
      </c>
      <c r="Z82" s="1840"/>
      <c r="AA82" s="1890"/>
      <c r="AG82" s="1054"/>
      <c r="AK82" s="1890"/>
    </row>
    <row r="83" spans="1:37" ht="24">
      <c r="A83" s="1965" t="s">
        <v>2062</v>
      </c>
      <c r="B83" s="1258">
        <f>估价对象房地状况!G15</f>
        <v>0</v>
      </c>
      <c r="C83" s="1882"/>
      <c r="D83" s="998">
        <f t="shared" ref="D83:D90" si="23">SUMIF($J$82:$N$82,C83,J83:N83)</f>
        <v>0</v>
      </c>
      <c r="E83" s="699">
        <f>ROUND(SUM(D83:D90),4)</f>
        <v>0</v>
      </c>
      <c r="F83" s="1670" t="str">
        <f>IF(E2="工业",SUMIF(L1:L12,G2,N1:N12),"——")</f>
        <v>——</v>
      </c>
      <c r="G83" s="996"/>
      <c r="H83" s="999" t="str">
        <f t="shared" ref="H83:H90" si="24">IFERROR(ROUNDDOWN($F$83*I83/2,4),"——")</f>
        <v>——</v>
      </c>
      <c r="I83" s="3064">
        <v>0.26</v>
      </c>
      <c r="J83" s="997">
        <f t="shared" ref="J83:J90" si="25">K83+$G83</f>
        <v>0</v>
      </c>
      <c r="K83" s="997">
        <f t="shared" ref="K83:K90" si="26">$L83+$G83</f>
        <v>0</v>
      </c>
      <c r="L83" s="997">
        <v>0</v>
      </c>
      <c r="M83" s="997">
        <f t="shared" ref="M83:N90" si="27">L83-$G83</f>
        <v>0</v>
      </c>
      <c r="N83" s="997">
        <f t="shared" si="27"/>
        <v>0</v>
      </c>
      <c r="Z83" s="1840"/>
      <c r="AA83" s="1890"/>
      <c r="AG83" s="1054"/>
      <c r="AK83" s="1890"/>
    </row>
    <row r="84" spans="1:37" ht="14.25">
      <c r="A84" s="1965" t="s">
        <v>2045</v>
      </c>
      <c r="B84" s="1258">
        <f>估价对象房地状况!G16</f>
        <v>0</v>
      </c>
      <c r="C84" s="1882"/>
      <c r="D84" s="998">
        <f t="shared" si="23"/>
        <v>0</v>
      </c>
      <c r="E84" s="702"/>
      <c r="F84" s="1670"/>
      <c r="G84" s="996"/>
      <c r="H84" s="999" t="str">
        <f t="shared" si="24"/>
        <v>——</v>
      </c>
      <c r="I84" s="3064">
        <v>0.3</v>
      </c>
      <c r="J84" s="997">
        <f t="shared" si="25"/>
        <v>0</v>
      </c>
      <c r="K84" s="997">
        <f t="shared" si="26"/>
        <v>0</v>
      </c>
      <c r="L84" s="997">
        <v>0</v>
      </c>
      <c r="M84" s="997">
        <f t="shared" si="27"/>
        <v>0</v>
      </c>
      <c r="N84" s="997">
        <f t="shared" si="27"/>
        <v>0</v>
      </c>
      <c r="Z84" s="1840"/>
      <c r="AA84" s="1890"/>
      <c r="AG84" s="1054"/>
      <c r="AK84" s="1890"/>
    </row>
    <row r="85" spans="1:37" ht="36">
      <c r="A85" s="3066" t="s">
        <v>3250</v>
      </c>
      <c r="B85" s="1258">
        <f>估价对象房地状况!G17</f>
        <v>0</v>
      </c>
      <c r="C85" s="1882"/>
      <c r="D85" s="998">
        <f t="shared" si="23"/>
        <v>0</v>
      </c>
      <c r="E85" s="702"/>
      <c r="F85" s="1670"/>
      <c r="G85" s="996"/>
      <c r="H85" s="999" t="str">
        <f t="shared" si="24"/>
        <v>——</v>
      </c>
      <c r="I85" s="3064">
        <v>0.1</v>
      </c>
      <c r="J85" s="997">
        <f t="shared" si="25"/>
        <v>0</v>
      </c>
      <c r="K85" s="997">
        <f t="shared" si="26"/>
        <v>0</v>
      </c>
      <c r="L85" s="997">
        <v>0</v>
      </c>
      <c r="M85" s="997">
        <f t="shared" si="27"/>
        <v>0</v>
      </c>
      <c r="N85" s="997">
        <f t="shared" si="27"/>
        <v>0</v>
      </c>
      <c r="Z85" s="1840"/>
      <c r="AA85" s="1890"/>
      <c r="AG85" s="1054"/>
      <c r="AK85" s="1890"/>
    </row>
    <row r="86" spans="1:37" ht="14.25">
      <c r="A86" s="1965" t="s">
        <v>2059</v>
      </c>
      <c r="B86" s="1258">
        <f>估价对象房地状况!G22</f>
        <v>0</v>
      </c>
      <c r="C86" s="1882"/>
      <c r="D86" s="998">
        <f t="shared" si="23"/>
        <v>0</v>
      </c>
      <c r="E86" s="702"/>
      <c r="F86" s="1670"/>
      <c r="G86" s="996"/>
      <c r="H86" s="999" t="str">
        <f t="shared" si="24"/>
        <v>——</v>
      </c>
      <c r="I86" s="3064">
        <v>0.05</v>
      </c>
      <c r="J86" s="997">
        <f t="shared" si="25"/>
        <v>0</v>
      </c>
      <c r="K86" s="997">
        <f t="shared" si="26"/>
        <v>0</v>
      </c>
      <c r="L86" s="997">
        <v>0</v>
      </c>
      <c r="M86" s="997">
        <f t="shared" si="27"/>
        <v>0</v>
      </c>
      <c r="N86" s="997">
        <f t="shared" si="27"/>
        <v>0</v>
      </c>
      <c r="Z86" s="1840"/>
      <c r="AA86" s="1890"/>
      <c r="AG86" s="1054"/>
      <c r="AK86" s="1890"/>
    </row>
    <row r="87" spans="1:37" ht="24">
      <c r="A87" s="1965" t="s">
        <v>2051</v>
      </c>
      <c r="B87" s="1236">
        <f>估价对象房地状况!G19</f>
        <v>0</v>
      </c>
      <c r="C87" s="1882"/>
      <c r="D87" s="998">
        <f t="shared" si="23"/>
        <v>0</v>
      </c>
      <c r="E87" s="702"/>
      <c r="F87" s="1670"/>
      <c r="G87" s="996"/>
      <c r="H87" s="999" t="str">
        <f t="shared" si="24"/>
        <v>——</v>
      </c>
      <c r="I87" s="3064">
        <v>0.06</v>
      </c>
      <c r="J87" s="997">
        <f t="shared" si="25"/>
        <v>0</v>
      </c>
      <c r="K87" s="997">
        <f t="shared" si="26"/>
        <v>0</v>
      </c>
      <c r="L87" s="997">
        <v>0</v>
      </c>
      <c r="M87" s="997">
        <f t="shared" si="27"/>
        <v>0</v>
      </c>
      <c r="N87" s="997">
        <f t="shared" si="27"/>
        <v>0</v>
      </c>
    </row>
    <row r="88" spans="1:37" ht="24">
      <c r="A88" s="1965" t="s">
        <v>2052</v>
      </c>
      <c r="B88" s="1236">
        <f>估价对象房地状况!G20</f>
        <v>0</v>
      </c>
      <c r="C88" s="1882"/>
      <c r="D88" s="998">
        <f t="shared" si="23"/>
        <v>0</v>
      </c>
      <c r="E88" s="702"/>
      <c r="F88" s="1670"/>
      <c r="G88" s="996"/>
      <c r="H88" s="999" t="str">
        <f t="shared" si="24"/>
        <v>——</v>
      </c>
      <c r="I88" s="3064">
        <v>0.12</v>
      </c>
      <c r="J88" s="997">
        <f t="shared" si="25"/>
        <v>0</v>
      </c>
      <c r="K88" s="997">
        <f t="shared" si="26"/>
        <v>0</v>
      </c>
      <c r="L88" s="997">
        <v>0</v>
      </c>
      <c r="M88" s="997">
        <f t="shared" si="27"/>
        <v>0</v>
      </c>
      <c r="N88" s="997">
        <f t="shared" si="27"/>
        <v>0</v>
      </c>
    </row>
    <row r="89" spans="1:37" ht="24">
      <c r="A89" s="1965" t="s">
        <v>2049</v>
      </c>
      <c r="B89" s="1970" t="s">
        <v>2063</v>
      </c>
      <c r="C89" s="1882"/>
      <c r="D89" s="998">
        <f t="shared" si="23"/>
        <v>0</v>
      </c>
      <c r="E89" s="702"/>
      <c r="F89" s="1670"/>
      <c r="G89" s="996"/>
      <c r="H89" s="999" t="str">
        <f t="shared" si="24"/>
        <v>——</v>
      </c>
      <c r="I89" s="3064">
        <v>0.06</v>
      </c>
      <c r="J89" s="997">
        <f t="shared" si="25"/>
        <v>0</v>
      </c>
      <c r="K89" s="997">
        <f t="shared" si="26"/>
        <v>0</v>
      </c>
      <c r="L89" s="997">
        <v>0</v>
      </c>
      <c r="M89" s="997">
        <f t="shared" si="27"/>
        <v>0</v>
      </c>
      <c r="N89" s="997">
        <f t="shared" si="27"/>
        <v>0</v>
      </c>
    </row>
    <row r="90" spans="1:37" ht="15" thickBot="1">
      <c r="A90" s="1972" t="s">
        <v>2064</v>
      </c>
      <c r="B90" s="1977">
        <f>估价对象房地状况!G18</f>
        <v>0</v>
      </c>
      <c r="C90" s="1882"/>
      <c r="D90" s="998">
        <f t="shared" si="23"/>
        <v>0</v>
      </c>
      <c r="E90" s="703"/>
      <c r="F90" s="1670"/>
      <c r="G90" s="996"/>
      <c r="H90" s="999" t="str">
        <f t="shared" si="24"/>
        <v>——</v>
      </c>
      <c r="I90" s="3065">
        <v>0.05</v>
      </c>
      <c r="J90" s="997">
        <f t="shared" si="25"/>
        <v>0</v>
      </c>
      <c r="K90" s="997">
        <f t="shared" si="26"/>
        <v>0</v>
      </c>
      <c r="L90" s="997">
        <v>0</v>
      </c>
      <c r="M90" s="997">
        <f t="shared" si="27"/>
        <v>0</v>
      </c>
      <c r="N90" s="997">
        <f t="shared" si="27"/>
        <v>0</v>
      </c>
    </row>
    <row r="91" spans="1:37" ht="15">
      <c r="A91" s="3074" t="s">
        <v>2594</v>
      </c>
      <c r="B91" s="3075">
        <f>1+E93</f>
        <v>1</v>
      </c>
      <c r="C91" s="3068"/>
      <c r="D91" s="3069"/>
      <c r="E91" s="1670"/>
      <c r="F91" s="1670"/>
      <c r="G91" s="3070"/>
      <c r="H91" s="3071"/>
      <c r="I91" s="3072"/>
      <c r="J91" s="3073"/>
      <c r="K91" s="3073"/>
      <c r="L91" s="3073"/>
      <c r="M91" s="3073"/>
      <c r="N91" s="3073"/>
    </row>
    <row r="92" spans="1:37" ht="24.75">
      <c r="A92" s="3076" t="s">
        <v>3251</v>
      </c>
      <c r="B92" s="2305"/>
      <c r="C92" s="2305" t="s">
        <v>3260</v>
      </c>
      <c r="D92" s="2305" t="s">
        <v>3261</v>
      </c>
      <c r="E92" s="3048" t="s">
        <v>3262</v>
      </c>
      <c r="F92" s="3078" t="s">
        <v>3263</v>
      </c>
      <c r="G92" s="2305" t="s">
        <v>3264</v>
      </c>
      <c r="H92" s="3085" t="s">
        <v>3267</v>
      </c>
      <c r="I92" s="2305" t="s">
        <v>3268</v>
      </c>
      <c r="J92" s="2145" t="s">
        <v>3269</v>
      </c>
      <c r="K92" s="2145" t="s">
        <v>3270</v>
      </c>
      <c r="L92" s="2145" t="s">
        <v>3271</v>
      </c>
      <c r="M92" s="2145" t="s">
        <v>3272</v>
      </c>
      <c r="N92" s="2145" t="s">
        <v>3273</v>
      </c>
    </row>
    <row r="93" spans="1:37" ht="24">
      <c r="A93" s="3066" t="s">
        <v>3252</v>
      </c>
      <c r="B93" s="1217"/>
      <c r="C93" s="1882"/>
      <c r="D93" s="2305">
        <f>SUMIF($J$92:$N$92,C93,J93:N93)</f>
        <v>0</v>
      </c>
      <c r="E93" s="3079">
        <f>ROUND(SUM(D93:D101),4)</f>
        <v>0</v>
      </c>
      <c r="F93" s="1670" t="str">
        <f>IF(E2="公共服务",SUMIF(L1:L12,G2,N1:N12),"——")</f>
        <v>——</v>
      </c>
      <c r="G93" s="3070"/>
      <c r="H93" s="3115" t="str">
        <f>IFERROR(ROUNDDOWN($F$93*I93/2,4),"——")</f>
        <v>——</v>
      </c>
      <c r="I93" s="3064">
        <v>0.25</v>
      </c>
      <c r="J93" s="1907">
        <f t="shared" ref="J93:J101" si="28">K93+$G93</f>
        <v>0</v>
      </c>
      <c r="K93" s="1907">
        <f t="shared" ref="K93:K101" si="29">$L93+$G93</f>
        <v>0</v>
      </c>
      <c r="L93" s="1907">
        <v>0</v>
      </c>
      <c r="M93" s="1907">
        <f t="shared" ref="M93:N101" si="30">L93-$G93</f>
        <v>0</v>
      </c>
      <c r="N93" s="1907">
        <f t="shared" si="30"/>
        <v>0</v>
      </c>
    </row>
    <row r="94" spans="1:37" ht="14.25">
      <c r="A94" s="3076" t="s">
        <v>3253</v>
      </c>
      <c r="B94" s="3067">
        <f>估价对象房地状况!C18</f>
        <v>0</v>
      </c>
      <c r="C94" s="1882"/>
      <c r="D94" s="2305">
        <f t="shared" ref="D94:D101" si="31">SUMIF($J$60:$N$60,C94,J94:N94)</f>
        <v>0</v>
      </c>
      <c r="E94" s="3080"/>
      <c r="F94" s="1670"/>
      <c r="G94" s="3070"/>
      <c r="H94" s="3115" t="str">
        <f>IFERROR(ROUNDDOWN($F$93*I94/2,4),"——")</f>
        <v>——</v>
      </c>
      <c r="I94" s="3064">
        <v>0.26</v>
      </c>
      <c r="J94" s="1907">
        <f t="shared" si="28"/>
        <v>0</v>
      </c>
      <c r="K94" s="1907">
        <f t="shared" si="29"/>
        <v>0</v>
      </c>
      <c r="L94" s="1907">
        <v>0</v>
      </c>
      <c r="M94" s="1907">
        <f t="shared" si="30"/>
        <v>0</v>
      </c>
      <c r="N94" s="1907">
        <f t="shared" si="30"/>
        <v>0</v>
      </c>
    </row>
    <row r="95" spans="1:37" ht="36">
      <c r="A95" s="3066" t="s">
        <v>3249</v>
      </c>
      <c r="B95" s="3067">
        <f>估价对象房地状况!C19</f>
        <v>0</v>
      </c>
      <c r="C95" s="1882"/>
      <c r="D95" s="2305">
        <f t="shared" si="31"/>
        <v>0</v>
      </c>
      <c r="E95" s="3080"/>
      <c r="F95" s="1670"/>
      <c r="G95" s="3070"/>
      <c r="H95" s="3115" t="str">
        <f t="shared" ref="H95:H101" si="32">IFERROR(ROUNDDOWN($F$93*I95/2,4),"——")</f>
        <v>——</v>
      </c>
      <c r="I95" s="3064">
        <v>0.11</v>
      </c>
      <c r="J95" s="1907">
        <f t="shared" si="28"/>
        <v>0</v>
      </c>
      <c r="K95" s="1907">
        <f t="shared" si="29"/>
        <v>0</v>
      </c>
      <c r="L95" s="1907">
        <v>0</v>
      </c>
      <c r="M95" s="1907">
        <f t="shared" si="30"/>
        <v>0</v>
      </c>
      <c r="N95" s="1907">
        <f t="shared" si="30"/>
        <v>0</v>
      </c>
    </row>
    <row r="96" spans="1:37" ht="36.75">
      <c r="A96" s="3076" t="s">
        <v>3254</v>
      </c>
      <c r="B96" s="3082" t="s">
        <v>3265</v>
      </c>
      <c r="C96" s="1882"/>
      <c r="D96" s="2305">
        <f t="shared" si="31"/>
        <v>0</v>
      </c>
      <c r="E96" s="3080"/>
      <c r="F96" s="1670"/>
      <c r="G96" s="3070"/>
      <c r="H96" s="3115" t="str">
        <f t="shared" si="32"/>
        <v>——</v>
      </c>
      <c r="I96" s="3064">
        <v>0.05</v>
      </c>
      <c r="J96" s="1907">
        <f t="shared" si="28"/>
        <v>0</v>
      </c>
      <c r="K96" s="1907">
        <f t="shared" si="29"/>
        <v>0</v>
      </c>
      <c r="L96" s="1907">
        <v>0</v>
      </c>
      <c r="M96" s="1907">
        <f t="shared" si="30"/>
        <v>0</v>
      </c>
      <c r="N96" s="1907">
        <f t="shared" si="30"/>
        <v>0</v>
      </c>
    </row>
    <row r="97" spans="1:14" ht="24">
      <c r="A97" s="3076" t="s">
        <v>3255</v>
      </c>
      <c r="B97" s="3067">
        <f>估价对象房地状况!C24</f>
        <v>0</v>
      </c>
      <c r="C97" s="1882"/>
      <c r="D97" s="2305">
        <f t="shared" si="31"/>
        <v>0</v>
      </c>
      <c r="E97" s="3080"/>
      <c r="F97" s="1670"/>
      <c r="G97" s="3070"/>
      <c r="H97" s="3115" t="str">
        <f t="shared" si="32"/>
        <v>——</v>
      </c>
      <c r="I97" s="3064">
        <v>0.05</v>
      </c>
      <c r="J97" s="1907">
        <f t="shared" si="28"/>
        <v>0</v>
      </c>
      <c r="K97" s="1907">
        <f t="shared" si="29"/>
        <v>0</v>
      </c>
      <c r="L97" s="1907">
        <v>0</v>
      </c>
      <c r="M97" s="1907">
        <f t="shared" si="30"/>
        <v>0</v>
      </c>
      <c r="N97" s="1907">
        <f t="shared" si="30"/>
        <v>0</v>
      </c>
    </row>
    <row r="98" spans="1:14" ht="24">
      <c r="A98" s="3076" t="s">
        <v>3256</v>
      </c>
      <c r="B98" s="3083" t="s">
        <v>3266</v>
      </c>
      <c r="C98" s="1882"/>
      <c r="D98" s="2305">
        <f t="shared" si="31"/>
        <v>0</v>
      </c>
      <c r="E98" s="3080"/>
      <c r="F98" s="1670"/>
      <c r="G98" s="3070"/>
      <c r="H98" s="3115" t="str">
        <f t="shared" si="32"/>
        <v>——</v>
      </c>
      <c r="I98" s="3064">
        <v>0.06</v>
      </c>
      <c r="J98" s="1907">
        <f t="shared" si="28"/>
        <v>0</v>
      </c>
      <c r="K98" s="1907">
        <f t="shared" si="29"/>
        <v>0</v>
      </c>
      <c r="L98" s="1907">
        <v>0</v>
      </c>
      <c r="M98" s="1907">
        <f t="shared" si="30"/>
        <v>0</v>
      </c>
      <c r="N98" s="1907">
        <f t="shared" si="30"/>
        <v>0</v>
      </c>
    </row>
    <row r="99" spans="1:14" ht="24">
      <c r="A99" s="3076" t="s">
        <v>3257</v>
      </c>
      <c r="B99" s="3067">
        <f>估价对象房地状况!C21</f>
        <v>0</v>
      </c>
      <c r="C99" s="1882"/>
      <c r="D99" s="2305">
        <f t="shared" si="31"/>
        <v>0</v>
      </c>
      <c r="E99" s="3080"/>
      <c r="F99" s="1670"/>
      <c r="G99" s="3070"/>
      <c r="H99" s="3115" t="str">
        <f t="shared" si="32"/>
        <v>——</v>
      </c>
      <c r="I99" s="3064">
        <v>0.06</v>
      </c>
      <c r="J99" s="1907">
        <f t="shared" si="28"/>
        <v>0</v>
      </c>
      <c r="K99" s="1907">
        <f t="shared" si="29"/>
        <v>0</v>
      </c>
      <c r="L99" s="1907">
        <v>0</v>
      </c>
      <c r="M99" s="1907">
        <f t="shared" si="30"/>
        <v>0</v>
      </c>
      <c r="N99" s="1907">
        <f t="shared" si="30"/>
        <v>0</v>
      </c>
    </row>
    <row r="100" spans="1:14" ht="24">
      <c r="A100" s="3076" t="s">
        <v>3258</v>
      </c>
      <c r="B100" s="3067">
        <f>估价对象房地状况!C22</f>
        <v>0</v>
      </c>
      <c r="C100" s="1882"/>
      <c r="D100" s="2305">
        <f t="shared" si="31"/>
        <v>0</v>
      </c>
      <c r="E100" s="3080"/>
      <c r="F100" s="1670"/>
      <c r="G100" s="3070"/>
      <c r="H100" s="3115" t="str">
        <f t="shared" si="32"/>
        <v>——</v>
      </c>
      <c r="I100" s="3064">
        <v>0.09</v>
      </c>
      <c r="J100" s="1907">
        <f t="shared" si="28"/>
        <v>0</v>
      </c>
      <c r="K100" s="1907">
        <f t="shared" si="29"/>
        <v>0</v>
      </c>
      <c r="L100" s="1907">
        <v>0</v>
      </c>
      <c r="M100" s="1907">
        <f t="shared" si="30"/>
        <v>0</v>
      </c>
      <c r="N100" s="1907">
        <f t="shared" si="30"/>
        <v>0</v>
      </c>
    </row>
    <row r="101" spans="1:14" ht="24.75" thickBot="1">
      <c r="A101" s="3077" t="s">
        <v>3259</v>
      </c>
      <c r="B101" s="3084">
        <f>估价对象房地状况!C20</f>
        <v>0</v>
      </c>
      <c r="C101" s="1882"/>
      <c r="D101" s="2305">
        <f t="shared" si="31"/>
        <v>0</v>
      </c>
      <c r="E101" s="3081"/>
      <c r="F101" s="1670"/>
      <c r="G101" s="3070"/>
      <c r="H101" s="3115" t="str">
        <f t="shared" si="32"/>
        <v>——</v>
      </c>
      <c r="I101" s="3065">
        <v>7.0000000000000007E-2</v>
      </c>
      <c r="J101" s="1907">
        <f t="shared" si="28"/>
        <v>0</v>
      </c>
      <c r="K101" s="1907">
        <f t="shared" si="29"/>
        <v>0</v>
      </c>
      <c r="L101" s="1907">
        <v>0</v>
      </c>
      <c r="M101" s="1907">
        <f t="shared" si="30"/>
        <v>0</v>
      </c>
      <c r="N101" s="1907">
        <f t="shared" si="30"/>
        <v>0</v>
      </c>
    </row>
    <row r="103" spans="1:14">
      <c r="A103" s="3450" t="s">
        <v>3274</v>
      </c>
      <c r="B103" s="3450"/>
      <c r="C103" s="3450"/>
      <c r="D103" s="3450"/>
      <c r="E103" s="3450"/>
      <c r="F103" s="3450"/>
      <c r="G103" s="3450"/>
      <c r="H103" s="3450"/>
      <c r="I103" s="3450"/>
      <c r="J103" s="3450"/>
      <c r="K103" s="1662"/>
      <c r="L103" s="1662"/>
      <c r="M103" s="1662"/>
      <c r="N103" s="1662"/>
    </row>
    <row r="104" spans="1:14">
      <c r="A104" s="3451" t="s">
        <v>3275</v>
      </c>
      <c r="B104" s="3451" t="s">
        <v>3276</v>
      </c>
      <c r="C104" s="3086" t="s">
        <v>3277</v>
      </c>
      <c r="D104" s="3087"/>
      <c r="E104" s="3087"/>
      <c r="F104" s="3087"/>
      <c r="G104" s="3087"/>
      <c r="H104" s="3087"/>
      <c r="I104" s="3087"/>
      <c r="J104" s="3088"/>
      <c r="K104" s="3089"/>
      <c r="L104" s="3089"/>
      <c r="M104" s="3089"/>
      <c r="N104" s="3089"/>
    </row>
    <row r="105" spans="1:14">
      <c r="A105" s="3451"/>
      <c r="B105" s="3451"/>
      <c r="C105" s="3090" t="s">
        <v>3278</v>
      </c>
      <c r="D105" s="3090" t="s">
        <v>3279</v>
      </c>
      <c r="E105" s="3090" t="s">
        <v>3280</v>
      </c>
      <c r="F105" s="3090" t="s">
        <v>3281</v>
      </c>
      <c r="G105" s="3090" t="s">
        <v>3282</v>
      </c>
      <c r="H105" s="3090" t="s">
        <v>3283</v>
      </c>
      <c r="I105" s="3090" t="s">
        <v>3284</v>
      </c>
      <c r="J105" s="3090" t="s">
        <v>3285</v>
      </c>
      <c r="K105" s="3090" t="s">
        <v>3286</v>
      </c>
      <c r="L105" s="3090" t="s">
        <v>3287</v>
      </c>
      <c r="M105" s="3090" t="s">
        <v>3288</v>
      </c>
      <c r="N105" s="3090" t="s">
        <v>3289</v>
      </c>
    </row>
    <row r="106" spans="1:14">
      <c r="A106" s="3437" t="s">
        <v>3290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3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3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3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3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38"/>
      <c r="B111" s="3090" t="s">
        <v>3248</v>
      </c>
      <c r="C111" s="3091">
        <f>$I$3</f>
        <v>0</v>
      </c>
      <c r="D111" s="3091">
        <f t="shared" ref="D111:M111" si="33">$I$3</f>
        <v>0</v>
      </c>
      <c r="E111" s="3091">
        <f t="shared" si="33"/>
        <v>0</v>
      </c>
      <c r="F111" s="3091">
        <f t="shared" si="33"/>
        <v>0</v>
      </c>
      <c r="G111" s="3091">
        <f t="shared" si="33"/>
        <v>0</v>
      </c>
      <c r="H111" s="3091">
        <f t="shared" si="33"/>
        <v>0</v>
      </c>
      <c r="I111" s="3091">
        <f t="shared" si="33"/>
        <v>0</v>
      </c>
      <c r="J111" s="3091">
        <f t="shared" si="33"/>
        <v>0</v>
      </c>
      <c r="K111" s="3091">
        <f t="shared" si="33"/>
        <v>0</v>
      </c>
      <c r="L111" s="3091">
        <f t="shared" si="33"/>
        <v>0</v>
      </c>
      <c r="M111" s="3091">
        <f t="shared" si="33"/>
        <v>0</v>
      </c>
      <c r="N111" s="3091">
        <f>$I$3</f>
        <v>0</v>
      </c>
    </row>
    <row r="112" spans="1:14">
      <c r="A112" s="3439"/>
      <c r="B112" s="3090">
        <v>6</v>
      </c>
      <c r="C112" s="3085">
        <f>(-0.5556*(C111^2)-0.2719*C111+8944)*(10^(-4))</f>
        <v>0.89440000000000008</v>
      </c>
      <c r="D112" s="3085">
        <f>(-0.5556*(D111^2)-0.2719*D111+8944)*(10^(-4))</f>
        <v>0.89440000000000008</v>
      </c>
      <c r="E112" s="3085">
        <f>(-0.7912*(E111^2)-11.3794*E111+8482)*(10^(-4))</f>
        <v>0.84820000000000007</v>
      </c>
      <c r="F112" s="3085">
        <f t="shared" ref="F112:I112" si="34">(-0.7912*(F111^2)-11.3794*F111+8482)*(10^(-4))</f>
        <v>0.84820000000000007</v>
      </c>
      <c r="G112" s="3085">
        <f t="shared" si="34"/>
        <v>0.84820000000000007</v>
      </c>
      <c r="H112" s="3085">
        <f t="shared" si="34"/>
        <v>0.84820000000000007</v>
      </c>
      <c r="I112" s="3085">
        <f t="shared" si="34"/>
        <v>0.84820000000000007</v>
      </c>
      <c r="J112" s="3085">
        <f>(-0.989*(J111^2)-63.78*J111+7771)*(10^(-4))</f>
        <v>0.77710000000000001</v>
      </c>
      <c r="K112" s="3085">
        <f t="shared" ref="K112:N112" si="35">(-0.989*(K111^2)-63.78*K111+7771)*(10^(-4))</f>
        <v>0.77710000000000001</v>
      </c>
      <c r="L112" s="3085">
        <f t="shared" si="35"/>
        <v>0.77710000000000001</v>
      </c>
      <c r="M112" s="3085">
        <f t="shared" si="35"/>
        <v>0.77710000000000001</v>
      </c>
      <c r="N112" s="3085">
        <f t="shared" si="35"/>
        <v>0.77710000000000001</v>
      </c>
    </row>
    <row r="113" spans="1:14">
      <c r="A113" s="3440" t="s">
        <v>3291</v>
      </c>
      <c r="B113" s="3440"/>
      <c r="C113" s="3440"/>
      <c r="D113" s="3440"/>
      <c r="E113" s="3440"/>
      <c r="F113" s="3440"/>
      <c r="G113" s="3440"/>
      <c r="H113" s="3440"/>
      <c r="I113" s="3440"/>
      <c r="J113" s="3440"/>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3292</v>
      </c>
      <c r="B116" s="3110">
        <f>G3</f>
        <v>3.5</v>
      </c>
      <c r="C116" s="3095" t="s">
        <v>3293</v>
      </c>
      <c r="D116" s="3096">
        <f>SUMPRODUCT((A118:A122=F116)*(B117:M117=H116)*B118:M122)</f>
        <v>0.95379999999999998</v>
      </c>
      <c r="E116" s="162" t="s">
        <v>3294</v>
      </c>
      <c r="F116" s="3097" t="str">
        <f>E2</f>
        <v>办公</v>
      </c>
      <c r="G116" s="162" t="s">
        <v>3295</v>
      </c>
      <c r="H116" s="3097" t="str">
        <f>G2</f>
        <v>二级</v>
      </c>
      <c r="I116" s="162"/>
      <c r="J116" s="3098"/>
      <c r="K116" s="3098"/>
      <c r="L116" s="3098"/>
      <c r="M116" s="3098"/>
      <c r="N116" s="3093"/>
    </row>
    <row r="117" spans="1:14">
      <c r="A117" s="3099"/>
      <c r="B117" s="3100" t="s">
        <v>3296</v>
      </c>
      <c r="C117" s="3100" t="s">
        <v>3297</v>
      </c>
      <c r="D117" s="3100" t="s">
        <v>3298</v>
      </c>
      <c r="E117" s="3101" t="s">
        <v>3299</v>
      </c>
      <c r="F117" s="3101" t="s">
        <v>3300</v>
      </c>
      <c r="G117" s="3101" t="s">
        <v>3301</v>
      </c>
      <c r="H117" s="3102" t="s">
        <v>3302</v>
      </c>
      <c r="I117" s="3102" t="s">
        <v>3303</v>
      </c>
      <c r="J117" s="3103" t="s">
        <v>3304</v>
      </c>
      <c r="K117" s="3103" t="s">
        <v>3305</v>
      </c>
      <c r="L117" s="3103" t="s">
        <v>3306</v>
      </c>
      <c r="M117" s="3104" t="s">
        <v>3307</v>
      </c>
      <c r="N117" s="3093"/>
    </row>
    <row r="118" spans="1:14">
      <c r="A118" s="3053" t="s">
        <v>3308</v>
      </c>
      <c r="B118" s="3085">
        <f>ROUND(0.9968-0.011*B116,4)</f>
        <v>0.95830000000000004</v>
      </c>
      <c r="C118" s="3085">
        <f>B118</f>
        <v>0.95830000000000004</v>
      </c>
      <c r="D118" s="3085">
        <f>ROUND(0.949-0.014*B116,4)</f>
        <v>0.9</v>
      </c>
      <c r="E118" s="3085">
        <f>D118</f>
        <v>0.9</v>
      </c>
      <c r="F118" s="3085">
        <f>E118</f>
        <v>0.9</v>
      </c>
      <c r="G118" s="3085">
        <f>F118</f>
        <v>0.9</v>
      </c>
      <c r="H118" s="3085">
        <f>G118</f>
        <v>0.9</v>
      </c>
      <c r="I118" s="3085">
        <f>ROUND(0.8486-0.018*B116,4)</f>
        <v>0.78559999999999997</v>
      </c>
      <c r="J118" s="3085">
        <f t="shared" ref="J118:M122" si="36">I118</f>
        <v>0.78559999999999997</v>
      </c>
      <c r="K118" s="3085">
        <f t="shared" si="36"/>
        <v>0.78559999999999997</v>
      </c>
      <c r="L118" s="3085">
        <f t="shared" si="36"/>
        <v>0.78559999999999997</v>
      </c>
      <c r="M118" s="3105">
        <f t="shared" si="36"/>
        <v>0.78559999999999997</v>
      </c>
      <c r="N118" s="3093"/>
    </row>
    <row r="119" spans="1:14">
      <c r="A119" s="3053" t="s">
        <v>3309</v>
      </c>
      <c r="B119" s="3085">
        <f>ROUND(0.993-0.0112*B116,4)</f>
        <v>0.95379999999999998</v>
      </c>
      <c r="C119" s="3085">
        <f>B119</f>
        <v>0.95379999999999998</v>
      </c>
      <c r="D119" s="3085">
        <f>ROUND(0.9415-0.0142*B116,4)</f>
        <v>0.89180000000000004</v>
      </c>
      <c r="E119" s="3085">
        <f t="shared" ref="E119:H120" si="37">D119</f>
        <v>0.89180000000000004</v>
      </c>
      <c r="F119" s="3085">
        <f t="shared" si="37"/>
        <v>0.89180000000000004</v>
      </c>
      <c r="G119" s="3085">
        <f t="shared" si="37"/>
        <v>0.89180000000000004</v>
      </c>
      <c r="H119" s="3085">
        <f t="shared" si="37"/>
        <v>0.89180000000000004</v>
      </c>
      <c r="I119" s="3085">
        <f>ROUND(0.838-0.0182*B116,4)</f>
        <v>0.77429999999999999</v>
      </c>
      <c r="J119" s="3085">
        <f t="shared" si="36"/>
        <v>0.77429999999999999</v>
      </c>
      <c r="K119" s="3085">
        <f t="shared" si="36"/>
        <v>0.77429999999999999</v>
      </c>
      <c r="L119" s="3085">
        <f t="shared" si="36"/>
        <v>0.77429999999999999</v>
      </c>
      <c r="M119" s="3105">
        <f t="shared" si="36"/>
        <v>0.77429999999999999</v>
      </c>
      <c r="N119" s="3093"/>
    </row>
    <row r="120" spans="1:14">
      <c r="A120" s="3053" t="s">
        <v>3310</v>
      </c>
      <c r="B120" s="3085">
        <f>ROUND(0.9448-0.0115*B116,4)</f>
        <v>0.90459999999999996</v>
      </c>
      <c r="C120" s="3085">
        <f>B120</f>
        <v>0.90459999999999996</v>
      </c>
      <c r="D120" s="3085">
        <f>ROUND(0.937-0.0145*B116,4)</f>
        <v>0.88629999999999998</v>
      </c>
      <c r="E120" s="3085">
        <f t="shared" si="37"/>
        <v>0.88629999999999998</v>
      </c>
      <c r="F120" s="3085">
        <f t="shared" si="37"/>
        <v>0.88629999999999998</v>
      </c>
      <c r="G120" s="3085">
        <f t="shared" si="37"/>
        <v>0.88629999999999998</v>
      </c>
      <c r="H120" s="3085">
        <f t="shared" si="37"/>
        <v>0.88629999999999998</v>
      </c>
      <c r="I120" s="3085">
        <f>ROUND(0.7965-0.0185*B116,4)</f>
        <v>0.73180000000000001</v>
      </c>
      <c r="J120" s="3085">
        <f t="shared" si="36"/>
        <v>0.73180000000000001</v>
      </c>
      <c r="K120" s="3085">
        <f t="shared" si="36"/>
        <v>0.73180000000000001</v>
      </c>
      <c r="L120" s="3085">
        <f t="shared" si="36"/>
        <v>0.73180000000000001</v>
      </c>
      <c r="M120" s="3105">
        <f t="shared" si="36"/>
        <v>0.73180000000000001</v>
      </c>
      <c r="N120" s="3093"/>
    </row>
    <row r="121" spans="1:14" ht="13.5" thickBot="1">
      <c r="A121" s="3106" t="s">
        <v>3311</v>
      </c>
      <c r="B121" s="3107">
        <f>ROUND(0.7836-0.012*B116,4)</f>
        <v>0.74160000000000004</v>
      </c>
      <c r="C121" s="3107">
        <f>B121</f>
        <v>0.74160000000000004</v>
      </c>
      <c r="D121" s="3107">
        <f>ROUND(0.753-0.015*B116,4)</f>
        <v>0.70050000000000001</v>
      </c>
      <c r="E121" s="3107">
        <f>D121</f>
        <v>0.70050000000000001</v>
      </c>
      <c r="F121" s="3107">
        <f>E121</f>
        <v>0.70050000000000001</v>
      </c>
      <c r="G121" s="3107">
        <f>ROUND(0.6612-0.018*B116,4)</f>
        <v>0.59819999999999995</v>
      </c>
      <c r="H121" s="3107">
        <f>G121</f>
        <v>0.59819999999999995</v>
      </c>
      <c r="I121" s="3107">
        <f>ROUND(0.5905-0.019*B116,4)</f>
        <v>0.52400000000000002</v>
      </c>
      <c r="J121" s="3107">
        <f t="shared" si="36"/>
        <v>0.52400000000000002</v>
      </c>
      <c r="K121" s="3107">
        <f t="shared" si="36"/>
        <v>0.52400000000000002</v>
      </c>
      <c r="L121" s="3107">
        <f t="shared" si="36"/>
        <v>0.52400000000000002</v>
      </c>
      <c r="M121" s="3108">
        <f t="shared" si="36"/>
        <v>0.52400000000000002</v>
      </c>
      <c r="N121" s="3093"/>
    </row>
    <row r="122" spans="1:14">
      <c r="A122" s="3109" t="s">
        <v>2594</v>
      </c>
      <c r="B122" s="3085">
        <f>ROUND(0.9404-0.0106*B116,4)</f>
        <v>0.90329999999999999</v>
      </c>
      <c r="C122" s="3085">
        <f>B122</f>
        <v>0.90329999999999999</v>
      </c>
      <c r="D122" s="3085">
        <f>ROUND(0.8955-0.0135*B116,4)</f>
        <v>0.84830000000000005</v>
      </c>
      <c r="E122" s="3085">
        <f t="shared" ref="E122:H122" si="38">D122</f>
        <v>0.84830000000000005</v>
      </c>
      <c r="F122" s="3085">
        <f t="shared" si="38"/>
        <v>0.84830000000000005</v>
      </c>
      <c r="G122" s="3085">
        <f t="shared" si="38"/>
        <v>0.84830000000000005</v>
      </c>
      <c r="H122" s="3085">
        <f t="shared" si="38"/>
        <v>0.84830000000000005</v>
      </c>
      <c r="I122" s="3085">
        <f>ROUND(0.7632-0.0166*B116,4)</f>
        <v>0.70509999999999995</v>
      </c>
      <c r="J122" s="3085">
        <f t="shared" si="36"/>
        <v>0.70509999999999995</v>
      </c>
      <c r="K122" s="3085">
        <f t="shared" si="36"/>
        <v>0.70509999999999995</v>
      </c>
      <c r="L122" s="3085">
        <f t="shared" si="36"/>
        <v>0.70509999999999995</v>
      </c>
      <c r="M122" s="3105">
        <f t="shared" si="36"/>
        <v>0.70509999999999995</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2417</v>
      </c>
      <c r="B1" s="2579"/>
      <c r="C1" s="2591"/>
      <c r="D1" s="2591"/>
      <c r="E1" s="2580"/>
      <c r="F1" s="2581"/>
      <c r="G1" s="2582"/>
      <c r="J1" s="2585" t="s">
        <v>2296</v>
      </c>
      <c r="K1" s="2586"/>
      <c r="L1" s="2586"/>
      <c r="M1" s="2586"/>
      <c r="N1" s="2586"/>
      <c r="O1" s="2586"/>
      <c r="P1" s="2586"/>
      <c r="Q1" s="2586"/>
      <c r="R1" s="2587"/>
      <c r="S1" s="2588"/>
      <c r="T1" s="2588"/>
      <c r="U1" s="2588"/>
    </row>
    <row r="2" spans="1:22" s="2600" customFormat="1" ht="13.15" customHeight="1">
      <c r="A2" s="1289" t="s">
        <v>2297</v>
      </c>
      <c r="B2" s="2590" t="e">
        <f>IF(D2="——",C40,C40+E2)</f>
        <v>#DIV/0!</v>
      </c>
      <c r="C2" s="2591" t="s">
        <v>2298</v>
      </c>
      <c r="D2" s="3133" t="s">
        <v>3338</v>
      </c>
      <c r="E2" s="3134"/>
      <c r="F2" s="2593"/>
      <c r="G2" s="2594"/>
      <c r="H2" s="2595"/>
      <c r="I2" s="2596"/>
      <c r="J2" s="3456" t="s">
        <v>2299</v>
      </c>
      <c r="K2" s="3457"/>
      <c r="L2" s="2597" t="s">
        <v>2300</v>
      </c>
      <c r="M2" s="2597" t="s">
        <v>2301</v>
      </c>
      <c r="N2" s="2597" t="s">
        <v>2302</v>
      </c>
      <c r="O2" s="2597" t="s">
        <v>2303</v>
      </c>
      <c r="P2" s="2597" t="s">
        <v>2304</v>
      </c>
      <c r="Q2" s="2598" t="s">
        <v>2305</v>
      </c>
      <c r="R2" s="2599" t="s">
        <v>2306</v>
      </c>
      <c r="S2" s="2588"/>
      <c r="T2" s="2588"/>
      <c r="U2" s="2588"/>
      <c r="V2" s="2596"/>
    </row>
    <row r="3" spans="1:22" s="2600" customFormat="1" ht="13.15" customHeight="1">
      <c r="A3" s="2601" t="s">
        <v>2307</v>
      </c>
      <c r="B3" s="2602" t="e">
        <f>ROUND(B2*10000/B4,0)</f>
        <v>#DIV/0!</v>
      </c>
      <c r="C3" s="2591" t="s">
        <v>2308</v>
      </c>
      <c r="D3" s="2591"/>
      <c r="E3" s="2592"/>
      <c r="F3" s="2593"/>
      <c r="G3" s="2594"/>
      <c r="H3" s="2595"/>
      <c r="I3" s="2596"/>
      <c r="J3" s="3458" t="s">
        <v>2309</v>
      </c>
      <c r="K3" s="3459"/>
      <c r="L3" s="2603"/>
      <c r="M3" s="2603"/>
      <c r="N3" s="2603"/>
      <c r="O3" s="2603"/>
      <c r="P3" s="2603"/>
      <c r="Q3" s="2604"/>
      <c r="R3" s="2605">
        <f>SUM(L3:Q3)</f>
        <v>0</v>
      </c>
      <c r="S3" s="2588"/>
      <c r="T3" s="2588"/>
      <c r="U3" s="2588"/>
      <c r="V3" s="2596"/>
    </row>
    <row r="4" spans="1:22" s="2600" customFormat="1" ht="13.15" customHeight="1">
      <c r="A4" s="2606" t="s">
        <v>2310</v>
      </c>
      <c r="B4" s="2607"/>
      <c r="C4" s="2591"/>
      <c r="D4" s="2591"/>
      <c r="E4" s="2592"/>
      <c r="F4" s="2593"/>
      <c r="G4" s="2594"/>
      <c r="H4" s="2595"/>
      <c r="I4" s="2596"/>
      <c r="J4" s="3458" t="s">
        <v>2311</v>
      </c>
      <c r="K4" s="3459"/>
      <c r="L4" s="2608"/>
      <c r="M4" s="2608"/>
      <c r="N4" s="2608"/>
      <c r="O4" s="2608"/>
      <c r="P4" s="2608"/>
      <c r="Q4" s="2609"/>
      <c r="R4" s="2610">
        <f>SUM(L4:Q4)</f>
        <v>0</v>
      </c>
      <c r="S4" s="2588"/>
      <c r="T4" s="2588"/>
      <c r="U4" s="2588"/>
      <c r="V4" s="2596"/>
    </row>
    <row r="5" spans="1:22" s="2600" customFormat="1" ht="13.15" customHeight="1" thickBot="1">
      <c r="A5" s="2611" t="s">
        <v>2312</v>
      </c>
      <c r="B5" s="2612"/>
      <c r="C5" s="2591"/>
      <c r="D5" s="2613"/>
      <c r="E5" s="2593"/>
      <c r="F5" s="2593"/>
      <c r="G5" s="2594"/>
      <c r="H5" s="2595"/>
      <c r="I5" s="2596"/>
      <c r="J5" s="2614" t="s">
        <v>2313</v>
      </c>
      <c r="K5" s="2615"/>
      <c r="L5" s="2615"/>
      <c r="M5" s="2616"/>
      <c r="N5" s="2616"/>
      <c r="O5" s="2616"/>
      <c r="P5" s="2616"/>
      <c r="Q5" s="2616"/>
      <c r="R5" s="2599">
        <f>SUM(R14,R19,R24,R25,R27,R28)</f>
        <v>0</v>
      </c>
      <c r="S5" s="2588"/>
      <c r="T5" s="2588" t="s">
        <v>2314</v>
      </c>
      <c r="U5" s="2588" t="e">
        <f>ROUND(R5*10000/365/R3,1)</f>
        <v>#DIV/0!</v>
      </c>
      <c r="V5" s="2596"/>
    </row>
    <row r="6" spans="1:22" s="2600" customFormat="1" ht="13.15" customHeight="1" thickBot="1">
      <c r="A6" s="3460" t="s">
        <v>2315</v>
      </c>
      <c r="B6" s="3461"/>
      <c r="C6" s="3462"/>
      <c r="D6" s="2617"/>
      <c r="E6" s="2618"/>
      <c r="F6" s="2619"/>
      <c r="G6" s="2620"/>
      <c r="H6" s="2595"/>
      <c r="I6" s="2596"/>
      <c r="J6" s="3463">
        <v>1</v>
      </c>
      <c r="K6" s="3464" t="s">
        <v>2316</v>
      </c>
      <c r="L6" s="2621" t="s">
        <v>2317</v>
      </c>
      <c r="M6" s="2622" t="s">
        <v>2318</v>
      </c>
      <c r="N6" s="2622" t="s">
        <v>2319</v>
      </c>
      <c r="O6" s="2622" t="s">
        <v>2320</v>
      </c>
      <c r="P6" s="2622" t="s">
        <v>2321</v>
      </c>
      <c r="Q6" s="2622" t="s">
        <v>2322</v>
      </c>
      <c r="R6" s="2605" t="s">
        <v>2323</v>
      </c>
      <c r="S6" s="2588"/>
      <c r="T6" s="2588" t="s">
        <v>2324</v>
      </c>
      <c r="U6" s="2588"/>
      <c r="V6" s="2596"/>
    </row>
    <row r="7" spans="1:22" s="2600" customFormat="1" ht="13.15" customHeight="1">
      <c r="A7" s="2623" t="s">
        <v>2325</v>
      </c>
      <c r="B7" s="2624"/>
      <c r="C7" s="2625"/>
      <c r="D7" s="2626">
        <f>SUM(D9,D10,D11,D17,0)</f>
        <v>0</v>
      </c>
      <c r="E7" s="2627" t="e">
        <f>E9+E10+E11+E17</f>
        <v>#DIV/0!</v>
      </c>
      <c r="F7" s="2628"/>
      <c r="G7" s="2629"/>
      <c r="H7" s="2595"/>
      <c r="I7" s="2596"/>
      <c r="J7" s="3463"/>
      <c r="K7" s="3465"/>
      <c r="L7" s="2630" t="s">
        <v>2326</v>
      </c>
      <c r="M7" s="2631"/>
      <c r="N7" s="2607"/>
      <c r="O7" s="2632"/>
      <c r="P7" s="2632"/>
      <c r="Q7" s="2633">
        <v>365</v>
      </c>
      <c r="R7" s="2634">
        <f>ROUND(M7*N7*O7*P7*Q7/10000,0)</f>
        <v>0</v>
      </c>
      <c r="S7" s="2588"/>
      <c r="T7" s="2588" t="s">
        <v>2327</v>
      </c>
      <c r="U7" s="2588"/>
      <c r="V7" s="2596"/>
    </row>
    <row r="8" spans="1:22" s="2600" customFormat="1" ht="13.15" customHeight="1">
      <c r="A8" s="2635" t="s">
        <v>2328</v>
      </c>
      <c r="B8" s="3467" t="s">
        <v>2329</v>
      </c>
      <c r="C8" s="3468"/>
      <c r="D8" s="2636" t="s">
        <v>2330</v>
      </c>
      <c r="E8" s="2637" t="s">
        <v>2331</v>
      </c>
      <c r="F8" s="2638" t="s">
        <v>2332</v>
      </c>
      <c r="G8" s="2639"/>
      <c r="H8" s="2595"/>
      <c r="I8" s="2596"/>
      <c r="J8" s="3463"/>
      <c r="K8" s="3465"/>
      <c r="L8" s="2630" t="s">
        <v>2333</v>
      </c>
      <c r="M8" s="2631"/>
      <c r="N8" s="2607"/>
      <c r="O8" s="2632"/>
      <c r="P8" s="2632"/>
      <c r="Q8" s="2633">
        <v>365</v>
      </c>
      <c r="R8" s="2634">
        <f t="shared" ref="R8:R13" si="0">ROUND(M8*N8*O8*P8*Q8/10000,0)</f>
        <v>0</v>
      </c>
      <c r="S8" s="2588"/>
      <c r="T8" s="2588" t="s">
        <v>2334</v>
      </c>
      <c r="U8" s="2588"/>
      <c r="V8" s="2596"/>
    </row>
    <row r="9" spans="1:22" s="2600" customFormat="1" ht="13.15" customHeight="1">
      <c r="A9" s="2635">
        <v>1</v>
      </c>
      <c r="B9" s="3467" t="s">
        <v>2335</v>
      </c>
      <c r="C9" s="3468"/>
      <c r="D9" s="2636">
        <f>ROUND(D6*E9,0)</f>
        <v>0</v>
      </c>
      <c r="E9" s="2640"/>
      <c r="F9" s="2641" t="s">
        <v>2336</v>
      </c>
      <c r="G9" s="2620"/>
      <c r="H9" s="2595"/>
      <c r="I9" s="2596"/>
      <c r="J9" s="3463"/>
      <c r="K9" s="3465"/>
      <c r="L9" s="2630" t="s">
        <v>2337</v>
      </c>
      <c r="M9" s="2631"/>
      <c r="N9" s="2607"/>
      <c r="O9" s="2632"/>
      <c r="P9" s="2632"/>
      <c r="Q9" s="2633">
        <v>365</v>
      </c>
      <c r="R9" s="2634">
        <f t="shared" si="0"/>
        <v>0</v>
      </c>
      <c r="S9" s="2588"/>
      <c r="T9" s="2588"/>
      <c r="U9" s="2588"/>
      <c r="V9" s="2596"/>
    </row>
    <row r="10" spans="1:22" s="2600" customFormat="1" ht="13.15" customHeight="1">
      <c r="A10" s="2635">
        <v>2</v>
      </c>
      <c r="B10" s="3467" t="s">
        <v>2338</v>
      </c>
      <c r="C10" s="3468"/>
      <c r="D10" s="2636">
        <f>ROUND(D6*E10,0)</f>
        <v>0</v>
      </c>
      <c r="E10" s="2640"/>
      <c r="F10" s="2641" t="s">
        <v>2339</v>
      </c>
      <c r="G10" s="2620"/>
      <c r="H10" s="2595"/>
      <c r="I10" s="2596"/>
      <c r="J10" s="3463"/>
      <c r="K10" s="3465"/>
      <c r="L10" s="2630" t="s">
        <v>2340</v>
      </c>
      <c r="M10" s="2631"/>
      <c r="N10" s="2607"/>
      <c r="O10" s="2632"/>
      <c r="P10" s="2632"/>
      <c r="Q10" s="2633">
        <v>365</v>
      </c>
      <c r="R10" s="2634">
        <f t="shared" si="0"/>
        <v>0</v>
      </c>
      <c r="S10" s="2588"/>
      <c r="T10" s="2588"/>
      <c r="U10" s="2588"/>
      <c r="V10" s="2596"/>
    </row>
    <row r="11" spans="1:22" s="2600" customFormat="1" ht="13.15" customHeight="1">
      <c r="A11" s="2635">
        <v>3</v>
      </c>
      <c r="B11" s="3467" t="s">
        <v>2341</v>
      </c>
      <c r="C11" s="3468"/>
      <c r="D11" s="2636">
        <f>D12+D14+D15+D16</f>
        <v>0</v>
      </c>
      <c r="E11" s="2642" t="e">
        <f>D11/D6</f>
        <v>#DIV/0!</v>
      </c>
      <c r="F11" s="2638"/>
      <c r="G11" s="2639"/>
      <c r="H11" s="2595"/>
      <c r="I11" s="2596"/>
      <c r="J11" s="3463"/>
      <c r="K11" s="3465"/>
      <c r="L11" s="2630" t="s">
        <v>2342</v>
      </c>
      <c r="M11" s="2631"/>
      <c r="N11" s="2607"/>
      <c r="O11" s="2632"/>
      <c r="P11" s="2632"/>
      <c r="Q11" s="2633">
        <v>365</v>
      </c>
      <c r="R11" s="2634">
        <f t="shared" si="0"/>
        <v>0</v>
      </c>
      <c r="S11" s="2588"/>
      <c r="T11" s="2588"/>
      <c r="U11" s="2588"/>
      <c r="V11" s="2596"/>
    </row>
    <row r="12" spans="1:22" s="2600" customFormat="1" ht="13.15" customHeight="1">
      <c r="A12" s="2643" t="s">
        <v>2343</v>
      </c>
      <c r="B12" s="3469" t="s">
        <v>2344</v>
      </c>
      <c r="C12" s="3470"/>
      <c r="D12" s="2644">
        <f>ROUND(D13*1.2%*(1-30%),0)</f>
        <v>0</v>
      </c>
      <c r="E12" s="2645">
        <v>1.2E-2</v>
      </c>
      <c r="F12" s="2638" t="s">
        <v>2345</v>
      </c>
      <c r="G12" s="2639"/>
      <c r="H12" s="2595"/>
      <c r="I12" s="2596"/>
      <c r="J12" s="3463"/>
      <c r="K12" s="3465"/>
      <c r="L12" s="2630" t="s">
        <v>2346</v>
      </c>
      <c r="M12" s="2631"/>
      <c r="N12" s="2607"/>
      <c r="O12" s="2632"/>
      <c r="P12" s="2632"/>
      <c r="Q12" s="2633">
        <v>365</v>
      </c>
      <c r="R12" s="2634">
        <f t="shared" si="0"/>
        <v>0</v>
      </c>
      <c r="S12" s="2588"/>
      <c r="T12" s="2588"/>
      <c r="U12" s="2588"/>
      <c r="V12" s="2596"/>
    </row>
    <row r="13" spans="1:22" s="2600" customFormat="1" ht="13.15" customHeight="1">
      <c r="A13" s="2643"/>
      <c r="B13" s="2646"/>
      <c r="C13" s="2647" t="s">
        <v>2347</v>
      </c>
      <c r="D13" s="2648"/>
      <c r="E13" s="2649"/>
      <c r="F13" s="2638"/>
      <c r="G13" s="2639"/>
      <c r="H13" s="2595"/>
      <c r="I13" s="2596"/>
      <c r="J13" s="3463"/>
      <c r="K13" s="3465"/>
      <c r="L13" s="2630" t="s">
        <v>2348</v>
      </c>
      <c r="M13" s="2631"/>
      <c r="N13" s="2607"/>
      <c r="O13" s="2632"/>
      <c r="P13" s="2632"/>
      <c r="Q13" s="2633">
        <v>365</v>
      </c>
      <c r="R13" s="2634">
        <f t="shared" si="0"/>
        <v>0</v>
      </c>
      <c r="S13" s="2588"/>
      <c r="T13" s="2588"/>
      <c r="U13" s="2588"/>
      <c r="V13" s="2596"/>
    </row>
    <row r="14" spans="1:22" s="2600" customFormat="1" ht="13.15" customHeight="1">
      <c r="A14" s="2643" t="s">
        <v>2349</v>
      </c>
      <c r="B14" s="3469" t="s">
        <v>2350</v>
      </c>
      <c r="C14" s="3470"/>
      <c r="D14" s="2644">
        <f>ROUND(E14*B5/10000,0)</f>
        <v>0</v>
      </c>
      <c r="E14" s="2633"/>
      <c r="F14" s="2638" t="s">
        <v>2351</v>
      </c>
      <c r="G14" s="2639"/>
      <c r="H14" s="2595"/>
      <c r="I14" s="2596"/>
      <c r="J14" s="3463"/>
      <c r="K14" s="3466"/>
      <c r="L14" s="2650" t="s">
        <v>2352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2353</v>
      </c>
      <c r="B15" s="3469" t="s">
        <v>2354</v>
      </c>
      <c r="C15" s="3470"/>
      <c r="D15" s="2644">
        <f>ROUND(D6*E15,0)</f>
        <v>0</v>
      </c>
      <c r="E15" s="2645">
        <v>5.5E-2</v>
      </c>
      <c r="F15" s="2638" t="s">
        <v>2355</v>
      </c>
      <c r="G15" s="2620"/>
      <c r="H15" s="2595"/>
      <c r="I15" s="2596"/>
      <c r="J15" s="3463">
        <v>2</v>
      </c>
      <c r="K15" s="3464" t="s">
        <v>2356</v>
      </c>
      <c r="L15" s="2630" t="s">
        <v>2357</v>
      </c>
      <c r="M15" s="2631" t="s">
        <v>2358</v>
      </c>
      <c r="N15" s="2631" t="s">
        <v>2359</v>
      </c>
      <c r="O15" s="2632" t="s">
        <v>2360</v>
      </c>
      <c r="P15" s="2632" t="s">
        <v>2322</v>
      </c>
      <c r="Q15" s="2607" t="s">
        <v>2361</v>
      </c>
      <c r="R15" s="2654" t="s">
        <v>2323</v>
      </c>
      <c r="S15" s="2588"/>
      <c r="T15" s="2588"/>
      <c r="U15" s="2588"/>
      <c r="V15" s="2596"/>
    </row>
    <row r="16" spans="1:22" s="2600" customFormat="1" ht="13.15" customHeight="1">
      <c r="A16" s="2643" t="s">
        <v>2362</v>
      </c>
      <c r="B16" s="3469" t="s">
        <v>2363</v>
      </c>
      <c r="C16" s="3470"/>
      <c r="D16" s="2655">
        <f>D6*E16</f>
        <v>0</v>
      </c>
      <c r="E16" s="2656"/>
      <c r="F16" s="2641" t="s">
        <v>2364</v>
      </c>
      <c r="G16" s="2620"/>
      <c r="H16" s="2595"/>
      <c r="I16" s="2596"/>
      <c r="J16" s="3463"/>
      <c r="K16" s="3465"/>
      <c r="L16" s="2630" t="s">
        <v>2365</v>
      </c>
      <c r="M16" s="2631"/>
      <c r="N16" s="2631"/>
      <c r="O16" s="2632"/>
      <c r="P16" s="2633">
        <v>365</v>
      </c>
      <c r="Q16" s="2607"/>
      <c r="R16" s="2654">
        <f>ROUND(M16*N16*O16*P16/10000,0)</f>
        <v>0</v>
      </c>
      <c r="S16" s="2588"/>
      <c r="T16" s="2588"/>
      <c r="U16" s="2588"/>
      <c r="V16" s="2596"/>
    </row>
    <row r="17" spans="1:22" s="2600" customFormat="1" ht="13.15" customHeight="1" thickBot="1">
      <c r="A17" s="2657">
        <v>4</v>
      </c>
      <c r="B17" s="3471" t="s">
        <v>2366</v>
      </c>
      <c r="C17" s="3472"/>
      <c r="D17" s="2658">
        <f>ROUND(D6*E17,0)</f>
        <v>0</v>
      </c>
      <c r="E17" s="2659"/>
      <c r="F17" s="2660" t="s">
        <v>2367</v>
      </c>
      <c r="G17" s="2620"/>
      <c r="H17" s="2595"/>
      <c r="I17" s="2596"/>
      <c r="J17" s="3463"/>
      <c r="K17" s="3465"/>
      <c r="L17" s="2630" t="s">
        <v>2368</v>
      </c>
      <c r="M17" s="2631"/>
      <c r="N17" s="2631"/>
      <c r="O17" s="2632"/>
      <c r="P17" s="2633">
        <v>365</v>
      </c>
      <c r="Q17" s="2607"/>
      <c r="R17" s="2654">
        <f>ROUND(M17*N17*O17*P17/10000,0)</f>
        <v>0</v>
      </c>
      <c r="S17" s="2588"/>
      <c r="T17" s="2588"/>
      <c r="U17" s="2588"/>
      <c r="V17" s="2596"/>
    </row>
    <row r="18" spans="1:22" s="2600" customFormat="1" ht="13.15" customHeight="1" thickBot="1">
      <c r="A18" s="2623" t="s">
        <v>2369</v>
      </c>
      <c r="B18" s="2624"/>
      <c r="C18" s="2624"/>
      <c r="D18" s="2661">
        <f>ROUND(D6*E18,0)</f>
        <v>0</v>
      </c>
      <c r="E18" s="2662"/>
      <c r="F18" s="2663" t="s">
        <v>2370</v>
      </c>
      <c r="G18" s="2620"/>
      <c r="H18" s="2595"/>
      <c r="I18" s="2596"/>
      <c r="J18" s="3463"/>
      <c r="K18" s="3465"/>
      <c r="L18" s="2630" t="s">
        <v>2371</v>
      </c>
      <c r="M18" s="2631"/>
      <c r="N18" s="2631"/>
      <c r="O18" s="2632"/>
      <c r="P18" s="2633">
        <v>365</v>
      </c>
      <c r="Q18" s="2607"/>
      <c r="R18" s="2654">
        <f>ROUND(M18*N18*O18*P18/10000,0)</f>
        <v>0</v>
      </c>
      <c r="S18" s="2588"/>
      <c r="T18" s="2588"/>
      <c r="U18" s="2588"/>
      <c r="V18" s="2596"/>
    </row>
    <row r="19" spans="1:22" s="2600" customFormat="1" ht="13.15" customHeight="1" thickBot="1">
      <c r="A19" s="2664" t="s">
        <v>2372</v>
      </c>
      <c r="B19" s="2618"/>
      <c r="C19" s="2618"/>
      <c r="D19" s="2618"/>
      <c r="E19" s="2618"/>
      <c r="F19" s="2619"/>
      <c r="G19" s="2639"/>
      <c r="H19" s="2595"/>
      <c r="I19" s="2596"/>
      <c r="J19" s="3463"/>
      <c r="K19" s="3466"/>
      <c r="L19" s="2650" t="s">
        <v>2352</v>
      </c>
      <c r="M19" s="2651"/>
      <c r="N19" s="2651">
        <f>SUM(N16:N18)</f>
        <v>0</v>
      </c>
      <c r="O19" s="2652"/>
      <c r="P19" s="2665" t="s">
        <v>2416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63">
        <v>3</v>
      </c>
      <c r="K20" s="3464" t="s">
        <v>2373</v>
      </c>
      <c r="L20" s="2630" t="s">
        <v>2374</v>
      </c>
      <c r="M20" s="2631" t="s">
        <v>2375</v>
      </c>
      <c r="N20" s="2668" t="s">
        <v>2376</v>
      </c>
      <c r="O20" s="2632" t="s">
        <v>2377</v>
      </c>
      <c r="P20" s="2633" t="s">
        <v>2378</v>
      </c>
      <c r="Q20" s="2607" t="s">
        <v>2379</v>
      </c>
      <c r="R20" s="2654" t="s">
        <v>2380</v>
      </c>
      <c r="S20" s="2588"/>
      <c r="T20" s="2588"/>
      <c r="U20" s="2588"/>
      <c r="V20" s="2596"/>
    </row>
    <row r="21" spans="1:22" s="2600" customFormat="1" ht="13.15" customHeight="1">
      <c r="A21" s="2623"/>
      <c r="B21" s="2624"/>
      <c r="C21" s="2669" t="s">
        <v>2381</v>
      </c>
      <c r="D21" s="2670" t="s">
        <v>2382</v>
      </c>
      <c r="E21" s="2671" t="s">
        <v>2383</v>
      </c>
      <c r="F21" s="2667"/>
      <c r="G21" s="2639"/>
      <c r="H21" s="2595"/>
      <c r="I21" s="2596"/>
      <c r="J21" s="3463"/>
      <c r="K21" s="3465"/>
      <c r="L21" s="2630" t="s">
        <v>2384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2385</v>
      </c>
      <c r="D22" s="2674" t="s">
        <v>2386</v>
      </c>
      <c r="E22" s="2675" t="s">
        <v>2387</v>
      </c>
      <c r="F22" s="2667"/>
      <c r="G22" s="2588"/>
      <c r="H22" s="2595"/>
      <c r="I22" s="2596"/>
      <c r="J22" s="3463"/>
      <c r="K22" s="3465"/>
      <c r="L22" s="2630" t="s">
        <v>2388</v>
      </c>
      <c r="M22" s="2631"/>
      <c r="N22" s="2631"/>
      <c r="O22" s="2632"/>
      <c r="P22" s="2633">
        <v>365</v>
      </c>
      <c r="Q22" s="2607"/>
      <c r="R22" s="2672">
        <f>ROUND(M22*N22*O22*P22/10000,0)</f>
        <v>0</v>
      </c>
      <c r="S22" s="2588"/>
      <c r="T22" s="2588"/>
      <c r="U22" s="2588"/>
      <c r="V22" s="2596"/>
    </row>
    <row r="23" spans="1:22" s="2600" customFormat="1" ht="13.15" customHeight="1">
      <c r="A23" s="2676">
        <v>1</v>
      </c>
      <c r="B23" s="2677" t="s">
        <v>2389</v>
      </c>
      <c r="C23" s="2678">
        <f>D6</f>
        <v>0</v>
      </c>
      <c r="D23" s="2679">
        <f>C23*(1+D24)</f>
        <v>0</v>
      </c>
      <c r="E23" s="2680">
        <f>D23*(1+E24)</f>
        <v>0</v>
      </c>
      <c r="F23" s="2681"/>
      <c r="G23" s="2682"/>
      <c r="H23" s="2595"/>
      <c r="I23" s="2596"/>
      <c r="J23" s="3463"/>
      <c r="K23" s="3465"/>
      <c r="L23" s="2630" t="s">
        <v>2390</v>
      </c>
      <c r="M23" s="2631"/>
      <c r="N23" s="2631"/>
      <c r="O23" s="2632"/>
      <c r="P23" s="2633">
        <v>365</v>
      </c>
      <c r="Q23" s="2607"/>
      <c r="R23" s="2672">
        <f>ROUND(M23*N23*O23*P23/10000,0)</f>
        <v>0</v>
      </c>
      <c r="S23" s="2588"/>
      <c r="T23" s="2588"/>
      <c r="U23" s="2588"/>
      <c r="V23" s="2596"/>
    </row>
    <row r="24" spans="1:22" s="2600" customFormat="1" ht="13.15" customHeight="1">
      <c r="A24" s="2683"/>
      <c r="B24" s="2684" t="s">
        <v>2391</v>
      </c>
      <c r="C24" s="2685"/>
      <c r="D24" s="2686"/>
      <c r="E24" s="2687"/>
      <c r="F24" s="2688"/>
      <c r="G24" s="2682"/>
      <c r="H24" s="2595"/>
      <c r="I24" s="2596"/>
      <c r="J24" s="3463"/>
      <c r="K24" s="3466"/>
      <c r="L24" s="2650" t="s">
        <v>2352</v>
      </c>
      <c r="M24" s="2651">
        <f>SUM(M21:M23)</f>
        <v>0</v>
      </c>
      <c r="N24" s="2651"/>
      <c r="O24" s="2652"/>
      <c r="P24" s="2665" t="s">
        <v>2416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2392</v>
      </c>
      <c r="L25" s="2691"/>
      <c r="M25" s="2691"/>
      <c r="N25" s="2691"/>
      <c r="O25" s="2691"/>
      <c r="P25" s="2692"/>
      <c r="Q25" s="2693">
        <v>0</v>
      </c>
      <c r="R25" s="2666">
        <f>ROUND(R14*Q25,0)</f>
        <v>0</v>
      </c>
      <c r="S25" s="2588"/>
      <c r="T25" s="2588"/>
      <c r="U25" s="2588"/>
      <c r="V25" s="2694"/>
    </row>
    <row r="26" spans="1:22" s="2695" customFormat="1" ht="13.15" customHeight="1">
      <c r="A26" s="2676">
        <v>2</v>
      </c>
      <c r="B26" s="2677" t="s">
        <v>2393</v>
      </c>
      <c r="C26" s="2678">
        <f>D7</f>
        <v>0</v>
      </c>
      <c r="D26" s="2679">
        <f>D23*D27</f>
        <v>0</v>
      </c>
      <c r="E26" s="2680">
        <f>E23*E27</f>
        <v>0</v>
      </c>
      <c r="F26" s="2681"/>
      <c r="G26" s="2682"/>
      <c r="H26" s="2595"/>
      <c r="I26" s="2596"/>
      <c r="J26" s="3473">
        <v>5</v>
      </c>
      <c r="K26" s="2696" t="s">
        <v>2394</v>
      </c>
      <c r="L26" s="2697"/>
      <c r="M26" s="2698"/>
      <c r="N26" s="2699" t="s">
        <v>2395</v>
      </c>
      <c r="O26" s="2699" t="s">
        <v>2396</v>
      </c>
      <c r="P26" s="2700" t="s">
        <v>2397</v>
      </c>
      <c r="Q26" s="2700" t="s">
        <v>2398</v>
      </c>
      <c r="R26" s="2605" t="s">
        <v>2323</v>
      </c>
      <c r="S26" s="2639"/>
      <c r="T26" s="2639"/>
      <c r="U26" s="2639"/>
      <c r="V26" s="2694"/>
    </row>
    <row r="27" spans="1:22" s="2600" customFormat="1" ht="13.15" customHeight="1">
      <c r="A27" s="2683"/>
      <c r="B27" s="2684" t="s">
        <v>2399</v>
      </c>
      <c r="C27" s="2701" t="e">
        <f>E7</f>
        <v>#DIV/0!</v>
      </c>
      <c r="D27" s="2686"/>
      <c r="E27" s="2687"/>
      <c r="F27" s="2688"/>
      <c r="G27" s="2682"/>
      <c r="H27" s="2702"/>
      <c r="I27" s="2694"/>
      <c r="J27" s="3474"/>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2400</v>
      </c>
      <c r="F28" s="2688"/>
      <c r="G28" s="2588"/>
      <c r="H28" s="2702"/>
      <c r="I28" s="2694"/>
      <c r="J28" s="2708">
        <v>6</v>
      </c>
      <c r="K28" s="2709" t="s">
        <v>2401</v>
      </c>
      <c r="L28" s="2710" t="s">
        <v>2402</v>
      </c>
      <c r="M28" s="2711"/>
      <c r="N28" s="2710" t="s">
        <v>2403</v>
      </c>
      <c r="O28" s="2712"/>
      <c r="P28" s="2710" t="s">
        <v>2404</v>
      </c>
      <c r="Q28" s="2713">
        <v>1.4999999999999999E-2</v>
      </c>
      <c r="R28" s="2714"/>
      <c r="S28" s="2588"/>
      <c r="T28" s="2588"/>
      <c r="U28" s="2588"/>
      <c r="V28" s="2694"/>
    </row>
    <row r="29" spans="1:22" s="2695" customFormat="1" ht="13.15" customHeight="1">
      <c r="A29" s="2676">
        <v>3</v>
      </c>
      <c r="B29" s="2677" t="s">
        <v>2405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2399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2406</v>
      </c>
      <c r="K31" s="2586"/>
      <c r="L31" s="2586"/>
      <c r="M31" s="2586"/>
      <c r="N31" s="2586"/>
      <c r="O31" s="2586"/>
      <c r="P31" s="2586"/>
      <c r="Q31" s="2586"/>
      <c r="R31" s="2587"/>
      <c r="S31" s="2588"/>
      <c r="T31" s="2588"/>
      <c r="U31" s="2588"/>
      <c r="V31" s="2694"/>
    </row>
    <row r="32" spans="1:22" s="2695" customFormat="1" ht="13.15" customHeight="1">
      <c r="A32" s="2676">
        <v>4</v>
      </c>
      <c r="B32" s="2677" t="s">
        <v>2407</v>
      </c>
      <c r="C32" s="2678">
        <f>C23-C26-C29</f>
        <v>0</v>
      </c>
      <c r="D32" s="2679">
        <f>D23-D26-D29</f>
        <v>0</v>
      </c>
      <c r="E32" s="2680">
        <f>E23-E26-E29</f>
        <v>0</v>
      </c>
      <c r="F32" s="2681"/>
      <c r="G32" s="2588"/>
      <c r="H32" s="2595"/>
      <c r="I32" s="2596"/>
      <c r="J32" s="3456" t="s">
        <v>2299</v>
      </c>
      <c r="K32" s="3457"/>
      <c r="L32" s="2597" t="s">
        <v>2300</v>
      </c>
      <c r="M32" s="2597" t="s">
        <v>2301</v>
      </c>
      <c r="N32" s="2597" t="s">
        <v>2302</v>
      </c>
      <c r="O32" s="2597" t="s">
        <v>2303</v>
      </c>
      <c r="P32" s="2597" t="s">
        <v>2304</v>
      </c>
      <c r="Q32" s="2598" t="s">
        <v>2305</v>
      </c>
      <c r="R32" s="2717" t="s">
        <v>2306</v>
      </c>
      <c r="S32" s="2588"/>
      <c r="T32" s="2588"/>
      <c r="U32" s="2588"/>
      <c r="V32" s="2694"/>
    </row>
    <row r="33" spans="1:23" s="2600" customFormat="1" ht="13.15" customHeight="1">
      <c r="A33" s="2676"/>
      <c r="B33" s="2677"/>
      <c r="C33" s="2678"/>
      <c r="D33" s="2718"/>
      <c r="E33" s="2719"/>
      <c r="F33" s="2681"/>
      <c r="G33" s="2588"/>
      <c r="H33" s="2702"/>
      <c r="I33" s="2694"/>
      <c r="J33" s="3458" t="s">
        <v>2309</v>
      </c>
      <c r="K33" s="3459"/>
      <c r="L33" s="2603"/>
      <c r="M33" s="2603"/>
      <c r="N33" s="2603"/>
      <c r="O33" s="2603"/>
      <c r="P33" s="2603"/>
      <c r="Q33" s="2604"/>
      <c r="R33" s="2720">
        <f>SUM(L33:Q33)</f>
        <v>0</v>
      </c>
      <c r="S33" s="2588"/>
      <c r="T33" s="2588"/>
      <c r="U33" s="2588"/>
      <c r="V33" s="2596"/>
    </row>
    <row r="34" spans="1:23" s="2600" customFormat="1" ht="13.15" customHeight="1">
      <c r="A34" s="2676">
        <v>5</v>
      </c>
      <c r="B34" s="2677" t="s">
        <v>2408</v>
      </c>
      <c r="C34" s="2721"/>
      <c r="D34" s="2722"/>
      <c r="E34" s="2723"/>
      <c r="F34" s="2681"/>
      <c r="G34" s="2588"/>
      <c r="H34" s="2702"/>
      <c r="I34" s="2694"/>
      <c r="J34" s="3458" t="s">
        <v>2311</v>
      </c>
      <c r="K34" s="3459"/>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2409</v>
      </c>
      <c r="C35" s="2725"/>
      <c r="D35" s="2726"/>
      <c r="E35" s="2727"/>
      <c r="F35" s="2681"/>
      <c r="G35" s="2728"/>
      <c r="H35" s="2595"/>
      <c r="I35" s="2694"/>
      <c r="J35" s="2614" t="s">
        <v>2313</v>
      </c>
      <c r="K35" s="2615"/>
      <c r="L35" s="2615"/>
      <c r="M35" s="2616"/>
      <c r="N35" s="2616"/>
      <c r="O35" s="2616"/>
      <c r="P35" s="2616"/>
      <c r="Q35" s="2616"/>
      <c r="R35" s="2729">
        <f>R40+R41+R43</f>
        <v>0</v>
      </c>
      <c r="S35" s="2588"/>
      <c r="T35" s="2588" t="s">
        <v>2314</v>
      </c>
      <c r="U35" s="2588"/>
      <c r="V35" s="2596"/>
    </row>
    <row r="36" spans="1:23" s="2600" customFormat="1" ht="13.15" customHeight="1" thickBot="1">
      <c r="A36" s="2676">
        <v>7</v>
      </c>
      <c r="B36" s="2730" t="s">
        <v>2410</v>
      </c>
      <c r="C36" s="2731"/>
      <c r="D36" s="2732"/>
      <c r="E36" s="2733"/>
      <c r="F36" s="2734">
        <f>C36+D36+E36</f>
        <v>0</v>
      </c>
      <c r="G36" s="2588"/>
      <c r="H36" s="2595"/>
      <c r="I36" s="2596"/>
      <c r="J36" s="3463">
        <v>1</v>
      </c>
      <c r="K36" s="3464" t="s">
        <v>2411</v>
      </c>
      <c r="L36" s="2621"/>
      <c r="M36" s="2622"/>
      <c r="N36" s="2622"/>
      <c r="O36" s="2622"/>
      <c r="P36" s="2622"/>
      <c r="Q36" s="2622"/>
      <c r="R36" s="2605" t="s">
        <v>2323</v>
      </c>
      <c r="S36" s="2588"/>
      <c r="T36" s="2588" t="s">
        <v>2324</v>
      </c>
      <c r="U36" s="2588"/>
      <c r="V36" s="2596"/>
    </row>
    <row r="37" spans="1:23" s="2600" customFormat="1" ht="13.15" customHeight="1">
      <c r="A37" s="2676"/>
      <c r="B37" s="2677"/>
      <c r="C37" s="2677"/>
      <c r="D37" s="2677"/>
      <c r="E37" s="2677"/>
      <c r="F37" s="2681"/>
      <c r="G37" s="2588"/>
      <c r="H37" s="2595"/>
      <c r="I37" s="2596"/>
      <c r="J37" s="3463"/>
      <c r="K37" s="3465"/>
      <c r="L37" s="2630"/>
      <c r="M37" s="2631"/>
      <c r="N37" s="2607"/>
      <c r="O37" s="2632"/>
      <c r="P37" s="2632"/>
      <c r="Q37" s="2633"/>
      <c r="R37" s="2634"/>
      <c r="S37" s="2588"/>
      <c r="T37" s="2588" t="s">
        <v>2327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63"/>
      <c r="K38" s="3465"/>
      <c r="L38" s="2630"/>
      <c r="M38" s="2631"/>
      <c r="N38" s="2607"/>
      <c r="O38" s="2632"/>
      <c r="P38" s="2632"/>
      <c r="Q38" s="2633"/>
      <c r="R38" s="2634"/>
      <c r="S38" s="2588"/>
      <c r="T38" s="2588" t="s">
        <v>2334</v>
      </c>
      <c r="U38" s="2588"/>
      <c r="V38" s="2596"/>
    </row>
    <row r="39" spans="1:23" s="2600" customFormat="1" ht="13.15" customHeight="1">
      <c r="A39" s="2676">
        <v>9</v>
      </c>
      <c r="B39" s="2677" t="s">
        <v>2412</v>
      </c>
      <c r="C39" s="2644" t="e">
        <f>C38</f>
        <v>#DIV/0!</v>
      </c>
      <c r="D39" s="2677">
        <f>D38/(1+D34)^C36</f>
        <v>0</v>
      </c>
      <c r="E39" s="2677">
        <f>E38/(1+E34)^(C36+D36)</f>
        <v>0</v>
      </c>
      <c r="F39" s="2681"/>
      <c r="G39" s="2596"/>
      <c r="H39" s="2595"/>
      <c r="I39" s="2596"/>
      <c r="J39" s="3463"/>
      <c r="K39" s="3465"/>
      <c r="L39" s="2630"/>
      <c r="M39" s="2631"/>
      <c r="N39" s="2607"/>
      <c r="O39" s="2632"/>
      <c r="P39" s="2632"/>
      <c r="Q39" s="2633"/>
      <c r="R39" s="2634"/>
      <c r="S39" s="2588"/>
      <c r="T39" s="2588"/>
      <c r="U39" s="2588"/>
      <c r="V39" s="2596"/>
    </row>
    <row r="40" spans="1:23" s="2600" customFormat="1" ht="13.15" customHeight="1">
      <c r="A40" s="2735">
        <v>10</v>
      </c>
      <c r="B40" s="2677" t="s">
        <v>2413</v>
      </c>
      <c r="C40" s="2736" t="e">
        <f>C39+D39+E39</f>
        <v>#DIV/0!</v>
      </c>
      <c r="D40" s="2737"/>
      <c r="E40" s="2737"/>
      <c r="F40" s="2738"/>
      <c r="G40" s="2588"/>
      <c r="H40" s="2595"/>
      <c r="I40" s="2596"/>
      <c r="J40" s="3463"/>
      <c r="K40" s="3466"/>
      <c r="L40" s="2650" t="s">
        <v>2352</v>
      </c>
      <c r="M40" s="2651"/>
      <c r="N40" s="2651"/>
      <c r="O40" s="2652"/>
      <c r="P40" s="2652"/>
      <c r="Q40" s="2653"/>
      <c r="R40" s="2599">
        <f>SUM(R37:R39)</f>
        <v>0</v>
      </c>
      <c r="S40" s="2588"/>
      <c r="T40" s="2588"/>
      <c r="U40" s="2588"/>
      <c r="V40" s="2596"/>
    </row>
    <row r="41" spans="1:23" s="2600" customFormat="1" ht="13.15" customHeight="1" thickBot="1">
      <c r="A41" s="2739">
        <v>11</v>
      </c>
      <c r="B41" s="2740" t="s">
        <v>2414</v>
      </c>
      <c r="C41" s="2740" t="e">
        <f>ROUND(C40*10000/B4,0)</f>
        <v>#DIV/0!</v>
      </c>
      <c r="D41" s="2741"/>
      <c r="E41" s="2741"/>
      <c r="F41" s="2742"/>
      <c r="G41" s="2595"/>
      <c r="H41" s="2595"/>
      <c r="I41" s="2596"/>
      <c r="J41" s="2689">
        <v>2</v>
      </c>
      <c r="K41" s="2690" t="s">
        <v>2392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73">
        <v>3</v>
      </c>
      <c r="K42" s="2696" t="s">
        <v>2394</v>
      </c>
      <c r="L42" s="2697"/>
      <c r="M42" s="2698"/>
      <c r="N42" s="2699" t="s">
        <v>2395</v>
      </c>
      <c r="O42" s="2699" t="s">
        <v>2396</v>
      </c>
      <c r="P42" s="2700" t="s">
        <v>2397</v>
      </c>
      <c r="Q42" s="2700" t="s">
        <v>2398</v>
      </c>
      <c r="R42" s="2605" t="s">
        <v>2323</v>
      </c>
      <c r="S42" s="2639"/>
      <c r="T42" s="2639"/>
      <c r="U42" s="2588"/>
      <c r="V42" s="2596"/>
    </row>
    <row r="43" spans="1:23" ht="13.15" customHeight="1">
      <c r="A43" s="2600"/>
      <c r="B43" s="2600"/>
      <c r="C43" s="2600"/>
      <c r="D43" s="2600"/>
      <c r="E43" s="2600"/>
      <c r="F43" s="2600"/>
      <c r="I43" s="2583"/>
      <c r="J43" s="3474"/>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2401</v>
      </c>
      <c r="L44" s="2745" t="s">
        <v>2402</v>
      </c>
      <c r="M44" s="2711"/>
      <c r="N44" s="2745" t="s">
        <v>2403</v>
      </c>
      <c r="O44" s="2711"/>
      <c r="P44" s="2745" t="s">
        <v>2404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0" t="s">
        <v>1650</v>
      </c>
      <c r="B1" s="1721"/>
      <c r="C1" s="1721"/>
      <c r="D1" s="1721"/>
      <c r="E1" s="1722"/>
      <c r="F1" s="2475"/>
      <c r="G1" s="459"/>
      <c r="H1" s="459"/>
      <c r="I1" s="459"/>
      <c r="J1" s="459"/>
      <c r="K1" s="459"/>
      <c r="L1" s="459"/>
      <c r="M1" s="459"/>
      <c r="N1" s="459"/>
      <c r="O1" s="459"/>
      <c r="P1" s="459"/>
      <c r="Q1" s="459"/>
      <c r="R1" s="459"/>
      <c r="S1" s="459"/>
    </row>
    <row r="2" spans="1:22" ht="15.75">
      <c r="A2" s="1723" t="s">
        <v>1454</v>
      </c>
      <c r="B2" s="808">
        <f ca="1">SUMIF(B6:B13,"&lt;&gt;#ref!",B6:B13)</f>
        <v>1286.1396</v>
      </c>
      <c r="C2" s="1724" t="s">
        <v>1643</v>
      </c>
      <c r="D2" s="1725" t="s">
        <v>1644</v>
      </c>
      <c r="E2" s="2388">
        <f>SUM(E6:E13)</f>
        <v>444.03</v>
      </c>
      <c r="F2" s="2475"/>
      <c r="G2" s="459"/>
      <c r="H2" s="459"/>
      <c r="I2" s="459"/>
      <c r="J2" s="459"/>
      <c r="K2" s="459"/>
      <c r="L2" s="459"/>
      <c r="M2" s="459"/>
      <c r="N2" s="459"/>
      <c r="O2" s="459"/>
      <c r="P2" s="459"/>
      <c r="Q2" s="459"/>
      <c r="R2" s="459"/>
      <c r="S2" s="459"/>
    </row>
    <row r="3" spans="1:22" ht="15.75">
      <c r="A3" s="1723" t="s">
        <v>678</v>
      </c>
      <c r="B3" s="2382">
        <f ca="1">ROUND(B2*10000/E2,0)</f>
        <v>28965</v>
      </c>
      <c r="C3" s="1724" t="s">
        <v>1651</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1645</v>
      </c>
      <c r="B5" s="3475" t="s">
        <v>1646</v>
      </c>
      <c r="C5" s="3476"/>
      <c r="D5" s="2476"/>
      <c r="E5" s="1726" t="s">
        <v>1647</v>
      </c>
      <c r="F5" s="129" t="s">
        <v>1648</v>
      </c>
      <c r="G5" s="459"/>
      <c r="H5" s="459"/>
      <c r="I5" s="459"/>
      <c r="J5" s="459"/>
      <c r="K5" s="459"/>
      <c r="L5" s="459"/>
      <c r="M5" s="459"/>
      <c r="N5" s="459"/>
      <c r="O5" s="459"/>
      <c r="P5" s="459"/>
      <c r="Q5" s="459"/>
      <c r="R5" s="459"/>
      <c r="S5" s="459"/>
    </row>
    <row r="6" spans="1:22">
      <c r="A6" s="2385" t="str">
        <f>'数据-取费表'!AN6</f>
        <v>收益法-办公</v>
      </c>
      <c r="B6" s="2383">
        <f ca="1">IF(F6="是",'数据-取费表'!AO6,0)</f>
        <v>1265.9275</v>
      </c>
      <c r="C6" s="1724" t="s">
        <v>1643</v>
      </c>
      <c r="D6" s="2475"/>
      <c r="E6" s="2387">
        <f>IF(OR(A6=0,F6="否"),0,'数据-取费表'!K6+'数据-取费表'!S6)</f>
        <v>390.5</v>
      </c>
      <c r="F6" s="1727" t="s">
        <v>1649</v>
      </c>
      <c r="G6" s="459"/>
      <c r="H6" s="459"/>
      <c r="I6" s="459"/>
      <c r="J6" s="459"/>
      <c r="K6" s="459"/>
      <c r="L6" s="459"/>
      <c r="M6" s="459"/>
      <c r="N6" s="459"/>
      <c r="O6" s="459"/>
      <c r="P6" s="459"/>
      <c r="Q6" s="459"/>
      <c r="R6" s="459"/>
      <c r="S6" s="459"/>
    </row>
    <row r="7" spans="1:22">
      <c r="A7" s="2385">
        <f>'数据-取费表'!AN7</f>
        <v>0</v>
      </c>
      <c r="B7" s="2383" t="e">
        <f ca="1">IF(F7="是",'数据-取费表'!AO7,0)</f>
        <v>#REF!</v>
      </c>
      <c r="C7" s="1724" t="s">
        <v>1643</v>
      </c>
      <c r="D7" s="2475"/>
      <c r="E7" s="2387">
        <f>IF(OR(A7=0,F7="否"),0,'数据-取费表'!K7+'数据-取费表'!S7)</f>
        <v>0</v>
      </c>
      <c r="F7" s="1727" t="s">
        <v>1649</v>
      </c>
      <c r="G7" s="459"/>
      <c r="H7" s="459"/>
      <c r="I7" s="459"/>
      <c r="J7" s="459"/>
      <c r="K7" s="459"/>
      <c r="L7" s="459"/>
      <c r="M7" s="459"/>
      <c r="N7" s="459"/>
      <c r="O7" s="459"/>
      <c r="P7" s="459"/>
      <c r="Q7" s="459"/>
      <c r="R7" s="459"/>
      <c r="S7" s="459"/>
    </row>
    <row r="8" spans="1:22">
      <c r="A8" s="2385" t="str">
        <f>'数据-取费表'!AN8</f>
        <v>收益法-车位</v>
      </c>
      <c r="B8" s="2383">
        <f ca="1">IF(F8="是",'数据-取费表'!AO8,0)</f>
        <v>20.2121</v>
      </c>
      <c r="C8" s="1724" t="s">
        <v>1643</v>
      </c>
      <c r="D8" s="2475"/>
      <c r="E8" s="2387">
        <f>IF(OR(A8=0,F8="否"),0,'数据-取费表'!K8+'数据-取费表'!S8)</f>
        <v>53.53</v>
      </c>
      <c r="F8" s="1727" t="s">
        <v>1649</v>
      </c>
      <c r="G8" s="459"/>
      <c r="H8" s="459"/>
      <c r="I8" s="459"/>
      <c r="J8" s="459"/>
      <c r="K8" s="459"/>
      <c r="L8" s="459"/>
      <c r="M8" s="459"/>
      <c r="N8" s="459"/>
      <c r="O8" s="459"/>
      <c r="P8" s="459"/>
      <c r="Q8" s="459"/>
      <c r="R8" s="459"/>
      <c r="S8" s="459"/>
    </row>
    <row r="9" spans="1:22">
      <c r="A9" s="2385">
        <f>'数据-取费表'!AN9</f>
        <v>0</v>
      </c>
      <c r="B9" s="2383" t="e">
        <f ca="1">IF(F9="是",'数据-取费表'!AO9,0)</f>
        <v>#REF!</v>
      </c>
      <c r="C9" s="1724" t="s">
        <v>1643</v>
      </c>
      <c r="D9" s="2475"/>
      <c r="E9" s="2387">
        <f>IF(OR(A9=0,F9="否"),0,'数据-取费表'!K9+'数据-取费表'!S9)</f>
        <v>0</v>
      </c>
      <c r="F9" s="1727" t="s">
        <v>1649</v>
      </c>
      <c r="G9" s="459"/>
      <c r="H9" s="459"/>
      <c r="I9" s="459"/>
      <c r="J9" s="459"/>
      <c r="K9" s="459"/>
      <c r="L9" s="459"/>
      <c r="M9" s="459"/>
      <c r="N9" s="459"/>
      <c r="O9" s="459"/>
      <c r="P9" s="459"/>
      <c r="Q9" s="459"/>
      <c r="R9" s="459"/>
      <c r="S9" s="459"/>
    </row>
    <row r="10" spans="1:22">
      <c r="A10" s="2385">
        <f>'数据-取费表'!AN10</f>
        <v>0</v>
      </c>
      <c r="B10" s="2383" t="e">
        <f ca="1">IF(F10="是",'数据-取费表'!AO10,0)</f>
        <v>#REF!</v>
      </c>
      <c r="C10" s="1724" t="s">
        <v>1643</v>
      </c>
      <c r="D10" s="2475"/>
      <c r="E10" s="2387">
        <f>IF(OR(A10=0,F10="否"),0,'数据-取费表'!K10+'数据-取费表'!S10)</f>
        <v>0</v>
      </c>
      <c r="F10" s="1727" t="s">
        <v>1649</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4" t="s">
        <v>1643</v>
      </c>
      <c r="D11" s="2475"/>
      <c r="E11" s="2387">
        <f>IF(OR(A11=0,F11="否"),0,'数据-取费表'!K11+'数据-取费表'!S11)</f>
        <v>0</v>
      </c>
      <c r="F11" s="1727" t="s">
        <v>1649</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4" t="s">
        <v>1643</v>
      </c>
      <c r="D12" s="2475"/>
      <c r="E12" s="2387">
        <f>IF(OR(A12=0,F12="否"),0,'数据-取费表'!K12+'数据-取费表'!S12)</f>
        <v>0</v>
      </c>
      <c r="F12" s="1727" t="s">
        <v>1649</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8" t="s">
        <v>1643</v>
      </c>
      <c r="D13" s="2477"/>
      <c r="E13" s="2387">
        <f>IF(OR(A13=0,F13="否"),0,'数据-取费表'!K13+'数据-取费表'!S13)</f>
        <v>0</v>
      </c>
      <c r="F13" s="1727" t="s">
        <v>1649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1653</v>
      </c>
      <c r="C1" s="1151" t="s">
        <v>1654</v>
      </c>
      <c r="D1" s="1138"/>
      <c r="E1" s="3120"/>
      <c r="F1" s="1730"/>
      <c r="G1" s="1148" t="s">
        <v>1655</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8" customFormat="1" ht="28.5" customHeight="1" thickTop="1">
      <c r="A2" s="1134" t="s">
        <v>677</v>
      </c>
      <c r="B2" s="312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1656</v>
      </c>
      <c r="F2" s="1734"/>
      <c r="G2" s="851"/>
      <c r="H2" s="851"/>
      <c r="I2" s="851"/>
      <c r="J2" s="851"/>
      <c r="K2" s="1735"/>
      <c r="L2" s="2480"/>
      <c r="M2" s="2481"/>
      <c r="N2" s="2481"/>
      <c r="O2" s="2481"/>
      <c r="P2" s="1736"/>
      <c r="Q2" s="1737"/>
      <c r="R2" s="1737"/>
      <c r="S2" s="1737"/>
      <c r="T2" s="1737"/>
      <c r="U2" s="1737"/>
      <c r="V2" s="1737"/>
      <c r="W2" s="1737"/>
      <c r="X2" s="1737"/>
      <c r="Y2" s="1737"/>
      <c r="Z2" s="1737"/>
      <c r="AA2" s="1737"/>
      <c r="AB2" s="1737"/>
      <c r="AC2" s="994"/>
    </row>
    <row r="3" spans="1:29" s="338" customFormat="1" ht="28.5" customHeight="1" thickBot="1">
      <c r="A3" s="195" t="s">
        <v>678</v>
      </c>
      <c r="B3" s="343">
        <f>IF(C2="——",C49,ROUND(B2*10000/D3,0))</f>
        <v>0</v>
      </c>
      <c r="C3" s="344" t="s">
        <v>1657</v>
      </c>
      <c r="D3" s="343">
        <f>IF(D1="",'数据-汇总表'!E3,SUMIF('数据-汇总表'!$C19:$C33,D1,'数据-汇总表'!$E19:$E33))</f>
        <v>2178.63</v>
      </c>
      <c r="E3" s="851"/>
      <c r="F3" s="1738"/>
      <c r="G3" s="851"/>
      <c r="H3" s="851"/>
      <c r="I3" s="851"/>
      <c r="J3" s="851"/>
      <c r="K3" s="1735"/>
      <c r="L3" s="2480"/>
      <c r="M3" s="2481"/>
      <c r="N3" s="2481"/>
      <c r="O3" s="2481"/>
      <c r="P3" s="1736"/>
      <c r="Q3" s="1737"/>
      <c r="R3" s="1737"/>
      <c r="S3" s="1737"/>
      <c r="T3" s="1737"/>
      <c r="U3" s="1737"/>
      <c r="V3" s="1737"/>
      <c r="W3" s="1737"/>
      <c r="X3" s="1737"/>
      <c r="Y3" s="1737"/>
      <c r="Z3" s="1737"/>
      <c r="AA3" s="1737"/>
      <c r="AB3" s="1737"/>
      <c r="AC3" s="994"/>
    </row>
    <row r="4" spans="1:29" ht="15">
      <c r="A4" s="345" t="s">
        <v>1658</v>
      </c>
      <c r="B4" s="346"/>
      <c r="C4" s="3391" t="s">
        <v>1659</v>
      </c>
      <c r="D4" s="3392"/>
      <c r="E4" s="3393" t="s">
        <v>1660</v>
      </c>
      <c r="F4" s="3394"/>
      <c r="G4" s="3391" t="s">
        <v>1661</v>
      </c>
      <c r="H4" s="3392"/>
      <c r="I4" s="3391" t="s">
        <v>1662</v>
      </c>
      <c r="J4" s="3392"/>
      <c r="K4" s="1739" t="s">
        <v>1663</v>
      </c>
      <c r="L4" s="2482"/>
      <c r="M4" s="2483"/>
      <c r="N4" s="2483"/>
      <c r="O4" s="2483"/>
      <c r="P4" s="3429" t="s">
        <v>1664</v>
      </c>
      <c r="Q4" s="3430"/>
      <c r="R4" s="3427" t="s">
        <v>1660</v>
      </c>
      <c r="S4" s="3428"/>
      <c r="T4" s="3427" t="s">
        <v>1661</v>
      </c>
      <c r="U4" s="3428"/>
      <c r="V4" s="3404" t="s">
        <v>1662</v>
      </c>
      <c r="W4" s="3404"/>
      <c r="X4" s="1261"/>
      <c r="Y4" s="3427" t="s">
        <v>1664</v>
      </c>
      <c r="Z4" s="3428"/>
      <c r="AA4" s="3426" t="s">
        <v>1660</v>
      </c>
      <c r="AB4" s="3426" t="s">
        <v>1661</v>
      </c>
      <c r="AC4" s="3426" t="s">
        <v>1662</v>
      </c>
    </row>
    <row r="5" spans="1:29" ht="15">
      <c r="A5" s="348"/>
      <c r="B5" s="349"/>
      <c r="C5" s="3380" t="s">
        <v>1665</v>
      </c>
      <c r="D5" s="3381"/>
      <c r="E5" s="3477" t="s">
        <v>1666</v>
      </c>
      <c r="F5" s="3379"/>
      <c r="G5" s="3380" t="s">
        <v>1667</v>
      </c>
      <c r="H5" s="3381"/>
      <c r="I5" s="3380" t="s">
        <v>1668</v>
      </c>
      <c r="J5" s="3381"/>
      <c r="K5" s="1740"/>
      <c r="L5" s="2482"/>
      <c r="M5" s="2483"/>
      <c r="N5" s="2483"/>
      <c r="O5" s="2483"/>
      <c r="P5" s="3431"/>
      <c r="Q5" s="3398"/>
      <c r="R5" s="3376"/>
      <c r="S5" s="3377"/>
      <c r="T5" s="3376"/>
      <c r="U5" s="3377"/>
      <c r="V5" s="3404"/>
      <c r="W5" s="3404"/>
      <c r="X5" s="1261"/>
      <c r="Y5" s="3376"/>
      <c r="Z5" s="3377"/>
      <c r="AA5" s="3370"/>
      <c r="AB5" s="3370"/>
      <c r="AC5" s="3370"/>
    </row>
    <row r="6" spans="1:29" ht="15.75" thickBot="1">
      <c r="A6" s="350"/>
      <c r="B6" s="351"/>
      <c r="C6" s="3382" t="s">
        <v>1669</v>
      </c>
      <c r="D6" s="3383"/>
      <c r="E6" s="3385" t="s">
        <v>1669</v>
      </c>
      <c r="F6" s="3386"/>
      <c r="G6" s="3382" t="s">
        <v>1669</v>
      </c>
      <c r="H6" s="3383"/>
      <c r="I6" s="3382" t="s">
        <v>1669</v>
      </c>
      <c r="J6" s="3383"/>
      <c r="K6" s="1740" t="s">
        <v>1670</v>
      </c>
      <c r="L6" s="2482"/>
      <c r="M6" s="2483"/>
      <c r="N6" s="2483"/>
      <c r="O6" s="2483"/>
      <c r="P6" s="3432"/>
      <c r="Q6" s="3400"/>
      <c r="R6" s="3376"/>
      <c r="S6" s="3377"/>
      <c r="T6" s="3401"/>
      <c r="U6" s="3402"/>
      <c r="V6" s="3404"/>
      <c r="W6" s="3404"/>
      <c r="X6" s="1261"/>
      <c r="Y6" s="3401"/>
      <c r="Z6" s="3402"/>
      <c r="AA6" s="3371"/>
      <c r="AB6" s="3371"/>
      <c r="AC6" s="3371"/>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1741"/>
      <c r="L7" s="2484"/>
      <c r="M7" s="2435"/>
      <c r="N7" s="2435"/>
      <c r="O7" s="2435"/>
      <c r="P7" s="3372" t="s">
        <v>1672</v>
      </c>
      <c r="Q7" s="3406"/>
      <c r="R7" s="664" t="s">
        <v>20</v>
      </c>
      <c r="S7" s="665">
        <f t="shared" ref="S7:S15" si="0">F7</f>
        <v>0</v>
      </c>
      <c r="T7" s="664" t="s">
        <v>20</v>
      </c>
      <c r="U7" s="665">
        <f t="shared" ref="U7:U15" si="1">H7</f>
        <v>0</v>
      </c>
      <c r="V7" s="664" t="s">
        <v>20</v>
      </c>
      <c r="W7" s="665">
        <f t="shared" ref="W7:W15" si="2">J7</f>
        <v>0</v>
      </c>
      <c r="X7" s="666"/>
      <c r="Y7" s="3372" t="s">
        <v>1672</v>
      </c>
      <c r="Z7" s="3373"/>
      <c r="AA7" s="50" t="e">
        <f>D7/F7</f>
        <v>#DIV/0!</v>
      </c>
      <c r="AB7" s="50" t="e">
        <f>D7/H7</f>
        <v>#DIV/0!</v>
      </c>
      <c r="AC7" s="50" t="e">
        <f>D7/J7</f>
        <v>#DIV/0!</v>
      </c>
    </row>
    <row r="8" spans="1:29" s="102" customFormat="1" ht="15.75" thickBot="1">
      <c r="A8" s="352" t="s">
        <v>1673</v>
      </c>
      <c r="B8" s="353"/>
      <c r="C8" s="358"/>
      <c r="D8" s="355">
        <v>100</v>
      </c>
      <c r="E8" s="1742"/>
      <c r="F8" s="357">
        <f>SUMIF(61:61,E8,62:62)-SUMIF(61:61,C8,62:62)+100</f>
        <v>100</v>
      </c>
      <c r="G8" s="358"/>
      <c r="H8" s="355">
        <f>SUMIF(61:61,G8,62:62)-SUMIF(61:61,C8,62:62)+100</f>
        <v>100</v>
      </c>
      <c r="I8" s="1742"/>
      <c r="J8" s="355">
        <f>SUMIF(61:61,I8,62:62)-SUMIF(61:61,C8,62:62)+100</f>
        <v>100</v>
      </c>
      <c r="K8" s="1741"/>
      <c r="L8" s="2484"/>
      <c r="M8" s="2435"/>
      <c r="N8" s="2435"/>
      <c r="O8" s="2435"/>
      <c r="P8" s="3372" t="s">
        <v>1675</v>
      </c>
      <c r="Q8" s="3373"/>
      <c r="R8" s="664" t="s">
        <v>20</v>
      </c>
      <c r="S8" s="665">
        <f t="shared" si="0"/>
        <v>100</v>
      </c>
      <c r="T8" s="664" t="s">
        <v>20</v>
      </c>
      <c r="U8" s="665">
        <f t="shared" si="1"/>
        <v>100</v>
      </c>
      <c r="V8" s="664" t="s">
        <v>20</v>
      </c>
      <c r="W8" s="665">
        <f t="shared" si="2"/>
        <v>100</v>
      </c>
      <c r="X8" s="666"/>
      <c r="Y8" s="3372" t="s">
        <v>1675</v>
      </c>
      <c r="Z8" s="3373"/>
      <c r="AA8" s="50">
        <f t="shared" ref="AA8:AA19" si="3">D8/F8</f>
        <v>1</v>
      </c>
      <c r="AB8" s="50">
        <f t="shared" ref="AB8:AB19" si="4">D8/H8</f>
        <v>1</v>
      </c>
      <c r="AC8" s="50">
        <f t="shared" ref="AC8:AC19" si="5">D8/J8</f>
        <v>1</v>
      </c>
    </row>
    <row r="9" spans="1:29" s="102" customFormat="1">
      <c r="A9" s="359" t="s">
        <v>1676</v>
      </c>
      <c r="B9" s="60" t="s">
        <v>1677</v>
      </c>
      <c r="C9" s="360"/>
      <c r="D9" s="59">
        <v>100</v>
      </c>
      <c r="E9" s="361"/>
      <c r="F9" s="60">
        <f>SUMIF(63:63,E9,64:64)-SUMIF(63:63,C9,64:64)+100</f>
        <v>100</v>
      </c>
      <c r="G9" s="362"/>
      <c r="H9" s="59">
        <f>SUMIF(63:63,G9,64:64)-SUMIF(63:63,C9,64:64)+100</f>
        <v>100</v>
      </c>
      <c r="I9" s="362"/>
      <c r="J9" s="59">
        <f>SUMIF(63:63,I9,64:64)-SUMIF(63:63,C9,64:64)+100</f>
        <v>100</v>
      </c>
      <c r="K9" s="1741"/>
      <c r="L9" s="2484"/>
      <c r="M9" s="2435"/>
      <c r="N9" s="2435"/>
      <c r="O9" s="2435"/>
      <c r="P9" s="3387" t="s">
        <v>1678</v>
      </c>
      <c r="Q9" s="530" t="str">
        <f t="shared" ref="Q9:Q15" si="6">B9</f>
        <v>用途</v>
      </c>
      <c r="R9" s="664" t="s">
        <v>14</v>
      </c>
      <c r="S9" s="665">
        <f t="shared" si="0"/>
        <v>100</v>
      </c>
      <c r="T9" s="664" t="s">
        <v>14</v>
      </c>
      <c r="U9" s="665">
        <f t="shared" si="1"/>
        <v>100</v>
      </c>
      <c r="V9" s="664" t="s">
        <v>14</v>
      </c>
      <c r="W9" s="665">
        <f t="shared" si="2"/>
        <v>100</v>
      </c>
      <c r="X9" s="666"/>
      <c r="Y9" s="3276"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1741"/>
      <c r="L10" s="2485"/>
      <c r="M10" s="2486"/>
      <c r="N10" s="2486"/>
      <c r="O10" s="2486"/>
      <c r="P10" s="3387"/>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87"/>
      <c r="Q11" s="530" t="str">
        <f t="shared" si="6"/>
        <v>容积率</v>
      </c>
      <c r="R11" s="664" t="s">
        <v>18</v>
      </c>
      <c r="S11" s="665" t="e">
        <f t="shared" si="0"/>
        <v>#N/A</v>
      </c>
      <c r="T11" s="664" t="s">
        <v>18</v>
      </c>
      <c r="U11" s="665" t="e">
        <f t="shared" si="1"/>
        <v>#N/A</v>
      </c>
      <c r="V11" s="664" t="s">
        <v>18</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4"/>
      <c r="M12" s="2435"/>
      <c r="N12" s="2435"/>
      <c r="O12" s="2435"/>
      <c r="P12" s="3387"/>
      <c r="Q12" s="530">
        <f t="shared" si="6"/>
        <v>111</v>
      </c>
      <c r="R12" s="664" t="s">
        <v>18</v>
      </c>
      <c r="S12" s="665">
        <f t="shared" si="0"/>
        <v>100</v>
      </c>
      <c r="T12" s="664" t="s">
        <v>18</v>
      </c>
      <c r="U12" s="665">
        <f t="shared" si="1"/>
        <v>100</v>
      </c>
      <c r="V12" s="664" t="s">
        <v>18</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8"/>
      <c r="M13" s="2483"/>
      <c r="N13" s="2483"/>
      <c r="O13" s="2483"/>
      <c r="P13" s="3387"/>
      <c r="Q13" s="530">
        <f t="shared" si="6"/>
        <v>111</v>
      </c>
      <c r="R13" s="664" t="s">
        <v>18</v>
      </c>
      <c r="S13" s="665">
        <f t="shared" si="0"/>
        <v>100</v>
      </c>
      <c r="T13" s="664" t="s">
        <v>18</v>
      </c>
      <c r="U13" s="665">
        <f t="shared" si="1"/>
        <v>100</v>
      </c>
      <c r="V13" s="664" t="s">
        <v>18</v>
      </c>
      <c r="W13" s="665">
        <f t="shared" si="2"/>
        <v>100</v>
      </c>
      <c r="X13" s="666"/>
      <c r="Y13" s="3276"/>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8"/>
      <c r="M14" s="2483"/>
      <c r="N14" s="2483"/>
      <c r="O14" s="2483"/>
      <c r="P14" s="3387"/>
      <c r="Q14" s="530">
        <f t="shared" si="6"/>
        <v>111</v>
      </c>
      <c r="R14" s="664" t="s">
        <v>18</v>
      </c>
      <c r="S14" s="665">
        <f t="shared" si="0"/>
        <v>100</v>
      </c>
      <c r="T14" s="664" t="s">
        <v>18</v>
      </c>
      <c r="U14" s="665">
        <f t="shared" si="1"/>
        <v>100</v>
      </c>
      <c r="V14" s="664" t="s">
        <v>18</v>
      </c>
      <c r="W14" s="665">
        <f t="shared" si="2"/>
        <v>100</v>
      </c>
      <c r="X14" s="666"/>
      <c r="Y14" s="3276"/>
      <c r="Z14" s="50">
        <f t="shared" si="7"/>
        <v>111</v>
      </c>
      <c r="AA14" s="50">
        <f t="shared" si="3"/>
        <v>1</v>
      </c>
      <c r="AB14" s="50">
        <f t="shared" si="4"/>
        <v>1</v>
      </c>
      <c r="AC14" s="50">
        <f t="shared" si="5"/>
        <v>1</v>
      </c>
    </row>
    <row r="15" spans="1:29" ht="15">
      <c r="A15" s="379" t="s">
        <v>1682</v>
      </c>
      <c r="B15" s="58" t="s">
        <v>1249</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07" t="s">
        <v>1683</v>
      </c>
      <c r="Q15" s="1259" t="str">
        <f t="shared" si="6"/>
        <v>居住社区成熟度</v>
      </c>
      <c r="R15" s="667" t="s">
        <v>18</v>
      </c>
      <c r="S15" s="668">
        <f t="shared" si="0"/>
        <v>100</v>
      </c>
      <c r="T15" s="667" t="s">
        <v>18</v>
      </c>
      <c r="U15" s="668">
        <f t="shared" si="1"/>
        <v>100</v>
      </c>
      <c r="V15" s="667" t="s">
        <v>18</v>
      </c>
      <c r="W15" s="668">
        <f t="shared" si="2"/>
        <v>100</v>
      </c>
      <c r="X15" s="1261"/>
      <c r="Y15" s="3409" t="s">
        <v>1683</v>
      </c>
      <c r="Z15" s="1260" t="str">
        <f t="shared" si="7"/>
        <v>居住社区成熟度</v>
      </c>
      <c r="AA15" s="1260">
        <f t="shared" si="3"/>
        <v>1</v>
      </c>
      <c r="AB15" s="1260">
        <f t="shared" si="4"/>
        <v>1</v>
      </c>
      <c r="AC15" s="1260">
        <f t="shared" si="5"/>
        <v>1</v>
      </c>
    </row>
    <row r="16" spans="1:29" ht="15">
      <c r="A16" s="367"/>
      <c r="B16" s="385"/>
      <c r="C16" s="386"/>
      <c r="D16" s="387"/>
      <c r="E16" s="1746"/>
      <c r="F16" s="387"/>
      <c r="G16" s="1747"/>
      <c r="H16" s="389"/>
      <c r="I16" s="1747"/>
      <c r="J16" s="387"/>
      <c r="K16" s="1748"/>
      <c r="L16" s="2488"/>
      <c r="M16" s="2483"/>
      <c r="N16" s="2483"/>
      <c r="O16" s="2483"/>
      <c r="P16" s="3408"/>
      <c r="Q16" s="1259"/>
      <c r="R16" s="667"/>
      <c r="S16" s="668"/>
      <c r="T16" s="667"/>
      <c r="U16" s="668"/>
      <c r="V16" s="667"/>
      <c r="W16" s="668"/>
      <c r="X16" s="1261"/>
      <c r="Y16" s="3410"/>
      <c r="Z16" s="1260"/>
      <c r="AA16" s="1260">
        <v>1</v>
      </c>
      <c r="AB16" s="1260">
        <v>1</v>
      </c>
      <c r="AC16" s="1260">
        <v>1</v>
      </c>
    </row>
    <row r="17" spans="1:29" ht="15">
      <c r="A17" s="367"/>
      <c r="B17" s="390" t="s">
        <v>1251</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08"/>
      <c r="Q17" s="1259" t="str">
        <f>B17</f>
        <v>交通便捷度</v>
      </c>
      <c r="R17" s="667" t="s">
        <v>18</v>
      </c>
      <c r="S17" s="668">
        <f>F17</f>
        <v>100</v>
      </c>
      <c r="T17" s="667" t="s">
        <v>18</v>
      </c>
      <c r="U17" s="668">
        <f>H17</f>
        <v>100</v>
      </c>
      <c r="V17" s="667" t="s">
        <v>18</v>
      </c>
      <c r="W17" s="668">
        <f>J17</f>
        <v>100</v>
      </c>
      <c r="X17" s="1261"/>
      <c r="Y17" s="3410"/>
      <c r="Z17" s="1260" t="str">
        <f>Q17</f>
        <v>交通便捷度</v>
      </c>
      <c r="AA17" s="1260">
        <f t="shared" si="3"/>
        <v>1</v>
      </c>
      <c r="AB17" s="1260">
        <f t="shared" si="4"/>
        <v>1</v>
      </c>
      <c r="AC17" s="1260">
        <f t="shared" si="5"/>
        <v>1</v>
      </c>
    </row>
    <row r="18" spans="1:29" ht="15">
      <c r="A18" s="367"/>
      <c r="B18" s="395"/>
      <c r="C18" s="1750"/>
      <c r="D18" s="389"/>
      <c r="E18" s="1751"/>
      <c r="F18" s="389"/>
      <c r="G18" s="1752"/>
      <c r="H18" s="387"/>
      <c r="I18" s="1752"/>
      <c r="J18" s="387"/>
      <c r="K18" s="1748"/>
      <c r="L18" s="2488"/>
      <c r="M18" s="2483"/>
      <c r="N18" s="2483"/>
      <c r="O18" s="2483"/>
      <c r="P18" s="3408"/>
      <c r="Q18" s="1259"/>
      <c r="R18" s="667"/>
      <c r="S18" s="668"/>
      <c r="T18" s="667"/>
      <c r="U18" s="668"/>
      <c r="V18" s="667"/>
      <c r="W18" s="668"/>
      <c r="X18" s="1261"/>
      <c r="Y18" s="3410"/>
      <c r="Z18" s="1260"/>
      <c r="AA18" s="1260">
        <v>1</v>
      </c>
      <c r="AB18" s="1260">
        <v>1</v>
      </c>
      <c r="AC18" s="1260">
        <v>1</v>
      </c>
    </row>
    <row r="19" spans="1:29" ht="15">
      <c r="A19" s="367"/>
      <c r="B19" s="390" t="s">
        <v>1250</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08"/>
      <c r="Q19" s="1259" t="str">
        <f>B19</f>
        <v>公共配套设施</v>
      </c>
      <c r="R19" s="667" t="s">
        <v>18</v>
      </c>
      <c r="S19" s="668">
        <f>F19</f>
        <v>100</v>
      </c>
      <c r="T19" s="667" t="s">
        <v>18</v>
      </c>
      <c r="U19" s="668">
        <f>H19</f>
        <v>100</v>
      </c>
      <c r="V19" s="667" t="s">
        <v>18</v>
      </c>
      <c r="W19" s="668">
        <f>J19</f>
        <v>100</v>
      </c>
      <c r="X19" s="1261"/>
      <c r="Y19" s="3410"/>
      <c r="Z19" s="1260" t="str">
        <f>Q19</f>
        <v>公共配套设施</v>
      </c>
      <c r="AA19" s="1260">
        <f t="shared" si="3"/>
        <v>1</v>
      </c>
      <c r="AB19" s="1260">
        <f t="shared" si="4"/>
        <v>1</v>
      </c>
      <c r="AC19" s="1260">
        <f t="shared" si="5"/>
        <v>1</v>
      </c>
    </row>
    <row r="20" spans="1:29" ht="15">
      <c r="A20" s="367"/>
      <c r="B20" s="395"/>
      <c r="C20" s="386"/>
      <c r="D20" s="387"/>
      <c r="E20" s="1746"/>
      <c r="F20" s="387"/>
      <c r="G20" s="1747"/>
      <c r="H20" s="387"/>
      <c r="I20" s="1747"/>
      <c r="J20" s="387"/>
      <c r="K20" s="1748"/>
      <c r="L20" s="2488"/>
      <c r="M20" s="2483"/>
      <c r="N20" s="2483"/>
      <c r="O20" s="2483"/>
      <c r="P20" s="3408"/>
      <c r="Q20" s="1259"/>
      <c r="R20" s="667"/>
      <c r="S20" s="668"/>
      <c r="T20" s="667"/>
      <c r="U20" s="668"/>
      <c r="V20" s="667"/>
      <c r="W20" s="668"/>
      <c r="X20" s="1261"/>
      <c r="Y20" s="3410"/>
      <c r="Z20" s="1260"/>
      <c r="AA20" s="1260">
        <v>1</v>
      </c>
      <c r="AB20" s="1260">
        <v>1</v>
      </c>
      <c r="AC20" s="1260">
        <v>1</v>
      </c>
    </row>
    <row r="21" spans="1:29" ht="15">
      <c r="A21" s="367"/>
      <c r="B21" s="586" t="s">
        <v>1252</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08"/>
      <c r="Q21" s="1259" t="str">
        <f>B21</f>
        <v>基础设施水平</v>
      </c>
      <c r="R21" s="667" t="s">
        <v>14</v>
      </c>
      <c r="S21" s="668">
        <f>F21</f>
        <v>100</v>
      </c>
      <c r="T21" s="667" t="s">
        <v>14</v>
      </c>
      <c r="U21" s="668">
        <f>H21</f>
        <v>100</v>
      </c>
      <c r="V21" s="667" t="s">
        <v>14</v>
      </c>
      <c r="W21" s="668">
        <f>J21</f>
        <v>100</v>
      </c>
      <c r="X21" s="1261"/>
      <c r="Y21" s="3410"/>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7"/>
      <c r="G22" s="1753"/>
      <c r="H22" s="387"/>
      <c r="I22" s="386"/>
      <c r="J22" s="387"/>
      <c r="K22" s="1754"/>
      <c r="L22" s="2488"/>
      <c r="M22" s="2483"/>
      <c r="N22" s="2483"/>
      <c r="O22" s="2483"/>
      <c r="P22" s="3408"/>
      <c r="Q22" s="1259"/>
      <c r="R22" s="667"/>
      <c r="S22" s="668"/>
      <c r="T22" s="667"/>
      <c r="U22" s="668"/>
      <c r="V22" s="667"/>
      <c r="W22" s="668"/>
      <c r="X22" s="1261"/>
      <c r="Y22" s="3410"/>
      <c r="Z22" s="1260"/>
      <c r="AA22" s="1260">
        <v>1</v>
      </c>
      <c r="AB22" s="1260">
        <v>1</v>
      </c>
      <c r="AC22" s="1260">
        <v>1</v>
      </c>
    </row>
    <row r="23" spans="1:29" ht="15">
      <c r="A23" s="367"/>
      <c r="B23" s="390" t="s">
        <v>1253</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08"/>
      <c r="Q23" s="1259" t="str">
        <f>B23</f>
        <v>自然及人文环境</v>
      </c>
      <c r="R23" s="667" t="s">
        <v>18</v>
      </c>
      <c r="S23" s="668">
        <f>F23</f>
        <v>100</v>
      </c>
      <c r="T23" s="667" t="s">
        <v>18</v>
      </c>
      <c r="U23" s="668">
        <f>H23</f>
        <v>100</v>
      </c>
      <c r="V23" s="667" t="s">
        <v>18</v>
      </c>
      <c r="W23" s="668">
        <f>J23</f>
        <v>100</v>
      </c>
      <c r="X23" s="1261"/>
      <c r="Y23" s="3410"/>
      <c r="Z23" s="1260" t="str">
        <f>Q23</f>
        <v>自然及人文环境</v>
      </c>
      <c r="AA23" s="1260">
        <f>D23/F23</f>
        <v>1</v>
      </c>
      <c r="AB23" s="1260">
        <f>D23/H23</f>
        <v>1</v>
      </c>
      <c r="AC23" s="1260">
        <f>D23/J23</f>
        <v>1</v>
      </c>
    </row>
    <row r="24" spans="1:29" ht="15">
      <c r="A24" s="367"/>
      <c r="B24" s="395"/>
      <c r="C24" s="386"/>
      <c r="D24" s="387"/>
      <c r="E24" s="1746"/>
      <c r="F24" s="387"/>
      <c r="G24" s="1747"/>
      <c r="H24" s="387"/>
      <c r="I24" s="1747"/>
      <c r="J24" s="387"/>
      <c r="K24" s="1748"/>
      <c r="L24" s="2488"/>
      <c r="M24" s="2483"/>
      <c r="N24" s="2483"/>
      <c r="O24" s="2483"/>
      <c r="P24" s="3408"/>
      <c r="Q24" s="1259"/>
      <c r="R24" s="667"/>
      <c r="S24" s="668"/>
      <c r="T24" s="667"/>
      <c r="U24" s="668"/>
      <c r="V24" s="667"/>
      <c r="W24" s="668"/>
      <c r="X24" s="1261"/>
      <c r="Y24" s="3410"/>
      <c r="Z24" s="1260"/>
      <c r="AA24" s="1260">
        <v>1</v>
      </c>
      <c r="AB24" s="1260">
        <v>1</v>
      </c>
      <c r="AC24" s="1260">
        <v>1</v>
      </c>
    </row>
    <row r="25" spans="1:29" ht="15">
      <c r="A25" s="367"/>
      <c r="B25" s="364" t="s">
        <v>1684</v>
      </c>
      <c r="C25" s="399"/>
      <c r="D25" s="374">
        <v>100</v>
      </c>
      <c r="E25" s="1755"/>
      <c r="F25" s="374">
        <f>SUMIF(86:86,E25,87:87)-SUMIF(86:86,C25,87:87)+100</f>
        <v>100</v>
      </c>
      <c r="G25" s="1756"/>
      <c r="H25" s="374">
        <f>SUMIF(86:86,G25,87:87)-SUMIF(86:86,C25,87:87)+100</f>
        <v>100</v>
      </c>
      <c r="I25" s="1756"/>
      <c r="J25" s="374">
        <f>SUMIF(86:86,I25,87:87)-SUMIF(86:86,C25,87:87)+100</f>
        <v>100</v>
      </c>
      <c r="K25" s="365"/>
      <c r="L25" s="2488"/>
      <c r="M25" s="2483"/>
      <c r="N25" s="2483"/>
      <c r="O25" s="2483"/>
      <c r="P25" s="3408"/>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410"/>
      <c r="Z25" s="1260" t="str">
        <f>Q25</f>
        <v>楼层-1</v>
      </c>
      <c r="AA25" s="1260">
        <f t="shared" ref="AA25:AA46" si="15">D25/F25</f>
        <v>1</v>
      </c>
      <c r="AB25" s="1260">
        <f t="shared" ref="AB25:AB46" si="16">D25/H25</f>
        <v>1</v>
      </c>
      <c r="AC25" s="1260">
        <f t="shared" ref="AC25:AC46" si="17">D25/J25</f>
        <v>1</v>
      </c>
    </row>
    <row r="26" spans="1:29" ht="15">
      <c r="A26" s="367"/>
      <c r="B26" s="364" t="s">
        <v>1685</v>
      </c>
      <c r="C26" s="399"/>
      <c r="D26" s="374">
        <v>100</v>
      </c>
      <c r="E26" s="1755"/>
      <c r="F26" s="374">
        <f>SUMIF(88:88,E26,89:89)-SUMIF(88:88,C26,89:89)+100</f>
        <v>100</v>
      </c>
      <c r="G26" s="1756"/>
      <c r="H26" s="374">
        <f>SUMIF(88:88,G26,89:89)-SUMIF(88:88,C26,89:89)+100</f>
        <v>100</v>
      </c>
      <c r="I26" s="1756"/>
      <c r="J26" s="374">
        <f>SUMIF(88:88,I26,89:89)-SUMIF(88:88,C26,89:89)+100</f>
        <v>100</v>
      </c>
      <c r="K26" s="365"/>
      <c r="L26" s="2488"/>
      <c r="M26" s="2483"/>
      <c r="N26" s="2483"/>
      <c r="O26" s="2483"/>
      <c r="P26" s="3408"/>
      <c r="Q26" s="1259" t="str">
        <f t="shared" si="11"/>
        <v>朝向</v>
      </c>
      <c r="R26" s="667" t="s">
        <v>18</v>
      </c>
      <c r="S26" s="668">
        <f t="shared" si="12"/>
        <v>100</v>
      </c>
      <c r="T26" s="667" t="s">
        <v>18</v>
      </c>
      <c r="U26" s="668">
        <f t="shared" si="13"/>
        <v>100</v>
      </c>
      <c r="V26" s="667" t="s">
        <v>18</v>
      </c>
      <c r="W26" s="668">
        <f t="shared" si="14"/>
        <v>100</v>
      </c>
      <c r="X26" s="1261"/>
      <c r="Y26" s="3410"/>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3"/>
      <c r="L27" s="2484"/>
      <c r="M27" s="2435"/>
      <c r="N27" s="2435"/>
      <c r="O27" s="2435"/>
      <c r="P27" s="3408"/>
      <c r="Q27" s="530">
        <f t="shared" si="11"/>
        <v>111</v>
      </c>
      <c r="R27" s="664" t="s">
        <v>18</v>
      </c>
      <c r="S27" s="665">
        <f t="shared" si="12"/>
        <v>100</v>
      </c>
      <c r="T27" s="664" t="s">
        <v>18</v>
      </c>
      <c r="U27" s="665">
        <f t="shared" si="13"/>
        <v>100</v>
      </c>
      <c r="V27" s="664" t="s">
        <v>18</v>
      </c>
      <c r="W27" s="665">
        <f t="shared" si="14"/>
        <v>100</v>
      </c>
      <c r="X27" s="666"/>
      <c r="Y27" s="3410"/>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7"/>
      <c r="H28" s="374">
        <f>SUMIF(92:92,G28,93:93)-SUMIF(92:92,C28,93:93)+100</f>
        <v>100</v>
      </c>
      <c r="I28" s="373"/>
      <c r="J28" s="374">
        <f>SUMIF(92:92,I28,93:93)-SUMIF(92:92,C28,93:93)+100</f>
        <v>100</v>
      </c>
      <c r="K28" s="1743"/>
      <c r="L28" s="2488"/>
      <c r="M28" s="2483"/>
      <c r="N28" s="2483"/>
      <c r="O28" s="2483"/>
      <c r="P28" s="3408"/>
      <c r="Q28" s="1259">
        <f t="shared" si="11"/>
        <v>111</v>
      </c>
      <c r="R28" s="667" t="s">
        <v>18</v>
      </c>
      <c r="S28" s="668">
        <f t="shared" si="12"/>
        <v>100</v>
      </c>
      <c r="T28" s="667" t="s">
        <v>18</v>
      </c>
      <c r="U28" s="668">
        <f t="shared" si="13"/>
        <v>100</v>
      </c>
      <c r="V28" s="667" t="s">
        <v>18</v>
      </c>
      <c r="W28" s="668">
        <f t="shared" si="14"/>
        <v>100</v>
      </c>
      <c r="X28" s="1261"/>
      <c r="Y28" s="3410"/>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7"/>
      <c r="H29" s="374">
        <f>SUMIF(94:94,G29,95:95)-SUMIF(94:94,C29,95:95)+100</f>
        <v>100</v>
      </c>
      <c r="I29" s="373"/>
      <c r="J29" s="374">
        <f>SUMIF(94:94,I29,95:95)-SUMIF(94:94,C29,95:95)+100</f>
        <v>100</v>
      </c>
      <c r="K29" s="1743"/>
      <c r="L29" s="2488"/>
      <c r="M29" s="2483"/>
      <c r="N29" s="2483"/>
      <c r="O29" s="2483"/>
      <c r="P29" s="3408"/>
      <c r="Q29" s="1259">
        <f t="shared" si="11"/>
        <v>111</v>
      </c>
      <c r="R29" s="667" t="s">
        <v>18</v>
      </c>
      <c r="S29" s="668">
        <f t="shared" si="12"/>
        <v>100</v>
      </c>
      <c r="T29" s="667" t="s">
        <v>18</v>
      </c>
      <c r="U29" s="668">
        <f t="shared" si="13"/>
        <v>100</v>
      </c>
      <c r="V29" s="667" t="s">
        <v>18</v>
      </c>
      <c r="W29" s="668">
        <f t="shared" si="14"/>
        <v>100</v>
      </c>
      <c r="X29" s="1261"/>
      <c r="Y29" s="3410"/>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7"/>
      <c r="H30" s="374">
        <f>SUMIF(96:96,G30,97:97)-SUMIF(96:96,C30,97:97)+100</f>
        <v>100</v>
      </c>
      <c r="I30" s="373"/>
      <c r="J30" s="374">
        <f>SUMIF(96:96,I30,97:97)-SUMIF(96:96,C30,97:97)+100</f>
        <v>100</v>
      </c>
      <c r="K30" s="1743"/>
      <c r="L30" s="2488"/>
      <c r="M30" s="2483"/>
      <c r="N30" s="2483"/>
      <c r="O30" s="2483"/>
      <c r="P30" s="3408"/>
      <c r="Q30" s="1259">
        <f t="shared" si="11"/>
        <v>111</v>
      </c>
      <c r="R30" s="667" t="s">
        <v>18</v>
      </c>
      <c r="S30" s="668">
        <f t="shared" si="12"/>
        <v>100</v>
      </c>
      <c r="T30" s="667" t="s">
        <v>18</v>
      </c>
      <c r="U30" s="668">
        <f t="shared" si="13"/>
        <v>100</v>
      </c>
      <c r="V30" s="667" t="s">
        <v>18</v>
      </c>
      <c r="W30" s="668">
        <f t="shared" si="14"/>
        <v>100</v>
      </c>
      <c r="X30" s="1261"/>
      <c r="Y30" s="3410"/>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8"/>
      <c r="H31" s="377">
        <f>SUMIF(98:98,G31,99:99)-SUMIF(98:98,C31,99:99)+100</f>
        <v>100</v>
      </c>
      <c r="I31" s="376"/>
      <c r="J31" s="377">
        <f>SUMIF(98:98,I31,99:99)-SUMIF(98:98,C31,99:99)+100</f>
        <v>100</v>
      </c>
      <c r="K31" s="1743"/>
      <c r="L31" s="2488"/>
      <c r="M31" s="2483"/>
      <c r="N31" s="2483"/>
      <c r="O31" s="2483"/>
      <c r="P31" s="3408"/>
      <c r="Q31" s="1259">
        <f t="shared" si="11"/>
        <v>111</v>
      </c>
      <c r="R31" s="667" t="s">
        <v>18</v>
      </c>
      <c r="S31" s="668">
        <f t="shared" si="12"/>
        <v>100</v>
      </c>
      <c r="T31" s="667" t="s">
        <v>18</v>
      </c>
      <c r="U31" s="668">
        <f t="shared" si="13"/>
        <v>100</v>
      </c>
      <c r="V31" s="667" t="s">
        <v>18</v>
      </c>
      <c r="W31" s="668">
        <f t="shared" si="14"/>
        <v>100</v>
      </c>
      <c r="X31" s="1261"/>
      <c r="Y31" s="3410"/>
      <c r="Z31" s="1260">
        <f t="shared" si="18"/>
        <v>111</v>
      </c>
      <c r="AA31" s="1260">
        <f t="shared" si="15"/>
        <v>1</v>
      </c>
      <c r="AB31" s="1260">
        <f t="shared" si="16"/>
        <v>1</v>
      </c>
      <c r="AC31" s="1260">
        <f t="shared" si="17"/>
        <v>1</v>
      </c>
    </row>
    <row r="32" spans="1:29" ht="15">
      <c r="A32" s="379" t="s">
        <v>1686</v>
      </c>
      <c r="B32" s="60" t="s">
        <v>1687</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8"/>
      <c r="M32" s="2483"/>
      <c r="N32" s="2483"/>
      <c r="O32" s="2483"/>
      <c r="P32" s="3411" t="s">
        <v>1688</v>
      </c>
      <c r="Q32" s="1259" t="str">
        <f t="shared" si="11"/>
        <v>建筑类型</v>
      </c>
      <c r="R32" s="667" t="s">
        <v>18</v>
      </c>
      <c r="S32" s="668">
        <f t="shared" si="12"/>
        <v>100</v>
      </c>
      <c r="T32" s="667" t="s">
        <v>18</v>
      </c>
      <c r="U32" s="668">
        <f t="shared" si="13"/>
        <v>100</v>
      </c>
      <c r="V32" s="667" t="s">
        <v>18</v>
      </c>
      <c r="W32" s="668">
        <f t="shared" si="14"/>
        <v>100</v>
      </c>
      <c r="X32" s="1261"/>
      <c r="Y32" s="3414" t="s">
        <v>1688</v>
      </c>
      <c r="Z32" s="1260" t="str">
        <f t="shared" si="18"/>
        <v>建筑类型</v>
      </c>
      <c r="AA32" s="1260">
        <f t="shared" si="15"/>
        <v>1</v>
      </c>
      <c r="AB32" s="1260">
        <f t="shared" si="16"/>
        <v>1</v>
      </c>
      <c r="AC32" s="1260">
        <f t="shared" si="17"/>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87"/>
      <c r="M33" s="2489"/>
      <c r="N33" s="2489"/>
      <c r="O33" s="2489"/>
      <c r="P33" s="3412"/>
      <c r="Q33" s="531" t="str">
        <f t="shared" si="11"/>
        <v>项目建筑规模</v>
      </c>
      <c r="R33" s="669" t="s">
        <v>18</v>
      </c>
      <c r="S33" s="670" t="e">
        <f t="shared" si="12"/>
        <v>#N/A</v>
      </c>
      <c r="T33" s="669" t="s">
        <v>18</v>
      </c>
      <c r="U33" s="670" t="e">
        <f t="shared" si="13"/>
        <v>#N/A</v>
      </c>
      <c r="V33" s="669" t="s">
        <v>18</v>
      </c>
      <c r="W33" s="670" t="e">
        <f t="shared" si="14"/>
        <v>#N/A</v>
      </c>
      <c r="X33" s="671"/>
      <c r="Y33" s="3414"/>
      <c r="Z33" s="672" t="str">
        <f t="shared" si="18"/>
        <v>项目建筑规模</v>
      </c>
      <c r="AA33" s="1260" t="e">
        <f t="shared" si="15"/>
        <v>#N/A</v>
      </c>
      <c r="AB33" s="1260" t="e">
        <f t="shared" si="16"/>
        <v>#N/A</v>
      </c>
      <c r="AC33" s="1260" t="e">
        <f t="shared" si="17"/>
        <v>#N/A</v>
      </c>
    </row>
    <row r="34" spans="1:29" ht="15">
      <c r="A34" s="409"/>
      <c r="B34" s="364" t="s">
        <v>1690</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8"/>
      <c r="M34" s="2483"/>
      <c r="N34" s="2483"/>
      <c r="O34" s="2483"/>
      <c r="P34" s="3412"/>
      <c r="Q34" s="1259" t="str">
        <f t="shared" si="11"/>
        <v>建筑结构</v>
      </c>
      <c r="R34" s="667" t="s">
        <v>18</v>
      </c>
      <c r="S34" s="668">
        <f t="shared" si="12"/>
        <v>100</v>
      </c>
      <c r="T34" s="667" t="s">
        <v>18</v>
      </c>
      <c r="U34" s="668">
        <f t="shared" si="13"/>
        <v>100</v>
      </c>
      <c r="V34" s="667" t="s">
        <v>18</v>
      </c>
      <c r="W34" s="668">
        <f t="shared" si="14"/>
        <v>100</v>
      </c>
      <c r="X34" s="1261"/>
      <c r="Y34" s="3414"/>
      <c r="Z34" s="1260" t="str">
        <f t="shared" si="18"/>
        <v>建筑结构</v>
      </c>
      <c r="AA34" s="1260">
        <f t="shared" si="15"/>
        <v>1</v>
      </c>
      <c r="AB34" s="1260">
        <f t="shared" si="16"/>
        <v>1</v>
      </c>
      <c r="AC34" s="1260">
        <f t="shared" si="17"/>
        <v>1</v>
      </c>
    </row>
    <row r="35" spans="1:29" ht="15">
      <c r="A35" s="409"/>
      <c r="B35" s="364" t="s">
        <v>1691</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8"/>
      <c r="M35" s="2483"/>
      <c r="N35" s="2483"/>
      <c r="O35" s="2483"/>
      <c r="P35" s="3412"/>
      <c r="Q35" s="1259" t="str">
        <f t="shared" si="11"/>
        <v>建筑品质</v>
      </c>
      <c r="R35" s="667" t="s">
        <v>18</v>
      </c>
      <c r="S35" s="668">
        <f t="shared" si="12"/>
        <v>100</v>
      </c>
      <c r="T35" s="667" t="s">
        <v>18</v>
      </c>
      <c r="U35" s="668">
        <f t="shared" si="13"/>
        <v>100</v>
      </c>
      <c r="V35" s="667" t="s">
        <v>18</v>
      </c>
      <c r="W35" s="668">
        <f t="shared" si="14"/>
        <v>100</v>
      </c>
      <c r="X35" s="1261"/>
      <c r="Y35" s="3414"/>
      <c r="Z35" s="1260" t="str">
        <f t="shared" si="18"/>
        <v>建筑品质</v>
      </c>
      <c r="AA35" s="1260">
        <f t="shared" si="15"/>
        <v>1</v>
      </c>
      <c r="AB35" s="1260">
        <f t="shared" si="16"/>
        <v>1</v>
      </c>
      <c r="AC35" s="1260">
        <f t="shared" si="17"/>
        <v>1</v>
      </c>
    </row>
    <row r="36" spans="1:29" ht="15">
      <c r="A36" s="409"/>
      <c r="B36" s="364" t="s">
        <v>1692</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8"/>
      <c r="M36" s="2483"/>
      <c r="N36" s="2483"/>
      <c r="O36" s="2483"/>
      <c r="P36" s="3412"/>
      <c r="Q36" s="1259" t="str">
        <f t="shared" si="11"/>
        <v>公共部分装修</v>
      </c>
      <c r="R36" s="667" t="s">
        <v>18</v>
      </c>
      <c r="S36" s="668">
        <f t="shared" si="12"/>
        <v>100</v>
      </c>
      <c r="T36" s="667" t="s">
        <v>18</v>
      </c>
      <c r="U36" s="668">
        <f t="shared" si="13"/>
        <v>100</v>
      </c>
      <c r="V36" s="667" t="s">
        <v>18</v>
      </c>
      <c r="W36" s="668">
        <f t="shared" si="14"/>
        <v>100</v>
      </c>
      <c r="X36" s="1261"/>
      <c r="Y36" s="3414"/>
      <c r="Z36" s="1260" t="str">
        <f t="shared" si="18"/>
        <v>公共部分装修</v>
      </c>
      <c r="AA36" s="1260">
        <f t="shared" si="15"/>
        <v>1</v>
      </c>
      <c r="AB36" s="1260">
        <f t="shared" si="16"/>
        <v>1</v>
      </c>
      <c r="AC36" s="1260">
        <f t="shared" si="17"/>
        <v>1</v>
      </c>
    </row>
    <row r="37" spans="1:29" s="102" customFormat="1" ht="15">
      <c r="A37" s="410"/>
      <c r="B37" s="364" t="s">
        <v>1693</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12"/>
      <c r="Q37" s="530" t="str">
        <f t="shared" si="11"/>
        <v>成新度</v>
      </c>
      <c r="R37" s="664" t="s">
        <v>18</v>
      </c>
      <c r="S37" s="665" t="e">
        <f t="shared" si="12"/>
        <v>#N/A</v>
      </c>
      <c r="T37" s="664" t="s">
        <v>18</v>
      </c>
      <c r="U37" s="665" t="e">
        <f t="shared" si="13"/>
        <v>#N/A</v>
      </c>
      <c r="V37" s="664" t="s">
        <v>18</v>
      </c>
      <c r="W37" s="665" t="e">
        <f t="shared" si="14"/>
        <v>#N/A</v>
      </c>
      <c r="X37" s="666"/>
      <c r="Y37" s="3414"/>
      <c r="Z37" s="50" t="str">
        <f t="shared" si="18"/>
        <v>成新度</v>
      </c>
      <c r="AA37" s="50" t="e">
        <f t="shared" si="15"/>
        <v>#N/A</v>
      </c>
      <c r="AB37" s="50" t="e">
        <f t="shared" si="16"/>
        <v>#N/A</v>
      </c>
      <c r="AC37" s="50" t="e">
        <f t="shared" si="17"/>
        <v>#N/A</v>
      </c>
    </row>
    <row r="38" spans="1:29" ht="15">
      <c r="A38" s="409"/>
      <c r="B38" s="364" t="s">
        <v>1694</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8"/>
      <c r="M38" s="2483"/>
      <c r="N38" s="2483"/>
      <c r="O38" s="2483"/>
      <c r="P38" s="3412" t="s">
        <v>1688</v>
      </c>
      <c r="Q38" s="1259" t="str">
        <f t="shared" si="11"/>
        <v>物业管理</v>
      </c>
      <c r="R38" s="667" t="s">
        <v>18</v>
      </c>
      <c r="S38" s="668">
        <f t="shared" si="12"/>
        <v>100</v>
      </c>
      <c r="T38" s="667" t="s">
        <v>18</v>
      </c>
      <c r="U38" s="668">
        <f t="shared" si="13"/>
        <v>100</v>
      </c>
      <c r="V38" s="667" t="s">
        <v>18</v>
      </c>
      <c r="W38" s="668">
        <f t="shared" si="14"/>
        <v>100</v>
      </c>
      <c r="X38" s="1261"/>
      <c r="Y38" s="3414" t="s">
        <v>1688</v>
      </c>
      <c r="Z38" s="1260" t="str">
        <f t="shared" si="18"/>
        <v>物业管理</v>
      </c>
      <c r="AA38" s="1260">
        <f t="shared" si="15"/>
        <v>1</v>
      </c>
      <c r="AB38" s="1260">
        <f t="shared" si="16"/>
        <v>1</v>
      </c>
      <c r="AC38" s="1260">
        <f t="shared" si="17"/>
        <v>1</v>
      </c>
    </row>
    <row r="39" spans="1:29" ht="15">
      <c r="A39" s="409"/>
      <c r="B39" s="364" t="s">
        <v>1695</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8"/>
      <c r="M39" s="2483"/>
      <c r="N39" s="2483"/>
      <c r="O39" s="2483"/>
      <c r="P39" s="3412"/>
      <c r="Q39" s="1259" t="str">
        <f t="shared" si="11"/>
        <v>市政基础设施</v>
      </c>
      <c r="R39" s="667" t="s">
        <v>18</v>
      </c>
      <c r="S39" s="668">
        <f t="shared" si="12"/>
        <v>100</v>
      </c>
      <c r="T39" s="667" t="s">
        <v>18</v>
      </c>
      <c r="U39" s="668">
        <f t="shared" si="13"/>
        <v>100</v>
      </c>
      <c r="V39" s="667" t="s">
        <v>18</v>
      </c>
      <c r="W39" s="668">
        <f t="shared" si="14"/>
        <v>100</v>
      </c>
      <c r="X39" s="1261"/>
      <c r="Y39" s="3414"/>
      <c r="Z39" s="1260" t="str">
        <f t="shared" si="18"/>
        <v>市政基础设施</v>
      </c>
      <c r="AA39" s="1260">
        <f t="shared" si="15"/>
        <v>1</v>
      </c>
      <c r="AB39" s="1260">
        <f t="shared" si="16"/>
        <v>1</v>
      </c>
      <c r="AC39" s="1260">
        <f t="shared" si="17"/>
        <v>1</v>
      </c>
    </row>
    <row r="40" spans="1:29" ht="15">
      <c r="A40" s="409"/>
      <c r="B40" s="364" t="s">
        <v>1696</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8"/>
      <c r="M40" s="2483"/>
      <c r="N40" s="2483"/>
      <c r="O40" s="2483"/>
      <c r="P40" s="3412"/>
      <c r="Q40" s="1259" t="str">
        <f t="shared" si="11"/>
        <v>房型</v>
      </c>
      <c r="R40" s="667" t="s">
        <v>18</v>
      </c>
      <c r="S40" s="668">
        <f t="shared" si="12"/>
        <v>100</v>
      </c>
      <c r="T40" s="667" t="s">
        <v>18</v>
      </c>
      <c r="U40" s="668">
        <f t="shared" si="13"/>
        <v>100</v>
      </c>
      <c r="V40" s="667" t="s">
        <v>18</v>
      </c>
      <c r="W40" s="668">
        <f t="shared" si="14"/>
        <v>100</v>
      </c>
      <c r="X40" s="1261"/>
      <c r="Y40" s="3414"/>
      <c r="Z40" s="1260" t="str">
        <f t="shared" si="18"/>
        <v>房型</v>
      </c>
      <c r="AA40" s="1260">
        <f t="shared" si="15"/>
        <v>1</v>
      </c>
      <c r="AB40" s="1260">
        <f t="shared" si="16"/>
        <v>1</v>
      </c>
      <c r="AC40" s="1260">
        <f t="shared" si="17"/>
        <v>1</v>
      </c>
    </row>
    <row r="41" spans="1:29" s="408" customFormat="1" ht="28.5">
      <c r="A41" s="406"/>
      <c r="B41" s="364" t="s">
        <v>1697</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7"/>
      <c r="M41" s="2489"/>
      <c r="N41" s="2489"/>
      <c r="O41" s="2489"/>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0">
        <f t="shared" si="15"/>
        <v>1</v>
      </c>
      <c r="AB41" s="1260">
        <f t="shared" si="16"/>
        <v>1</v>
      </c>
      <c r="AC41" s="1260">
        <f t="shared" si="17"/>
        <v>1</v>
      </c>
    </row>
    <row r="42" spans="1:29" ht="15">
      <c r="A42" s="409"/>
      <c r="B42" s="364" t="s">
        <v>1698</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8"/>
      <c r="M42" s="2483"/>
      <c r="N42" s="2483"/>
      <c r="O42" s="2483"/>
      <c r="P42" s="3412"/>
      <c r="Q42" s="1259" t="str">
        <f t="shared" si="11"/>
        <v>内部装修</v>
      </c>
      <c r="R42" s="667" t="s">
        <v>18</v>
      </c>
      <c r="S42" s="668">
        <f t="shared" si="12"/>
        <v>100</v>
      </c>
      <c r="T42" s="667" t="s">
        <v>18</v>
      </c>
      <c r="U42" s="668">
        <f t="shared" si="13"/>
        <v>100</v>
      </c>
      <c r="V42" s="667" t="s">
        <v>18</v>
      </c>
      <c r="W42" s="668">
        <f t="shared" si="14"/>
        <v>100</v>
      </c>
      <c r="X42" s="1261"/>
      <c r="Y42" s="3414"/>
      <c r="Z42" s="1260" t="str">
        <f t="shared" si="18"/>
        <v>内部装修</v>
      </c>
      <c r="AA42" s="1260">
        <f t="shared" si="15"/>
        <v>1</v>
      </c>
      <c r="AB42" s="1260">
        <f t="shared" si="16"/>
        <v>1</v>
      </c>
      <c r="AC42" s="1260">
        <f t="shared" si="17"/>
        <v>1</v>
      </c>
    </row>
    <row r="43" spans="1:29" ht="15">
      <c r="A43" s="409"/>
      <c r="B43" s="364" t="s">
        <v>1699</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8"/>
      <c r="M43" s="2483"/>
      <c r="N43" s="2483"/>
      <c r="O43" s="2483"/>
      <c r="P43" s="3412"/>
      <c r="Q43" s="1259" t="str">
        <f t="shared" si="11"/>
        <v>内部装修维护情况</v>
      </c>
      <c r="R43" s="667" t="s">
        <v>18</v>
      </c>
      <c r="S43" s="668">
        <f t="shared" si="12"/>
        <v>100</v>
      </c>
      <c r="T43" s="667" t="s">
        <v>18</v>
      </c>
      <c r="U43" s="668">
        <f t="shared" si="13"/>
        <v>100</v>
      </c>
      <c r="V43" s="667" t="s">
        <v>18</v>
      </c>
      <c r="W43" s="668">
        <f t="shared" si="14"/>
        <v>100</v>
      </c>
      <c r="X43" s="1261"/>
      <c r="Y43" s="3414"/>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4"/>
      <c r="M44" s="2435"/>
      <c r="N44" s="2435"/>
      <c r="O44" s="2435"/>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8"/>
      <c r="M45" s="2483"/>
      <c r="N45" s="2483"/>
      <c r="O45" s="2483"/>
      <c r="P45" s="3412"/>
      <c r="Q45" s="1259">
        <f t="shared" si="11"/>
        <v>111</v>
      </c>
      <c r="R45" s="667" t="s">
        <v>18</v>
      </c>
      <c r="S45" s="668">
        <f t="shared" si="12"/>
        <v>100</v>
      </c>
      <c r="T45" s="667" t="s">
        <v>18</v>
      </c>
      <c r="U45" s="668">
        <f t="shared" si="13"/>
        <v>100</v>
      </c>
      <c r="V45" s="667" t="s">
        <v>18</v>
      </c>
      <c r="W45" s="668">
        <f t="shared" si="14"/>
        <v>100</v>
      </c>
      <c r="X45" s="1261"/>
      <c r="Y45" s="3414"/>
      <c r="Z45" s="1260">
        <f t="shared" si="18"/>
        <v>111</v>
      </c>
      <c r="AA45" s="1260">
        <f t="shared" si="15"/>
        <v>1</v>
      </c>
      <c r="AB45" s="1260">
        <f t="shared" si="16"/>
        <v>1</v>
      </c>
      <c r="AC45" s="1260">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8"/>
      <c r="M46" s="2483"/>
      <c r="N46" s="2483"/>
      <c r="O46" s="2483"/>
      <c r="P46" s="3413"/>
      <c r="Q46" s="1259">
        <f t="shared" si="11"/>
        <v>111</v>
      </c>
      <c r="R46" s="667" t="s">
        <v>17</v>
      </c>
      <c r="S46" s="668">
        <f t="shared" si="12"/>
        <v>100</v>
      </c>
      <c r="T46" s="667" t="s">
        <v>17</v>
      </c>
      <c r="U46" s="668">
        <f t="shared" si="13"/>
        <v>100</v>
      </c>
      <c r="V46" s="667" t="s">
        <v>17</v>
      </c>
      <c r="W46" s="668">
        <f t="shared" si="14"/>
        <v>100</v>
      </c>
      <c r="X46" s="1261"/>
      <c r="Y46" s="3415"/>
      <c r="Z46" s="1260">
        <f t="shared" si="18"/>
        <v>111</v>
      </c>
      <c r="AA46" s="1260">
        <f t="shared" si="15"/>
        <v>1</v>
      </c>
      <c r="AB46" s="1260">
        <f t="shared" si="16"/>
        <v>1</v>
      </c>
      <c r="AC46" s="1260">
        <f t="shared" si="17"/>
        <v>1</v>
      </c>
    </row>
    <row r="47" spans="1:29" ht="15">
      <c r="A47" s="416" t="s">
        <v>1700</v>
      </c>
      <c r="B47" s="417"/>
      <c r="C47" s="1077" t="s">
        <v>16</v>
      </c>
      <c r="D47" s="418"/>
      <c r="E47" s="419"/>
      <c r="F47" s="420"/>
      <c r="G47" s="421"/>
      <c r="H47" s="422"/>
      <c r="I47" s="419"/>
      <c r="J47" s="422"/>
      <c r="K47" s="1762"/>
      <c r="L47" s="2490"/>
      <c r="M47" s="2483"/>
      <c r="N47" s="2483"/>
      <c r="O47" s="2483"/>
      <c r="P47" s="3416" t="str">
        <f>A47</f>
        <v>成交单价（元/平方米）</v>
      </c>
      <c r="Q47" s="3416"/>
      <c r="R47" s="3404">
        <f>E47</f>
        <v>0</v>
      </c>
      <c r="S47" s="3404"/>
      <c r="T47" s="3404">
        <f>G47</f>
        <v>0</v>
      </c>
      <c r="U47" s="3404"/>
      <c r="V47" s="3404">
        <f>I47</f>
        <v>0</v>
      </c>
      <c r="W47" s="3404"/>
      <c r="X47" s="385"/>
      <c r="Y47" s="673"/>
      <c r="Z47" s="385"/>
      <c r="AA47" s="385"/>
      <c r="AB47" s="385"/>
      <c r="AC47" s="385"/>
    </row>
    <row r="48" spans="1:29" ht="15.75" thickBot="1">
      <c r="A48" s="423" t="s">
        <v>1701</v>
      </c>
      <c r="B48" s="424"/>
      <c r="C48" s="1078" t="e">
        <f>R49</f>
        <v>#DIV/0!</v>
      </c>
      <c r="D48" s="2136" t="s">
        <v>2129</v>
      </c>
      <c r="E48" s="1079" t="e">
        <f>R48</f>
        <v>#DIV/0!</v>
      </c>
      <c r="F48" s="2137"/>
      <c r="G48" s="1078" t="e">
        <f>T48</f>
        <v>#DIV/0!</v>
      </c>
      <c r="H48" s="2137"/>
      <c r="I48" s="1079" t="e">
        <f>V48</f>
        <v>#DIV/0!</v>
      </c>
      <c r="J48" s="2137"/>
      <c r="K48" s="2138">
        <f>F48+H48+J48</f>
        <v>0</v>
      </c>
      <c r="L48" s="2490"/>
      <c r="M48" s="2483"/>
      <c r="N48" s="2483"/>
      <c r="O48" s="2483"/>
      <c r="P48" s="3416" t="str">
        <f>A48</f>
        <v>比较价值（元/平方米）</v>
      </c>
      <c r="Q48" s="3416"/>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1702</v>
      </c>
      <c r="B49" s="428"/>
      <c r="C49" s="1080" t="e">
        <f>R49</f>
        <v>#DIV/0!</v>
      </c>
      <c r="D49" s="351"/>
      <c r="E49" s="351"/>
      <c r="F49" s="351"/>
      <c r="G49" s="351"/>
      <c r="H49" s="351"/>
      <c r="I49" s="351"/>
      <c r="J49" s="351"/>
      <c r="K49" s="1763"/>
      <c r="L49" s="2490"/>
      <c r="M49" s="2483"/>
      <c r="N49" s="2483"/>
      <c r="O49" s="2483"/>
      <c r="P49" s="3434" t="str">
        <f>A49</f>
        <v>估价对象XX用房的比较价值（楼面单价，元/平方米）</v>
      </c>
      <c r="Q49" s="3435"/>
      <c r="R49" s="3478" t="e">
        <f>IF(F1="售价",ROUND(IF(D48="简单平均",AVERAGE(R48:V48),R48*F48+T48*H48+V48*J48),0),ROUND(IF(D48="简单平均",AVERAGE(R48:V48),R48*F48+T48*H48+V48*J48),1))</f>
        <v>#DIV/0!</v>
      </c>
      <c r="S49" s="3478"/>
      <c r="T49" s="3478"/>
      <c r="U49" s="3478"/>
      <c r="V49" s="3478"/>
      <c r="W49" s="347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1705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5"/>
    </row>
    <row r="55" spans="1:29" s="437"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8" t="s">
        <v>1706</v>
      </c>
      <c r="B57" s="385"/>
      <c r="C57" s="659"/>
      <c r="D57" s="659"/>
      <c r="E57" s="659"/>
      <c r="F57" s="660"/>
      <c r="G57" s="660"/>
      <c r="H57" s="659"/>
      <c r="I57" s="659"/>
      <c r="J57" s="659"/>
      <c r="K57" s="884"/>
      <c r="L57" s="885"/>
      <c r="M57" s="883"/>
      <c r="N57" s="883"/>
      <c r="O57" s="883"/>
      <c r="P57" s="1766"/>
      <c r="Q57" s="439"/>
    </row>
    <row r="58" spans="1:29" s="442" customFormat="1" ht="15">
      <c r="A58" s="440" t="s">
        <v>1707</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7"/>
      <c r="C59" s="1098">
        <v>100</v>
      </c>
      <c r="D59" s="445"/>
      <c r="E59" s="446"/>
      <c r="F59" s="446"/>
      <c r="G59" s="446"/>
      <c r="H59" s="446"/>
      <c r="I59" s="446"/>
      <c r="J59" s="446"/>
      <c r="K59" s="446"/>
      <c r="L59" s="446"/>
      <c r="M59" s="447"/>
      <c r="N59" s="446"/>
      <c r="O59" s="447"/>
      <c r="P59" s="1768"/>
    </row>
    <row r="60" spans="1:29" s="102" customFormat="1" ht="15.75" thickBot="1">
      <c r="A60" s="449" t="s">
        <v>1708</v>
      </c>
      <c r="B60" s="450"/>
      <c r="C60" s="451"/>
      <c r="D60" s="452"/>
      <c r="E60" s="452"/>
      <c r="F60" s="452"/>
      <c r="G60" s="452"/>
      <c r="H60" s="452"/>
      <c r="I60" s="452"/>
      <c r="J60" s="452"/>
      <c r="K60" s="452"/>
      <c r="L60" s="452"/>
      <c r="M60" s="453"/>
      <c r="N60" s="452"/>
      <c r="O60" s="453"/>
      <c r="P60" s="1768"/>
      <c r="Q60" s="439"/>
    </row>
    <row r="61" spans="1:29" s="102" customFormat="1" ht="15">
      <c r="A61" s="455" t="s">
        <v>1709</v>
      </c>
      <c r="B61" s="444"/>
      <c r="C61" s="456" t="s">
        <v>1710</v>
      </c>
      <c r="D61" s="31"/>
      <c r="E61" s="31"/>
      <c r="F61" s="31"/>
      <c r="G61" s="31"/>
      <c r="H61" s="31"/>
      <c r="I61" s="31"/>
      <c r="J61" s="31"/>
      <c r="K61" s="31"/>
      <c r="L61" s="457"/>
      <c r="M61" s="458"/>
      <c r="N61" s="875"/>
      <c r="O61" s="875"/>
      <c r="P61" s="1769"/>
      <c r="Q61" s="439"/>
    </row>
    <row r="62" spans="1:29" s="102" customFormat="1" ht="15.75" thickBot="1">
      <c r="A62" s="455"/>
      <c r="B62" s="444"/>
      <c r="C62" s="445">
        <v>100</v>
      </c>
      <c r="D62" s="446"/>
      <c r="E62" s="446"/>
      <c r="F62" s="446"/>
      <c r="G62" s="446"/>
      <c r="H62" s="446"/>
      <c r="I62" s="446"/>
      <c r="J62" s="446"/>
      <c r="K62" s="446"/>
      <c r="L62" s="446"/>
      <c r="M62" s="448"/>
      <c r="N62" s="875"/>
      <c r="O62" s="875"/>
      <c r="P62" s="1768"/>
      <c r="Q62" s="439"/>
    </row>
    <row r="63" spans="1:29">
      <c r="A63" s="379" t="s">
        <v>1711</v>
      </c>
      <c r="B63" s="460" t="s">
        <v>1677</v>
      </c>
      <c r="C63" s="461">
        <f>C9</f>
        <v>0</v>
      </c>
      <c r="D63" s="462"/>
      <c r="E63" s="462"/>
      <c r="F63" s="462"/>
      <c r="G63" s="462"/>
      <c r="H63" s="462"/>
      <c r="I63" s="462"/>
      <c r="J63" s="462"/>
      <c r="K63" s="463"/>
      <c r="L63" s="464"/>
      <c r="M63" s="465"/>
      <c r="N63" s="876"/>
      <c r="O63" s="876"/>
      <c r="P63" s="1770"/>
      <c r="Q63" s="439"/>
    </row>
    <row r="64" spans="1:29" ht="15.75" thickBot="1">
      <c r="A64" s="367"/>
      <c r="B64" s="466"/>
      <c r="C64" s="467">
        <v>100</v>
      </c>
      <c r="D64" s="467"/>
      <c r="E64" s="467"/>
      <c r="F64" s="467"/>
      <c r="G64" s="467"/>
      <c r="H64" s="467"/>
      <c r="I64" s="467"/>
      <c r="J64" s="467"/>
      <c r="K64" s="467"/>
      <c r="L64" s="467"/>
      <c r="M64" s="468"/>
      <c r="N64" s="877"/>
      <c r="O64" s="877"/>
      <c r="P64" s="1770"/>
      <c r="Q64" s="439"/>
    </row>
    <row r="65" spans="1:17" ht="27.75" thickTop="1">
      <c r="A65" s="367"/>
      <c r="B65" s="469" t="s">
        <v>1680</v>
      </c>
      <c r="C65" s="513"/>
      <c r="D65" s="513"/>
      <c r="E65" s="513"/>
      <c r="F65" s="513"/>
      <c r="G65" s="513"/>
      <c r="H65" s="513"/>
      <c r="I65" s="513"/>
      <c r="J65" s="513"/>
      <c r="K65" s="513"/>
      <c r="L65" s="513"/>
      <c r="M65" s="513"/>
      <c r="N65" s="877"/>
      <c r="O65" s="877"/>
      <c r="P65" s="1770"/>
      <c r="Q65" s="439"/>
    </row>
    <row r="66" spans="1:17" ht="15.75" thickBot="1">
      <c r="A66" s="367"/>
      <c r="B66" s="474"/>
      <c r="C66" s="467"/>
      <c r="D66" s="467"/>
      <c r="E66" s="467"/>
      <c r="F66" s="467"/>
      <c r="G66" s="467"/>
      <c r="H66" s="467"/>
      <c r="I66" s="467"/>
      <c r="J66" s="467"/>
      <c r="K66" s="467"/>
      <c r="L66" s="467"/>
      <c r="M66" s="468"/>
      <c r="N66" s="877"/>
      <c r="O66" s="877"/>
      <c r="P66" s="1770"/>
      <c r="Q66" s="439"/>
    </row>
    <row r="67" spans="1:17" ht="15.75" thickTop="1">
      <c r="A67" s="367"/>
      <c r="B67" s="477" t="s">
        <v>1681</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0"/>
      <c r="Q67" s="439"/>
    </row>
    <row r="68" spans="1:17" ht="15">
      <c r="A68" s="367"/>
      <c r="B68" s="479"/>
      <c r="C68" s="480"/>
      <c r="D68" s="480"/>
      <c r="E68" s="480"/>
      <c r="F68" s="480"/>
      <c r="G68" s="480"/>
      <c r="H68" s="480"/>
      <c r="I68" s="480"/>
      <c r="J68" s="480"/>
      <c r="K68" s="481"/>
      <c r="L68" s="482"/>
      <c r="M68" s="483"/>
      <c r="N68" s="876"/>
      <c r="O68" s="876"/>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0"/>
      <c r="Q69" s="439"/>
    </row>
    <row r="70" spans="1:17" s="408" customFormat="1" ht="15.75" thickTop="1">
      <c r="A70" s="484"/>
      <c r="B70" s="469">
        <f>B12</f>
        <v>111</v>
      </c>
      <c r="C70" s="485"/>
      <c r="D70" s="485"/>
      <c r="E70" s="485"/>
      <c r="F70" s="485"/>
      <c r="G70" s="485"/>
      <c r="H70" s="486"/>
      <c r="I70" s="486"/>
      <c r="J70" s="486"/>
      <c r="K70" s="486"/>
      <c r="L70" s="487"/>
      <c r="M70" s="488"/>
      <c r="N70" s="878"/>
      <c r="O70" s="878"/>
      <c r="P70" s="1771"/>
      <c r="Q70" s="490"/>
    </row>
    <row r="71" spans="1:17" s="408" customFormat="1" ht="15.75" thickBot="1">
      <c r="A71" s="484"/>
      <c r="B71" s="474"/>
      <c r="C71" s="491"/>
      <c r="D71" s="467"/>
      <c r="E71" s="467"/>
      <c r="F71" s="467"/>
      <c r="G71" s="467"/>
      <c r="H71" s="467"/>
      <c r="I71" s="467"/>
      <c r="J71" s="467"/>
      <c r="K71" s="467"/>
      <c r="L71" s="467"/>
      <c r="M71" s="468"/>
      <c r="N71" s="877"/>
      <c r="O71" s="877"/>
      <c r="P71" s="1771"/>
      <c r="Q71" s="490"/>
    </row>
    <row r="72" spans="1:17" s="408" customFormat="1" ht="15.75" thickTop="1">
      <c r="A72" s="484"/>
      <c r="B72" s="469">
        <f>B13</f>
        <v>111</v>
      </c>
      <c r="C72" s="485"/>
      <c r="D72" s="485"/>
      <c r="E72" s="485"/>
      <c r="F72" s="485"/>
      <c r="G72" s="485"/>
      <c r="H72" s="486"/>
      <c r="I72" s="486"/>
      <c r="J72" s="486"/>
      <c r="K72" s="486"/>
      <c r="L72" s="487"/>
      <c r="M72" s="488"/>
      <c r="N72" s="878"/>
      <c r="O72" s="878"/>
      <c r="P72" s="1772"/>
      <c r="Q72" s="492"/>
    </row>
    <row r="73" spans="1:17" s="408" customFormat="1" ht="15.75" thickBot="1">
      <c r="A73" s="484"/>
      <c r="B73" s="474"/>
      <c r="C73" s="491"/>
      <c r="D73" s="491"/>
      <c r="E73" s="491"/>
      <c r="F73" s="491"/>
      <c r="G73" s="491"/>
      <c r="H73" s="493"/>
      <c r="I73" s="493"/>
      <c r="J73" s="493"/>
      <c r="K73" s="493"/>
      <c r="L73" s="493"/>
      <c r="M73" s="494"/>
      <c r="N73" s="878"/>
      <c r="O73" s="878"/>
      <c r="P73" s="1771"/>
      <c r="Q73" s="490"/>
    </row>
    <row r="74" spans="1:17" s="408" customFormat="1" ht="15.75" thickTop="1">
      <c r="A74" s="484"/>
      <c r="B74" s="477">
        <f>B14</f>
        <v>111</v>
      </c>
      <c r="C74" s="485"/>
      <c r="D74" s="485"/>
      <c r="E74" s="485"/>
      <c r="F74" s="485"/>
      <c r="G74" s="31"/>
      <c r="H74" s="495"/>
      <c r="I74" s="495"/>
      <c r="J74" s="495"/>
      <c r="K74" s="495"/>
      <c r="L74" s="496"/>
      <c r="M74" s="497"/>
      <c r="N74" s="878"/>
      <c r="O74" s="878"/>
      <c r="P74" s="1773"/>
      <c r="Q74" s="490"/>
    </row>
    <row r="75" spans="1:17" s="408" customFormat="1" ht="15.75" thickBot="1">
      <c r="A75" s="499"/>
      <c r="B75" s="500"/>
      <c r="C75" s="501"/>
      <c r="D75" s="501"/>
      <c r="E75" s="501"/>
      <c r="F75" s="501"/>
      <c r="G75" s="501"/>
      <c r="H75" s="502"/>
      <c r="I75" s="502"/>
      <c r="J75" s="502"/>
      <c r="K75" s="502"/>
      <c r="L75" s="502"/>
      <c r="M75" s="503"/>
      <c r="N75" s="878"/>
      <c r="O75" s="878"/>
      <c r="P75" s="1771"/>
      <c r="Q75" s="490"/>
    </row>
    <row r="76" spans="1:17">
      <c r="A76" s="379" t="s">
        <v>1682</v>
      </c>
      <c r="B76" s="460" t="s">
        <v>1712</v>
      </c>
      <c r="C76" s="504" t="s">
        <v>1713</v>
      </c>
      <c r="D76" s="504" t="s">
        <v>1714</v>
      </c>
      <c r="E76" s="504" t="s">
        <v>1715</v>
      </c>
      <c r="F76" s="504" t="s">
        <v>1716</v>
      </c>
      <c r="G76" s="504" t="s">
        <v>1717</v>
      </c>
      <c r="H76" s="461"/>
      <c r="I76" s="461"/>
      <c r="J76" s="461"/>
      <c r="K76" s="505"/>
      <c r="L76" s="506"/>
      <c r="M76" s="507"/>
      <c r="N76" s="876"/>
      <c r="O76" s="876"/>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0"/>
      <c r="Q77" s="439"/>
    </row>
    <row r="78" spans="1:17" ht="15.75" thickTop="1">
      <c r="A78" s="367"/>
      <c r="B78" s="469" t="s">
        <v>1718</v>
      </c>
      <c r="C78" s="509" t="s">
        <v>1713</v>
      </c>
      <c r="D78" s="509" t="s">
        <v>1714</v>
      </c>
      <c r="E78" s="509" t="s">
        <v>1715</v>
      </c>
      <c r="F78" s="509" t="s">
        <v>1716</v>
      </c>
      <c r="G78" s="509" t="s">
        <v>1717</v>
      </c>
      <c r="H78" s="470"/>
      <c r="I78" s="470"/>
      <c r="J78" s="470"/>
      <c r="K78" s="471"/>
      <c r="L78" s="472"/>
      <c r="M78" s="473"/>
      <c r="N78" s="876"/>
      <c r="O78" s="876"/>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0"/>
      <c r="Q79" s="439"/>
    </row>
    <row r="80" spans="1:17" ht="15.75" thickTop="1">
      <c r="A80" s="367"/>
      <c r="B80" s="469" t="s">
        <v>1719</v>
      </c>
      <c r="C80" s="509" t="s">
        <v>1713</v>
      </c>
      <c r="D80" s="509" t="s">
        <v>1714</v>
      </c>
      <c r="E80" s="509" t="s">
        <v>1715</v>
      </c>
      <c r="F80" s="509" t="s">
        <v>1716</v>
      </c>
      <c r="G80" s="509" t="s">
        <v>1717</v>
      </c>
      <c r="H80" s="470"/>
      <c r="I80" s="470"/>
      <c r="J80" s="470"/>
      <c r="K80" s="471"/>
      <c r="L80" s="472"/>
      <c r="M80" s="473"/>
      <c r="N80" s="876"/>
      <c r="O80" s="876"/>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0"/>
      <c r="Q81" s="439"/>
    </row>
    <row r="82" spans="1:17" ht="15.75" thickTop="1">
      <c r="A82" s="367"/>
      <c r="B82" s="477" t="s">
        <v>1252</v>
      </c>
      <c r="C82" s="470" t="s">
        <v>1720</v>
      </c>
      <c r="D82" s="470" t="s">
        <v>1721</v>
      </c>
      <c r="E82" s="470" t="s">
        <v>1722</v>
      </c>
      <c r="F82" s="470" t="s">
        <v>1723</v>
      </c>
      <c r="G82" s="470" t="s">
        <v>1724</v>
      </c>
      <c r="H82" s="470"/>
      <c r="I82" s="470"/>
      <c r="J82" s="470"/>
      <c r="K82" s="470"/>
      <c r="L82" s="470"/>
      <c r="M82" s="1059"/>
      <c r="N82" s="877"/>
      <c r="O82" s="877"/>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0"/>
      <c r="Q83" s="439"/>
    </row>
    <row r="84" spans="1:17" ht="15.75" thickTop="1">
      <c r="A84" s="367"/>
      <c r="B84" s="469" t="s">
        <v>1725</v>
      </c>
      <c r="C84" s="509" t="s">
        <v>1713</v>
      </c>
      <c r="D84" s="509" t="s">
        <v>1714</v>
      </c>
      <c r="E84" s="509" t="s">
        <v>1715</v>
      </c>
      <c r="F84" s="509" t="s">
        <v>1716</v>
      </c>
      <c r="G84" s="509" t="s">
        <v>1717</v>
      </c>
      <c r="H84" s="470"/>
      <c r="I84" s="470"/>
      <c r="J84" s="470"/>
      <c r="K84" s="471"/>
      <c r="L84" s="472"/>
      <c r="M84" s="473"/>
      <c r="N84" s="876"/>
      <c r="O84" s="876"/>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0"/>
      <c r="Q85" s="439"/>
    </row>
    <row r="86" spans="1:17" s="102" customFormat="1" ht="15.75" thickTop="1">
      <c r="A86" s="370"/>
      <c r="B86" s="469" t="s">
        <v>1726</v>
      </c>
      <c r="C86" s="485"/>
      <c r="D86" s="485"/>
      <c r="E86" s="485"/>
      <c r="F86" s="485"/>
      <c r="G86" s="485"/>
      <c r="H86" s="485"/>
      <c r="I86" s="485"/>
      <c r="J86" s="485"/>
      <c r="K86" s="485"/>
      <c r="L86" s="510"/>
      <c r="M86" s="511"/>
      <c r="N86" s="875"/>
      <c r="O86" s="875"/>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0"/>
      <c r="Q87" s="439"/>
    </row>
    <row r="88" spans="1:17" s="102" customFormat="1" ht="15.75" thickTop="1">
      <c r="A88" s="370"/>
      <c r="B88" s="469" t="s">
        <v>1727</v>
      </c>
      <c r="C88" s="485"/>
      <c r="D88" s="485"/>
      <c r="E88" s="485"/>
      <c r="F88" s="1775"/>
      <c r="G88" s="485"/>
      <c r="H88" s="485"/>
      <c r="I88" s="485"/>
      <c r="J88" s="485"/>
      <c r="K88" s="485"/>
      <c r="L88" s="485"/>
      <c r="M88" s="511"/>
      <c r="N88" s="875"/>
      <c r="O88" s="875"/>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0"/>
      <c r="Q89" s="439"/>
    </row>
    <row r="90" spans="1:17" s="408" customFormat="1" ht="15.75" thickTop="1">
      <c r="A90" s="484"/>
      <c r="B90" s="469">
        <f>B27</f>
        <v>111</v>
      </c>
      <c r="C90" s="485"/>
      <c r="D90" s="485"/>
      <c r="E90" s="485"/>
      <c r="F90" s="485"/>
      <c r="G90" s="485"/>
      <c r="H90" s="486"/>
      <c r="I90" s="486"/>
      <c r="J90" s="486"/>
      <c r="K90" s="486"/>
      <c r="L90" s="487"/>
      <c r="M90" s="488"/>
      <c r="N90" s="878"/>
      <c r="O90" s="878"/>
      <c r="P90" s="1771"/>
      <c r="Q90" s="490"/>
    </row>
    <row r="91" spans="1:17" s="408" customFormat="1" ht="15.75" thickBot="1">
      <c r="A91" s="484"/>
      <c r="B91" s="474"/>
      <c r="C91" s="491"/>
      <c r="D91" s="491"/>
      <c r="E91" s="491"/>
      <c r="F91" s="491"/>
      <c r="G91" s="491"/>
      <c r="H91" s="493"/>
      <c r="I91" s="493"/>
      <c r="J91" s="493"/>
      <c r="K91" s="493"/>
      <c r="L91" s="493"/>
      <c r="M91" s="494"/>
      <c r="N91" s="878"/>
      <c r="O91" s="878"/>
      <c r="P91" s="1771"/>
      <c r="Q91" s="490"/>
    </row>
    <row r="92" spans="1:17" ht="15.75" thickTop="1">
      <c r="A92" s="367"/>
      <c r="B92" s="469">
        <f>B28</f>
        <v>111</v>
      </c>
      <c r="C92" s="485"/>
      <c r="D92" s="485"/>
      <c r="E92" s="485"/>
      <c r="F92" s="485"/>
      <c r="G92" s="513"/>
      <c r="H92" s="513"/>
      <c r="I92" s="513"/>
      <c r="J92" s="513"/>
      <c r="K92" s="514"/>
      <c r="L92" s="515"/>
      <c r="M92" s="516"/>
      <c r="N92" s="876"/>
      <c r="O92" s="876"/>
      <c r="P92" s="1770"/>
      <c r="Q92" s="439"/>
    </row>
    <row r="93" spans="1:17" ht="15.75" thickBot="1">
      <c r="A93" s="367"/>
      <c r="B93" s="474"/>
      <c r="C93" s="491"/>
      <c r="D93" s="467"/>
      <c r="E93" s="467"/>
      <c r="F93" s="467"/>
      <c r="G93" s="467"/>
      <c r="H93" s="467"/>
      <c r="I93" s="467"/>
      <c r="J93" s="467"/>
      <c r="K93" s="467"/>
      <c r="L93" s="467"/>
      <c r="M93" s="468"/>
      <c r="N93" s="877"/>
      <c r="O93" s="877"/>
      <c r="P93" s="1770"/>
      <c r="Q93" s="439"/>
    </row>
    <row r="94" spans="1:17" ht="15.75" thickTop="1">
      <c r="A94" s="367"/>
      <c r="B94" s="469">
        <f>B29</f>
        <v>111</v>
      </c>
      <c r="C94" s="485"/>
      <c r="D94" s="485"/>
      <c r="E94" s="485"/>
      <c r="F94" s="485"/>
      <c r="G94" s="513"/>
      <c r="H94" s="513"/>
      <c r="I94" s="513"/>
      <c r="J94" s="513"/>
      <c r="K94" s="514"/>
      <c r="L94" s="515"/>
      <c r="M94" s="516"/>
      <c r="N94" s="876"/>
      <c r="O94" s="876"/>
      <c r="P94" s="1770"/>
      <c r="Q94" s="439"/>
    </row>
    <row r="95" spans="1:17" ht="15.75" thickBot="1">
      <c r="A95" s="367"/>
      <c r="B95" s="474"/>
      <c r="C95" s="491"/>
      <c r="D95" s="491"/>
      <c r="E95" s="491"/>
      <c r="F95" s="491"/>
      <c r="G95" s="467"/>
      <c r="H95" s="467"/>
      <c r="I95" s="467"/>
      <c r="J95" s="467"/>
      <c r="K95" s="467"/>
      <c r="L95" s="467"/>
      <c r="M95" s="468"/>
      <c r="N95" s="877"/>
      <c r="O95" s="877"/>
      <c r="P95" s="1770"/>
      <c r="Q95" s="439"/>
    </row>
    <row r="96" spans="1:17" ht="15.75" thickTop="1">
      <c r="A96" s="367"/>
      <c r="B96" s="469">
        <f>B30</f>
        <v>111</v>
      </c>
      <c r="C96" s="485"/>
      <c r="D96" s="485"/>
      <c r="E96" s="485"/>
      <c r="F96" s="485"/>
      <c r="G96" s="513"/>
      <c r="H96" s="513"/>
      <c r="I96" s="513"/>
      <c r="J96" s="513"/>
      <c r="K96" s="514"/>
      <c r="L96" s="515"/>
      <c r="M96" s="516"/>
      <c r="N96" s="876"/>
      <c r="O96" s="876"/>
      <c r="P96" s="1770"/>
      <c r="Q96" s="439"/>
    </row>
    <row r="97" spans="1:17" ht="15.75" thickBot="1">
      <c r="A97" s="367"/>
      <c r="B97" s="474"/>
      <c r="C97" s="501"/>
      <c r="D97" s="501"/>
      <c r="E97" s="501"/>
      <c r="F97" s="501"/>
      <c r="G97" s="467"/>
      <c r="H97" s="467"/>
      <c r="I97" s="467"/>
      <c r="J97" s="467"/>
      <c r="K97" s="467"/>
      <c r="L97" s="467"/>
      <c r="M97" s="468"/>
      <c r="N97" s="877"/>
      <c r="O97" s="877"/>
      <c r="P97" s="1770"/>
      <c r="Q97" s="439"/>
    </row>
    <row r="98" spans="1:17" ht="15.75" thickTop="1">
      <c r="A98" s="367"/>
      <c r="B98" s="477">
        <f>B31</f>
        <v>111</v>
      </c>
      <c r="C98" s="517"/>
      <c r="D98" s="517"/>
      <c r="E98" s="517"/>
      <c r="F98" s="517"/>
      <c r="G98" s="517"/>
      <c r="H98" s="517"/>
      <c r="I98" s="517"/>
      <c r="J98" s="517"/>
      <c r="K98" s="518"/>
      <c r="L98" s="519"/>
      <c r="M98" s="520"/>
      <c r="N98" s="876"/>
      <c r="O98" s="876"/>
      <c r="P98" s="1770"/>
      <c r="Q98" s="439"/>
    </row>
    <row r="99" spans="1:17" ht="15.75" thickBot="1">
      <c r="A99" s="375"/>
      <c r="B99" s="500"/>
      <c r="C99" s="521"/>
      <c r="D99" s="521"/>
      <c r="E99" s="521"/>
      <c r="F99" s="521"/>
      <c r="G99" s="521"/>
      <c r="H99" s="521"/>
      <c r="I99" s="521"/>
      <c r="J99" s="521"/>
      <c r="K99" s="521"/>
      <c r="L99" s="521"/>
      <c r="M99" s="522"/>
      <c r="N99" s="877"/>
      <c r="O99" s="877"/>
      <c r="P99" s="1770"/>
      <c r="Q99" s="439"/>
    </row>
    <row r="100" spans="1:17">
      <c r="A100" s="379" t="s">
        <v>1686</v>
      </c>
      <c r="B100" s="460" t="s">
        <v>1728</v>
      </c>
      <c r="C100" s="462"/>
      <c r="D100" s="462"/>
      <c r="E100" s="462"/>
      <c r="F100" s="462"/>
      <c r="G100" s="462"/>
      <c r="H100" s="462"/>
      <c r="I100" s="462"/>
      <c r="J100" s="462"/>
      <c r="K100" s="463"/>
      <c r="L100" s="464"/>
      <c r="M100" s="465"/>
      <c r="N100" s="876"/>
      <c r="O100" s="876"/>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0"/>
      <c r="Q101" s="439"/>
    </row>
    <row r="102" spans="1:17" ht="15.75" thickTop="1">
      <c r="A102" s="367"/>
      <c r="B102" s="469" t="s">
        <v>1729</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0"/>
      <c r="Q102" s="439"/>
    </row>
    <row r="103" spans="1:17" s="408" customFormat="1">
      <c r="A103" s="406"/>
      <c r="B103" s="523"/>
      <c r="C103" s="6"/>
      <c r="D103" s="6"/>
      <c r="E103" s="6"/>
      <c r="F103" s="6"/>
      <c r="G103" s="6"/>
      <c r="H103" s="6"/>
      <c r="I103" s="6"/>
      <c r="J103" s="524"/>
      <c r="K103" s="524"/>
      <c r="L103" s="525"/>
      <c r="M103" s="526"/>
      <c r="N103" s="878"/>
      <c r="O103" s="878"/>
      <c r="P103" s="1771"/>
      <c r="Q103" s="490"/>
    </row>
    <row r="104" spans="1:17" s="408" customFormat="1" ht="15.75" thickBot="1">
      <c r="A104" s="484"/>
      <c r="B104" s="474"/>
      <c r="C104" s="491"/>
      <c r="D104" s="467"/>
      <c r="E104" s="467"/>
      <c r="F104" s="467"/>
      <c r="G104" s="467"/>
      <c r="H104" s="467"/>
      <c r="I104" s="467"/>
      <c r="J104" s="467"/>
      <c r="K104" s="467"/>
      <c r="L104" s="467"/>
      <c r="M104" s="467"/>
      <c r="N104" s="877"/>
      <c r="O104" s="877"/>
      <c r="P104" s="1771"/>
      <c r="Q104" s="490"/>
    </row>
    <row r="105" spans="1:17" ht="15" thickTop="1">
      <c r="A105" s="409"/>
      <c r="B105" s="469" t="s">
        <v>1730</v>
      </c>
      <c r="C105" s="485"/>
      <c r="D105" s="485"/>
      <c r="E105" s="513"/>
      <c r="F105" s="513"/>
      <c r="G105" s="513"/>
      <c r="H105" s="513"/>
      <c r="I105" s="513"/>
      <c r="J105" s="513"/>
      <c r="K105" s="514"/>
      <c r="L105" s="515"/>
      <c r="M105" s="516"/>
      <c r="N105" s="876"/>
      <c r="O105" s="876"/>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0"/>
      <c r="Q106" s="439"/>
    </row>
    <row r="107" spans="1:17" ht="15" thickTop="1">
      <c r="A107" s="409"/>
      <c r="B107" s="469" t="s">
        <v>1731</v>
      </c>
      <c r="C107" s="513"/>
      <c r="D107" s="513"/>
      <c r="E107" s="513"/>
      <c r="F107" s="513"/>
      <c r="G107" s="513"/>
      <c r="H107" s="513"/>
      <c r="I107" s="513"/>
      <c r="J107" s="513"/>
      <c r="K107" s="514"/>
      <c r="L107" s="515"/>
      <c r="M107" s="516"/>
      <c r="N107" s="876"/>
      <c r="O107" s="876"/>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0"/>
      <c r="Q108" s="439"/>
    </row>
    <row r="109" spans="1:17" ht="15" thickTop="1">
      <c r="A109" s="409"/>
      <c r="B109" s="469" t="s">
        <v>1732</v>
      </c>
      <c r="C109" s="485"/>
      <c r="D109" s="485"/>
      <c r="E109" s="485"/>
      <c r="F109" s="513"/>
      <c r="G109" s="513"/>
      <c r="H109" s="513"/>
      <c r="I109" s="513"/>
      <c r="J109" s="513"/>
      <c r="K109" s="514"/>
      <c r="L109" s="515"/>
      <c r="M109" s="516"/>
      <c r="N109" s="876"/>
      <c r="O109" s="876"/>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0"/>
      <c r="Q110" s="439"/>
    </row>
    <row r="111" spans="1:17" s="408" customFormat="1" ht="15" thickTop="1">
      <c r="A111" s="406"/>
      <c r="B111" s="469" t="s">
        <v>1182</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1"/>
      <c r="Q113" s="490"/>
    </row>
    <row r="114" spans="1:17" ht="15" thickTop="1">
      <c r="A114" s="409"/>
      <c r="B114" s="469" t="s">
        <v>1733</v>
      </c>
      <c r="C114" s="485"/>
      <c r="D114" s="485"/>
      <c r="E114" s="513"/>
      <c r="F114" s="513"/>
      <c r="G114" s="513"/>
      <c r="H114" s="513"/>
      <c r="I114" s="513"/>
      <c r="J114" s="513"/>
      <c r="K114" s="514"/>
      <c r="L114" s="515"/>
      <c r="M114" s="516"/>
      <c r="N114" s="876"/>
      <c r="O114" s="876"/>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0"/>
      <c r="Q115" s="439"/>
    </row>
    <row r="116" spans="1:17" ht="15" thickTop="1">
      <c r="A116" s="409"/>
      <c r="B116" s="469" t="s">
        <v>1734</v>
      </c>
      <c r="C116" s="485"/>
      <c r="D116" s="485"/>
      <c r="E116" s="485"/>
      <c r="F116" s="485"/>
      <c r="G116" s="485"/>
      <c r="H116" s="513"/>
      <c r="I116" s="513"/>
      <c r="J116" s="513"/>
      <c r="K116" s="514"/>
      <c r="L116" s="515"/>
      <c r="M116" s="516"/>
      <c r="N116" s="876"/>
      <c r="O116" s="876"/>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0"/>
      <c r="Q117" s="439"/>
    </row>
    <row r="118" spans="1:17" ht="15" thickTop="1">
      <c r="A118" s="409"/>
      <c r="B118" s="469" t="s">
        <v>1735</v>
      </c>
      <c r="C118" s="513"/>
      <c r="D118" s="513"/>
      <c r="E118" s="513"/>
      <c r="F118" s="513"/>
      <c r="G118" s="513"/>
      <c r="H118" s="513"/>
      <c r="I118" s="513"/>
      <c r="J118" s="513"/>
      <c r="K118" s="514"/>
      <c r="L118" s="515"/>
      <c r="M118" s="516"/>
      <c r="N118" s="876"/>
      <c r="O118" s="876"/>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0"/>
      <c r="Q119" s="439"/>
    </row>
    <row r="120" spans="1:17" s="408" customFormat="1" ht="28.5" thickTop="1">
      <c r="A120" s="406"/>
      <c r="B120" s="469" t="s">
        <v>1697</v>
      </c>
      <c r="C120" s="485"/>
      <c r="D120" s="485"/>
      <c r="E120" s="485"/>
      <c r="F120" s="485"/>
      <c r="G120" s="485"/>
      <c r="H120" s="485"/>
      <c r="I120" s="485"/>
      <c r="J120" s="485"/>
      <c r="K120" s="485"/>
      <c r="L120" s="510"/>
      <c r="M120" s="511"/>
      <c r="N120" s="878"/>
      <c r="O120" s="878"/>
      <c r="P120" s="1771"/>
      <c r="Q120" s="490"/>
    </row>
    <row r="121" spans="1:17" s="408" customFormat="1" ht="15.75" thickBot="1">
      <c r="A121" s="484"/>
      <c r="B121" s="466"/>
      <c r="C121" s="491"/>
      <c r="D121" s="467"/>
      <c r="E121" s="467"/>
      <c r="F121" s="467"/>
      <c r="G121" s="467"/>
      <c r="H121" s="467"/>
      <c r="I121" s="467"/>
      <c r="J121" s="467"/>
      <c r="K121" s="467"/>
      <c r="L121" s="467"/>
      <c r="M121" s="467"/>
      <c r="N121" s="878"/>
      <c r="O121" s="878"/>
      <c r="P121" s="1771"/>
      <c r="Q121" s="490"/>
    </row>
    <row r="122" spans="1:17" ht="15" thickTop="1">
      <c r="A122" s="409"/>
      <c r="B122" s="469" t="s">
        <v>1736</v>
      </c>
      <c r="C122" s="485"/>
      <c r="D122" s="485"/>
      <c r="E122" s="485"/>
      <c r="F122" s="513"/>
      <c r="G122" s="513"/>
      <c r="H122" s="513"/>
      <c r="I122" s="513"/>
      <c r="J122" s="513"/>
      <c r="K122" s="514"/>
      <c r="L122" s="515"/>
      <c r="M122" s="516"/>
      <c r="N122" s="876"/>
      <c r="O122" s="876"/>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0"/>
      <c r="Q123" s="439"/>
    </row>
    <row r="124" spans="1:17" ht="15" thickTop="1">
      <c r="A124" s="409"/>
      <c r="B124" s="469" t="s">
        <v>1737</v>
      </c>
      <c r="C124" s="509" t="s">
        <v>1713</v>
      </c>
      <c r="D124" s="509" t="s">
        <v>1714</v>
      </c>
      <c r="E124" s="509" t="s">
        <v>1715</v>
      </c>
      <c r="F124" s="509" t="s">
        <v>1716</v>
      </c>
      <c r="G124" s="509" t="s">
        <v>1717</v>
      </c>
      <c r="H124" s="470"/>
      <c r="I124" s="470"/>
      <c r="J124" s="470"/>
      <c r="K124" s="471"/>
      <c r="L124" s="472"/>
      <c r="M124" s="473"/>
      <c r="N124" s="876"/>
      <c r="O124" s="876"/>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0"/>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1"/>
      <c r="Q126" s="490"/>
    </row>
    <row r="127" spans="1:17" s="408" customFormat="1" ht="15.75" thickBot="1">
      <c r="A127" s="484"/>
      <c r="B127" s="474"/>
      <c r="C127" s="491"/>
      <c r="D127" s="467"/>
      <c r="E127" s="467"/>
      <c r="F127" s="467"/>
      <c r="G127" s="491"/>
      <c r="H127" s="493"/>
      <c r="I127" s="493"/>
      <c r="J127" s="493"/>
      <c r="K127" s="493"/>
      <c r="L127" s="493"/>
      <c r="M127" s="494"/>
      <c r="N127" s="878"/>
      <c r="O127" s="878"/>
      <c r="P127" s="1771"/>
      <c r="Q127" s="490"/>
    </row>
    <row r="128" spans="1:17" ht="15" thickTop="1">
      <c r="A128" s="409"/>
      <c r="B128" s="469">
        <f>B45</f>
        <v>111</v>
      </c>
      <c r="C128" s="485"/>
      <c r="D128" s="485"/>
      <c r="E128" s="485"/>
      <c r="F128" s="485"/>
      <c r="G128" s="513"/>
      <c r="H128" s="513"/>
      <c r="I128" s="513"/>
      <c r="J128" s="513"/>
      <c r="K128" s="514"/>
      <c r="L128" s="515"/>
      <c r="M128" s="516"/>
      <c r="N128" s="876"/>
      <c r="O128" s="876"/>
      <c r="P128" s="1770"/>
      <c r="Q128" s="439"/>
    </row>
    <row r="129" spans="1:17" ht="15.75" thickBot="1">
      <c r="A129" s="367"/>
      <c r="B129" s="474"/>
      <c r="C129" s="491"/>
      <c r="D129" s="491"/>
      <c r="E129" s="491"/>
      <c r="F129" s="491"/>
      <c r="G129" s="467"/>
      <c r="H129" s="467"/>
      <c r="I129" s="467"/>
      <c r="J129" s="467"/>
      <c r="K129" s="467"/>
      <c r="L129" s="467"/>
      <c r="M129" s="468"/>
      <c r="N129" s="877"/>
      <c r="O129" s="877"/>
      <c r="P129" s="1770"/>
      <c r="Q129" s="439"/>
    </row>
    <row r="130" spans="1:17" ht="15" thickTop="1">
      <c r="A130" s="409"/>
      <c r="B130" s="477">
        <f>B46</f>
        <v>111</v>
      </c>
      <c r="C130" s="485"/>
      <c r="D130" s="485"/>
      <c r="E130" s="485"/>
      <c r="F130" s="485"/>
      <c r="G130" s="517"/>
      <c r="H130" s="517"/>
      <c r="I130" s="517"/>
      <c r="J130" s="517"/>
      <c r="K130" s="31"/>
      <c r="L130" s="457"/>
      <c r="M130" s="520"/>
      <c r="N130" s="876"/>
      <c r="O130" s="876"/>
      <c r="P130" s="1770"/>
      <c r="Q130" s="439"/>
    </row>
    <row r="131" spans="1:17" ht="15.75" thickBot="1">
      <c r="A131" s="375"/>
      <c r="B131" s="500"/>
      <c r="C131" s="501"/>
      <c r="D131" s="501"/>
      <c r="E131" s="501"/>
      <c r="F131" s="501"/>
      <c r="G131" s="521"/>
      <c r="H131" s="521"/>
      <c r="I131" s="521"/>
      <c r="J131" s="521"/>
      <c r="K131" s="521"/>
      <c r="L131" s="521"/>
      <c r="M131" s="522"/>
      <c r="N131" s="877"/>
      <c r="O131" s="877"/>
      <c r="P131" s="1770"/>
      <c r="Q131" s="439"/>
    </row>
    <row r="136" spans="1:17" ht="15" thickBot="1">
      <c r="B136" s="1776" t="s">
        <v>1738</v>
      </c>
    </row>
    <row r="137" spans="1:17" ht="15">
      <c r="B137" s="1777" t="s">
        <v>1739</v>
      </c>
      <c r="C137" s="1778"/>
      <c r="D137" s="1778"/>
      <c r="E137" s="1778"/>
      <c r="F137" s="1778"/>
      <c r="G137" s="1779"/>
      <c r="H137" s="1780"/>
      <c r="I137" s="1781" t="s">
        <v>1740</v>
      </c>
      <c r="J137" s="1778"/>
      <c r="K137" s="1782"/>
    </row>
    <row r="138" spans="1:17" ht="15">
      <c r="B138" s="1783"/>
      <c r="C138" s="129" t="s">
        <v>1741</v>
      </c>
      <c r="D138" s="129" t="s">
        <v>1742</v>
      </c>
      <c r="E138" s="1784" t="s">
        <v>1743</v>
      </c>
      <c r="F138" s="1785" t="s">
        <v>1744</v>
      </c>
      <c r="G138" s="129" t="s">
        <v>1742</v>
      </c>
      <c r="H138" s="130" t="s">
        <v>1743</v>
      </c>
      <c r="I138" s="1786"/>
      <c r="J138" s="129" t="s">
        <v>1745</v>
      </c>
      <c r="K138" s="130" t="s">
        <v>1746</v>
      </c>
    </row>
    <row r="139" spans="1:17" ht="15">
      <c r="B139" s="811">
        <v>6</v>
      </c>
      <c r="C139" s="812">
        <v>96</v>
      </c>
      <c r="D139" s="1787" t="s">
        <v>1747</v>
      </c>
      <c r="E139" s="813">
        <v>100</v>
      </c>
      <c r="F139" s="814">
        <v>102.5</v>
      </c>
      <c r="G139" s="1787" t="s">
        <v>1747</v>
      </c>
      <c r="H139" s="815">
        <v>105</v>
      </c>
      <c r="I139" s="1788" t="s">
        <v>1748</v>
      </c>
      <c r="J139" s="812">
        <v>20</v>
      </c>
      <c r="K139" s="816">
        <f>C145/(J139-2)</f>
        <v>4.0555555555555553E-3</v>
      </c>
    </row>
    <row r="140" spans="1:17" ht="15">
      <c r="B140" s="817">
        <v>5</v>
      </c>
      <c r="C140" s="818">
        <v>100</v>
      </c>
      <c r="D140" s="818"/>
      <c r="E140" s="819"/>
      <c r="F140" s="820">
        <v>102</v>
      </c>
      <c r="G140" s="818"/>
      <c r="H140" s="821"/>
      <c r="I140" s="1789" t="s">
        <v>1749</v>
      </c>
      <c r="J140" s="263">
        <f>ROUNDUP((J139-1)/2,0)</f>
        <v>10</v>
      </c>
      <c r="K140" s="822">
        <v>100</v>
      </c>
    </row>
    <row r="141" spans="1:17" ht="15">
      <c r="B141" s="817">
        <v>4</v>
      </c>
      <c r="C141" s="818">
        <v>102</v>
      </c>
      <c r="D141" s="818"/>
      <c r="E141" s="819"/>
      <c r="F141" s="820">
        <v>101.5</v>
      </c>
      <c r="G141" s="818"/>
      <c r="H141" s="821"/>
      <c r="I141" s="1789" t="s">
        <v>1750</v>
      </c>
      <c r="J141" s="263">
        <v>1</v>
      </c>
      <c r="K141" s="823">
        <f>ROUND(100+(J141-J140)*K139*100,1)</f>
        <v>96.4</v>
      </c>
    </row>
    <row r="142" spans="1:17" ht="15">
      <c r="B142" s="817">
        <v>3</v>
      </c>
      <c r="C142" s="818">
        <v>103</v>
      </c>
      <c r="D142" s="818"/>
      <c r="E142" s="819"/>
      <c r="F142" s="820">
        <v>101</v>
      </c>
      <c r="G142" s="818"/>
      <c r="H142" s="821"/>
      <c r="I142" s="1789" t="s">
        <v>1751</v>
      </c>
      <c r="J142" s="263">
        <f>J139</f>
        <v>20</v>
      </c>
      <c r="K142" s="824">
        <v>95</v>
      </c>
    </row>
    <row r="143" spans="1:17" ht="15">
      <c r="B143" s="817">
        <v>2</v>
      </c>
      <c r="C143" s="818">
        <v>100</v>
      </c>
      <c r="D143" s="818"/>
      <c r="E143" s="819"/>
      <c r="F143" s="820">
        <v>100.5</v>
      </c>
      <c r="G143" s="818"/>
      <c r="H143" s="821"/>
      <c r="I143" s="1789" t="s">
        <v>1752</v>
      </c>
      <c r="J143" s="818">
        <v>15</v>
      </c>
      <c r="K143" s="823">
        <f>ROUND(100+(J143-J140)*K139*100,1)</f>
        <v>102</v>
      </c>
    </row>
    <row r="144" spans="1:17" ht="15">
      <c r="B144" s="817">
        <v>1</v>
      </c>
      <c r="C144" s="818">
        <v>98</v>
      </c>
      <c r="D144" s="1790" t="s">
        <v>1753</v>
      </c>
      <c r="E144" s="819">
        <v>102</v>
      </c>
      <c r="F144" s="825">
        <v>100</v>
      </c>
      <c r="G144" s="1790" t="s">
        <v>1753</v>
      </c>
      <c r="H144" s="821">
        <v>105</v>
      </c>
      <c r="I144" s="1789" t="s">
        <v>1752</v>
      </c>
      <c r="J144" s="818">
        <v>18</v>
      </c>
      <c r="K144" s="823">
        <f>ROUND(100+(J144-J140)*K139*100,1)</f>
        <v>103.2</v>
      </c>
    </row>
    <row r="145" spans="2:11" ht="15.75" thickBot="1">
      <c r="B145" s="1791" t="s">
        <v>1754</v>
      </c>
      <c r="C145" s="826">
        <f>ROUND(MAX(C139:C144)/MIN(C139:C144)-1,3)</f>
        <v>7.2999999999999995E-2</v>
      </c>
      <c r="D145" s="827"/>
      <c r="E145" s="827"/>
      <c r="F145" s="1792" t="s">
        <v>1755</v>
      </c>
      <c r="G145" s="1793"/>
      <c r="H145" s="1794"/>
      <c r="I145" s="1795" t="s">
        <v>1752</v>
      </c>
      <c r="J145" s="828">
        <v>8</v>
      </c>
      <c r="K145" s="829">
        <f>ROUND(100+(J145-J140)*K139*100,1)</f>
        <v>99.2</v>
      </c>
    </row>
    <row r="147" spans="2:11">
      <c r="B147" s="1776" t="s">
        <v>1756</v>
      </c>
    </row>
    <row r="148" spans="2:11">
      <c r="B148" s="1776" t="s">
        <v>1757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1758</v>
      </c>
      <c r="C1" s="1151" t="s">
        <v>1654</v>
      </c>
      <c r="D1" s="1138"/>
      <c r="E1" s="3120"/>
      <c r="F1" s="1730"/>
      <c r="G1" s="1148" t="s">
        <v>1759</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2" customFormat="1" ht="28.5" customHeight="1" thickTop="1">
      <c r="A2" s="1134" t="s">
        <v>1454</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1456</v>
      </c>
      <c r="B3" s="536">
        <f>IF(C2="——",C49,ROUND(B2*10000/D3,0))</f>
        <v>0</v>
      </c>
      <c r="C3" s="344" t="s">
        <v>1760</v>
      </c>
      <c r="D3" s="343">
        <f>IF(D1="",'数据-汇总表'!E3,SUMIF('数据-汇总表'!$C19:$C33,D1,'数据-汇总表'!$E19:$E33))</f>
        <v>2178.63</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29" t="s">
        <v>1767</v>
      </c>
      <c r="Q4" s="3430"/>
      <c r="R4" s="3427" t="s">
        <v>1763</v>
      </c>
      <c r="S4" s="3428"/>
      <c r="T4" s="3427" t="s">
        <v>1764</v>
      </c>
      <c r="U4" s="3428"/>
      <c r="V4" s="3404" t="s">
        <v>1765</v>
      </c>
      <c r="W4" s="3404"/>
      <c r="X4" s="1261"/>
      <c r="Y4" s="3427" t="s">
        <v>1767</v>
      </c>
      <c r="Z4" s="3428"/>
      <c r="AA4" s="3426" t="s">
        <v>1763</v>
      </c>
      <c r="AB4" s="3404" t="s">
        <v>1764</v>
      </c>
      <c r="AC4" s="3426" t="s">
        <v>1765</v>
      </c>
    </row>
    <row r="5" spans="1:29" ht="15">
      <c r="A5" s="348"/>
      <c r="B5" s="349"/>
      <c r="C5" s="3380" t="s">
        <v>1665</v>
      </c>
      <c r="D5" s="3381"/>
      <c r="E5" s="3477" t="s">
        <v>1666</v>
      </c>
      <c r="F5" s="3379"/>
      <c r="G5" s="3380" t="s">
        <v>1667</v>
      </c>
      <c r="H5" s="3381"/>
      <c r="I5" s="3380" t="s">
        <v>1668</v>
      </c>
      <c r="J5" s="3381"/>
      <c r="K5" s="537"/>
      <c r="L5" s="2482"/>
      <c r="M5" s="2483"/>
      <c r="N5" s="2483"/>
      <c r="O5" s="2483"/>
      <c r="P5" s="3431"/>
      <c r="Q5" s="3398"/>
      <c r="R5" s="3376"/>
      <c r="S5" s="3377"/>
      <c r="T5" s="3376"/>
      <c r="U5" s="3377"/>
      <c r="V5" s="3404"/>
      <c r="W5" s="3404"/>
      <c r="X5" s="1261"/>
      <c r="Y5" s="3376"/>
      <c r="Z5" s="3377"/>
      <c r="AA5" s="3370"/>
      <c r="AB5" s="3404"/>
      <c r="AC5" s="3370"/>
    </row>
    <row r="6" spans="1:29" ht="15.75" thickBot="1">
      <c r="A6" s="350"/>
      <c r="B6" s="351"/>
      <c r="C6" s="3382" t="s">
        <v>1669</v>
      </c>
      <c r="D6" s="3383"/>
      <c r="E6" s="3385" t="s">
        <v>1669</v>
      </c>
      <c r="F6" s="3386"/>
      <c r="G6" s="3382" t="s">
        <v>1669</v>
      </c>
      <c r="H6" s="3383"/>
      <c r="I6" s="3382" t="s">
        <v>1669</v>
      </c>
      <c r="J6" s="3383"/>
      <c r="K6" s="537" t="s">
        <v>1670</v>
      </c>
      <c r="L6" s="2482"/>
      <c r="M6" s="2483"/>
      <c r="N6" s="2483"/>
      <c r="O6" s="2483"/>
      <c r="P6" s="3432"/>
      <c r="Q6" s="3400"/>
      <c r="R6" s="3376"/>
      <c r="S6" s="3377"/>
      <c r="T6" s="3401"/>
      <c r="U6" s="3402"/>
      <c r="V6" s="3404"/>
      <c r="W6" s="3404"/>
      <c r="X6" s="1261"/>
      <c r="Y6" s="3401"/>
      <c r="Z6" s="3402"/>
      <c r="AA6" s="3371"/>
      <c r="AB6" s="3404"/>
      <c r="AC6" s="3371"/>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4"/>
      <c r="M7" s="2435"/>
      <c r="N7" s="2435"/>
      <c r="O7" s="2435"/>
      <c r="P7" s="3372" t="s">
        <v>1672</v>
      </c>
      <c r="Q7" s="3406"/>
      <c r="R7" s="664" t="s">
        <v>14</v>
      </c>
      <c r="S7" s="665">
        <f t="shared" ref="S7:S15" si="0">F7</f>
        <v>0</v>
      </c>
      <c r="T7" s="664" t="s">
        <v>14</v>
      </c>
      <c r="U7" s="665">
        <f t="shared" ref="U7:U15" si="1">H7</f>
        <v>0</v>
      </c>
      <c r="V7" s="664" t="s">
        <v>14</v>
      </c>
      <c r="W7" s="665">
        <f t="shared" ref="W7:W15" si="2">J7</f>
        <v>0</v>
      </c>
      <c r="X7" s="666"/>
      <c r="Y7" s="3372" t="s">
        <v>1672</v>
      </c>
      <c r="Z7" s="3373"/>
      <c r="AA7" s="50" t="e">
        <f>D7/F7</f>
        <v>#DIV/0!</v>
      </c>
      <c r="AB7" s="50" t="e">
        <f>D7/H7</f>
        <v>#DIV/0!</v>
      </c>
      <c r="AC7" s="50" t="e">
        <f>D7/J7</f>
        <v>#DIV/0!</v>
      </c>
    </row>
    <row r="8" spans="1:29" s="102" customFormat="1" ht="15.75" thickBot="1">
      <c r="A8" s="352" t="s">
        <v>1673</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372" t="s">
        <v>1675</v>
      </c>
      <c r="Q8" s="3373"/>
      <c r="R8" s="664" t="s">
        <v>14</v>
      </c>
      <c r="S8" s="665">
        <f t="shared" si="0"/>
        <v>100</v>
      </c>
      <c r="T8" s="664" t="s">
        <v>14</v>
      </c>
      <c r="U8" s="665">
        <f t="shared" si="1"/>
        <v>100</v>
      </c>
      <c r="V8" s="664" t="s">
        <v>14</v>
      </c>
      <c r="W8" s="665">
        <f t="shared" si="2"/>
        <v>100</v>
      </c>
      <c r="X8" s="666"/>
      <c r="Y8" s="3372" t="s">
        <v>1675</v>
      </c>
      <c r="Z8" s="3373"/>
      <c r="AA8" s="50">
        <f t="shared" ref="AA8:AA46" si="3">D8/F8</f>
        <v>1</v>
      </c>
      <c r="AB8" s="50">
        <f t="shared" ref="AB8:AB46" si="4">D8/H8</f>
        <v>1</v>
      </c>
      <c r="AC8" s="50">
        <f t="shared" ref="AC8:AC46" si="5">D8/J8</f>
        <v>1</v>
      </c>
    </row>
    <row r="9" spans="1:29" s="102" customFormat="1">
      <c r="A9" s="359" t="s">
        <v>1676</v>
      </c>
      <c r="B9" s="60" t="s">
        <v>1677</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87" t="s">
        <v>1678</v>
      </c>
      <c r="Q9" s="530" t="str">
        <f t="shared" ref="Q9:Q15" si="6">B9</f>
        <v>用途</v>
      </c>
      <c r="R9" s="664" t="s">
        <v>14</v>
      </c>
      <c r="S9" s="665">
        <f t="shared" si="0"/>
        <v>100</v>
      </c>
      <c r="T9" s="664" t="s">
        <v>14</v>
      </c>
      <c r="U9" s="665">
        <f t="shared" si="1"/>
        <v>100</v>
      </c>
      <c r="V9" s="664" t="s">
        <v>14</v>
      </c>
      <c r="W9" s="665">
        <f t="shared" si="2"/>
        <v>100</v>
      </c>
      <c r="X9" s="666"/>
      <c r="Y9" s="3276"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387"/>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87"/>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87"/>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87"/>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87"/>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15">
      <c r="A15" s="379" t="s">
        <v>1682</v>
      </c>
      <c r="B15" s="58" t="s">
        <v>1769</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07" t="s">
        <v>1683</v>
      </c>
      <c r="Q15" s="1259" t="str">
        <f t="shared" si="6"/>
        <v>商业繁华度</v>
      </c>
      <c r="R15" s="667" t="s">
        <v>14</v>
      </c>
      <c r="S15" s="668">
        <f t="shared" si="0"/>
        <v>100</v>
      </c>
      <c r="T15" s="667" t="s">
        <v>14</v>
      </c>
      <c r="U15" s="668">
        <f t="shared" si="1"/>
        <v>100</v>
      </c>
      <c r="V15" s="667" t="s">
        <v>14</v>
      </c>
      <c r="W15" s="668">
        <f t="shared" si="2"/>
        <v>100</v>
      </c>
      <c r="X15" s="1261"/>
      <c r="Y15" s="3409" t="s">
        <v>1683</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8"/>
      <c r="M16" s="2483"/>
      <c r="N16" s="2483"/>
      <c r="O16" s="2483"/>
      <c r="P16" s="3408"/>
      <c r="Q16" s="1259"/>
      <c r="R16" s="667"/>
      <c r="S16" s="668"/>
      <c r="T16" s="667"/>
      <c r="U16" s="668"/>
      <c r="V16" s="667"/>
      <c r="W16" s="668"/>
      <c r="X16" s="1261"/>
      <c r="Y16" s="3410"/>
      <c r="Z16" s="1260"/>
      <c r="AA16" s="1260">
        <v>1</v>
      </c>
      <c r="AB16" s="1260">
        <v>1</v>
      </c>
      <c r="AC16" s="1260">
        <v>1</v>
      </c>
    </row>
    <row r="17" spans="1:29" ht="15">
      <c r="A17" s="367"/>
      <c r="B17" s="390" t="s">
        <v>1251</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08"/>
      <c r="Q17" s="1259" t="str">
        <f>B17</f>
        <v>交通便捷度</v>
      </c>
      <c r="R17" s="667" t="s">
        <v>14</v>
      </c>
      <c r="S17" s="668">
        <f>F17</f>
        <v>100</v>
      </c>
      <c r="T17" s="667" t="s">
        <v>14</v>
      </c>
      <c r="U17" s="668">
        <f>H17</f>
        <v>100</v>
      </c>
      <c r="V17" s="667" t="s">
        <v>14</v>
      </c>
      <c r="W17" s="668">
        <f>J17</f>
        <v>100</v>
      </c>
      <c r="X17" s="1261"/>
      <c r="Y17" s="3410"/>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2488"/>
      <c r="M18" s="2483"/>
      <c r="N18" s="2483"/>
      <c r="O18" s="2483"/>
      <c r="P18" s="3408"/>
      <c r="Q18" s="1259"/>
      <c r="R18" s="667"/>
      <c r="S18" s="668"/>
      <c r="T18" s="667"/>
      <c r="U18" s="668"/>
      <c r="V18" s="667"/>
      <c r="W18" s="668"/>
      <c r="X18" s="1261"/>
      <c r="Y18" s="3410"/>
      <c r="Z18" s="1260"/>
      <c r="AA18" s="1260">
        <v>1</v>
      </c>
      <c r="AB18" s="1260">
        <v>1</v>
      </c>
      <c r="AC18" s="1260">
        <v>1</v>
      </c>
    </row>
    <row r="19" spans="1:29" ht="15">
      <c r="A19" s="367"/>
      <c r="B19" s="390" t="s">
        <v>1770</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08"/>
      <c r="Q19" s="1259" t="str">
        <f>B19</f>
        <v>公共配套设施</v>
      </c>
      <c r="R19" s="667" t="s">
        <v>14</v>
      </c>
      <c r="S19" s="668">
        <f>F19</f>
        <v>100</v>
      </c>
      <c r="T19" s="667" t="s">
        <v>14</v>
      </c>
      <c r="U19" s="668">
        <f>H19</f>
        <v>100</v>
      </c>
      <c r="V19" s="667" t="s">
        <v>14</v>
      </c>
      <c r="W19" s="668">
        <f>J19</f>
        <v>100</v>
      </c>
      <c r="X19" s="1261"/>
      <c r="Y19" s="3410"/>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2488"/>
      <c r="M20" s="2483"/>
      <c r="N20" s="2483"/>
      <c r="O20" s="2483"/>
      <c r="P20" s="3408"/>
      <c r="Q20" s="1259"/>
      <c r="R20" s="667"/>
      <c r="S20" s="668"/>
      <c r="T20" s="667"/>
      <c r="U20" s="668"/>
      <c r="V20" s="667"/>
      <c r="W20" s="668"/>
      <c r="X20" s="1261"/>
      <c r="Y20" s="3410"/>
      <c r="Z20" s="1260"/>
      <c r="AA20" s="1260">
        <v>1</v>
      </c>
      <c r="AB20" s="1260">
        <v>1</v>
      </c>
      <c r="AC20" s="1260">
        <v>1</v>
      </c>
    </row>
    <row r="21" spans="1:29" ht="15">
      <c r="A21" s="367"/>
      <c r="B21" s="586" t="s">
        <v>1771</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08"/>
      <c r="Q21" s="1259" t="str">
        <f>B21</f>
        <v>基础设施水平</v>
      </c>
      <c r="R21" s="667" t="s">
        <v>14</v>
      </c>
      <c r="S21" s="668">
        <f>F21</f>
        <v>100</v>
      </c>
      <c r="T21" s="667" t="s">
        <v>14</v>
      </c>
      <c r="U21" s="668">
        <f>H21</f>
        <v>100</v>
      </c>
      <c r="V21" s="667" t="s">
        <v>14</v>
      </c>
      <c r="W21" s="668">
        <f>J21</f>
        <v>100</v>
      </c>
      <c r="X21" s="1261"/>
      <c r="Y21" s="3410"/>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2488"/>
      <c r="M22" s="2483"/>
      <c r="N22" s="2483"/>
      <c r="O22" s="2483"/>
      <c r="P22" s="3408"/>
      <c r="Q22" s="1259"/>
      <c r="R22" s="667"/>
      <c r="S22" s="668"/>
      <c r="T22" s="667"/>
      <c r="U22" s="668"/>
      <c r="V22" s="667"/>
      <c r="W22" s="668"/>
      <c r="X22" s="1261"/>
      <c r="Y22" s="3410"/>
      <c r="Z22" s="1260"/>
      <c r="AA22" s="1260">
        <v>1</v>
      </c>
      <c r="AB22" s="1260">
        <v>1</v>
      </c>
      <c r="AC22" s="1260">
        <v>1</v>
      </c>
    </row>
    <row r="23" spans="1:29" ht="15">
      <c r="A23" s="367"/>
      <c r="B23" s="390" t="s">
        <v>1253</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08"/>
      <c r="Q23" s="1259" t="str">
        <f>B23</f>
        <v>自然及人文环境</v>
      </c>
      <c r="R23" s="667" t="s">
        <v>14</v>
      </c>
      <c r="S23" s="668">
        <f>F23</f>
        <v>100</v>
      </c>
      <c r="T23" s="667" t="s">
        <v>14</v>
      </c>
      <c r="U23" s="668">
        <f>H23</f>
        <v>100</v>
      </c>
      <c r="V23" s="667" t="s">
        <v>14</v>
      </c>
      <c r="W23" s="668">
        <f>J23</f>
        <v>100</v>
      </c>
      <c r="X23" s="1261"/>
      <c r="Y23" s="3410"/>
      <c r="Z23" s="1260" t="str">
        <f>Q23</f>
        <v>自然及人文环境</v>
      </c>
      <c r="AA23" s="1260">
        <f t="shared" si="3"/>
        <v>1</v>
      </c>
      <c r="AB23" s="1260">
        <f t="shared" si="4"/>
        <v>1</v>
      </c>
      <c r="AC23" s="1260">
        <f t="shared" si="5"/>
        <v>1</v>
      </c>
    </row>
    <row r="24" spans="1:29" ht="15">
      <c r="A24" s="367"/>
      <c r="B24" s="395"/>
      <c r="C24" s="386"/>
      <c r="D24" s="387"/>
      <c r="E24" s="1747"/>
      <c r="F24" s="388"/>
      <c r="G24" s="1746"/>
      <c r="H24" s="387"/>
      <c r="I24" s="1747"/>
      <c r="J24" s="387"/>
      <c r="K24" s="541"/>
      <c r="L24" s="2488"/>
      <c r="M24" s="2483"/>
      <c r="N24" s="2483"/>
      <c r="O24" s="2483"/>
      <c r="P24" s="3408"/>
      <c r="Q24" s="1259"/>
      <c r="R24" s="667"/>
      <c r="S24" s="668"/>
      <c r="T24" s="667"/>
      <c r="U24" s="668"/>
      <c r="V24" s="667"/>
      <c r="W24" s="668"/>
      <c r="X24" s="1261"/>
      <c r="Y24" s="3410"/>
      <c r="Z24" s="1260"/>
      <c r="AA24" s="1260">
        <v>1</v>
      </c>
      <c r="AB24" s="1260">
        <v>1</v>
      </c>
      <c r="AC24" s="1260">
        <v>1</v>
      </c>
    </row>
    <row r="25" spans="1:29" ht="15">
      <c r="A25" s="367"/>
      <c r="B25" s="364" t="s">
        <v>1772</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08"/>
      <c r="Q25" s="1259" t="str">
        <f t="shared" ref="Q25:Q46" si="11">B25</f>
        <v>临街状况</v>
      </c>
      <c r="R25" s="667" t="s">
        <v>14</v>
      </c>
      <c r="S25" s="668">
        <f>F25</f>
        <v>100</v>
      </c>
      <c r="T25" s="667" t="s">
        <v>14</v>
      </c>
      <c r="U25" s="668">
        <f>H25</f>
        <v>100</v>
      </c>
      <c r="V25" s="667" t="s">
        <v>14</v>
      </c>
      <c r="W25" s="668">
        <f>J25</f>
        <v>100</v>
      </c>
      <c r="X25" s="1261"/>
      <c r="Y25" s="3410"/>
      <c r="Z25" s="1260" t="str">
        <f>Q25</f>
        <v>临街状况</v>
      </c>
      <c r="AA25" s="1260">
        <f t="shared" si="3"/>
        <v>1</v>
      </c>
      <c r="AB25" s="1260">
        <f t="shared" si="4"/>
        <v>1</v>
      </c>
      <c r="AC25" s="1260">
        <f t="shared" si="5"/>
        <v>1</v>
      </c>
    </row>
    <row r="26" spans="1:29" ht="15">
      <c r="A26" s="367"/>
      <c r="B26" s="1062" t="s">
        <v>1773</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08"/>
      <c r="Q26" s="1259" t="str">
        <f t="shared" si="11"/>
        <v>平面位置/可视性</v>
      </c>
      <c r="R26" s="667" t="s">
        <v>14</v>
      </c>
      <c r="S26" s="668">
        <f>F26</f>
        <v>100</v>
      </c>
      <c r="T26" s="667" t="s">
        <v>14</v>
      </c>
      <c r="U26" s="668">
        <f>H26</f>
        <v>100</v>
      </c>
      <c r="V26" s="667" t="s">
        <v>14</v>
      </c>
      <c r="W26" s="668">
        <f>J26</f>
        <v>100</v>
      </c>
      <c r="X26" s="1261"/>
      <c r="Y26" s="3410"/>
      <c r="Z26" s="1260" t="str">
        <f>Q26</f>
        <v>平面位置/可视性</v>
      </c>
      <c r="AA26" s="1260">
        <f t="shared" si="3"/>
        <v>1</v>
      </c>
      <c r="AB26" s="1260">
        <f t="shared" si="4"/>
        <v>1</v>
      </c>
      <c r="AC26" s="1260">
        <f t="shared" si="5"/>
        <v>1</v>
      </c>
    </row>
    <row r="27" spans="1:29" s="102" customFormat="1" ht="15">
      <c r="A27" s="370"/>
      <c r="B27" s="390" t="s">
        <v>1774</v>
      </c>
      <c r="C27" s="1802"/>
      <c r="D27" s="401">
        <v>100</v>
      </c>
      <c r="E27" s="1802"/>
      <c r="F27" s="395">
        <f>SUMIF(90:90,E27,91:91)-SUMIF(90:90,C27,91:91)+100</f>
        <v>100</v>
      </c>
      <c r="G27" s="1802"/>
      <c r="H27" s="401">
        <f>SUMIF(90:90,G27,91:91)-SUMIF(90:90,C27,91:91)+100</f>
        <v>100</v>
      </c>
      <c r="I27" s="1802"/>
      <c r="J27" s="401">
        <f>SUMIF(90:90,I27,91:91)-SUMIF(90:90,C27,91:91)+100</f>
        <v>100</v>
      </c>
      <c r="K27" s="538"/>
      <c r="L27" s="2484"/>
      <c r="M27" s="2435"/>
      <c r="N27" s="2435"/>
      <c r="O27" s="2435"/>
      <c r="P27" s="3408"/>
      <c r="Q27" s="530" t="str">
        <f t="shared" si="11"/>
        <v>人流量</v>
      </c>
      <c r="R27" s="664" t="s">
        <v>14</v>
      </c>
      <c r="S27" s="665">
        <f>F27</f>
        <v>100</v>
      </c>
      <c r="T27" s="664" t="s">
        <v>14</v>
      </c>
      <c r="U27" s="665">
        <f>H27</f>
        <v>100</v>
      </c>
      <c r="V27" s="664" t="s">
        <v>14</v>
      </c>
      <c r="W27" s="665">
        <f>J27</f>
        <v>100</v>
      </c>
      <c r="X27" s="666"/>
      <c r="Y27" s="3410"/>
      <c r="Z27" s="50" t="str">
        <f>Q27</f>
        <v>人流量</v>
      </c>
      <c r="AA27" s="1260">
        <f>D27/F27</f>
        <v>1</v>
      </c>
      <c r="AB27" s="1260">
        <f>D27/H27</f>
        <v>1</v>
      </c>
      <c r="AC27" s="1260">
        <f>D27/J27</f>
        <v>1</v>
      </c>
    </row>
    <row r="28" spans="1:29" ht="15">
      <c r="A28" s="367"/>
      <c r="B28" s="364" t="s">
        <v>1775</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08"/>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10"/>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8"/>
      <c r="Q29" s="1259">
        <f t="shared" si="11"/>
        <v>111</v>
      </c>
      <c r="R29" s="667" t="s">
        <v>14</v>
      </c>
      <c r="S29" s="668">
        <f t="shared" si="12"/>
        <v>100</v>
      </c>
      <c r="T29" s="667" t="s">
        <v>14</v>
      </c>
      <c r="U29" s="668">
        <f t="shared" si="13"/>
        <v>100</v>
      </c>
      <c r="V29" s="667" t="s">
        <v>14</v>
      </c>
      <c r="W29" s="668">
        <f t="shared" si="14"/>
        <v>100</v>
      </c>
      <c r="X29" s="1261"/>
      <c r="Y29" s="3410"/>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8"/>
      <c r="Q30" s="1259">
        <f t="shared" si="11"/>
        <v>111</v>
      </c>
      <c r="R30" s="667" t="s">
        <v>14</v>
      </c>
      <c r="S30" s="668">
        <f t="shared" si="12"/>
        <v>100</v>
      </c>
      <c r="T30" s="667" t="s">
        <v>14</v>
      </c>
      <c r="U30" s="668">
        <f t="shared" si="13"/>
        <v>100</v>
      </c>
      <c r="V30" s="667" t="s">
        <v>14</v>
      </c>
      <c r="W30" s="668">
        <f t="shared" si="14"/>
        <v>100</v>
      </c>
      <c r="X30" s="1261"/>
      <c r="Y30" s="3410"/>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8"/>
      <c r="Q31" s="1259">
        <f t="shared" si="11"/>
        <v>111</v>
      </c>
      <c r="R31" s="667" t="s">
        <v>14</v>
      </c>
      <c r="S31" s="668">
        <f t="shared" si="12"/>
        <v>100</v>
      </c>
      <c r="T31" s="667" t="s">
        <v>14</v>
      </c>
      <c r="U31" s="668">
        <f t="shared" si="13"/>
        <v>100</v>
      </c>
      <c r="V31" s="667" t="s">
        <v>14</v>
      </c>
      <c r="W31" s="668">
        <f t="shared" si="14"/>
        <v>100</v>
      </c>
      <c r="X31" s="1261"/>
      <c r="Y31" s="3410"/>
      <c r="Z31" s="1260">
        <f t="shared" si="15"/>
        <v>111</v>
      </c>
      <c r="AA31" s="1260">
        <f t="shared" si="3"/>
        <v>1</v>
      </c>
      <c r="AB31" s="1260">
        <f t="shared" si="4"/>
        <v>1</v>
      </c>
      <c r="AC31" s="1260">
        <f t="shared" si="5"/>
        <v>1</v>
      </c>
    </row>
    <row r="32" spans="1:29" ht="15">
      <c r="A32" s="379" t="s">
        <v>1686</v>
      </c>
      <c r="B32" s="60" t="s">
        <v>1776</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8"/>
      <c r="M32" s="2483"/>
      <c r="N32" s="2483"/>
      <c r="O32" s="2483"/>
      <c r="P32" s="3411" t="s">
        <v>1688</v>
      </c>
      <c r="Q32" s="1259" t="str">
        <f t="shared" si="11"/>
        <v>商业类型</v>
      </c>
      <c r="R32" s="667" t="s">
        <v>14</v>
      </c>
      <c r="S32" s="668">
        <f t="shared" si="12"/>
        <v>100</v>
      </c>
      <c r="T32" s="667" t="s">
        <v>14</v>
      </c>
      <c r="U32" s="668">
        <f t="shared" si="13"/>
        <v>100</v>
      </c>
      <c r="V32" s="667" t="s">
        <v>14</v>
      </c>
      <c r="W32" s="668">
        <f t="shared" si="14"/>
        <v>100</v>
      </c>
      <c r="X32" s="1261"/>
      <c r="Y32" s="3414" t="s">
        <v>1688</v>
      </c>
      <c r="Z32" s="1260" t="str">
        <f t="shared" si="15"/>
        <v>商业类型</v>
      </c>
      <c r="AA32" s="1260">
        <f t="shared" si="3"/>
        <v>1</v>
      </c>
      <c r="AB32" s="1260">
        <f t="shared" si="4"/>
        <v>1</v>
      </c>
      <c r="AC32" s="1260">
        <f t="shared" si="5"/>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0" t="e">
        <f t="shared" si="3"/>
        <v>#N/A</v>
      </c>
      <c r="AB33" s="1260" t="e">
        <f t="shared" si="4"/>
        <v>#N/A</v>
      </c>
      <c r="AC33" s="1260" t="e">
        <f t="shared" si="5"/>
        <v>#N/A</v>
      </c>
    </row>
    <row r="34" spans="1:29" ht="15">
      <c r="A34" s="409"/>
      <c r="B34" s="364" t="s">
        <v>1690</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12"/>
      <c r="Q34" s="1259" t="str">
        <f t="shared" si="11"/>
        <v>建筑结构</v>
      </c>
      <c r="R34" s="667" t="s">
        <v>14</v>
      </c>
      <c r="S34" s="668">
        <f t="shared" si="12"/>
        <v>100</v>
      </c>
      <c r="T34" s="667" t="s">
        <v>14</v>
      </c>
      <c r="U34" s="668">
        <f t="shared" si="13"/>
        <v>100</v>
      </c>
      <c r="V34" s="667" t="s">
        <v>14</v>
      </c>
      <c r="W34" s="668">
        <f t="shared" si="14"/>
        <v>100</v>
      </c>
      <c r="X34" s="1261"/>
      <c r="Y34" s="3414"/>
      <c r="Z34" s="1260" t="str">
        <f t="shared" si="15"/>
        <v>建筑结构</v>
      </c>
      <c r="AA34" s="1260">
        <f t="shared" si="3"/>
        <v>1</v>
      </c>
      <c r="AB34" s="1260">
        <f t="shared" si="4"/>
        <v>1</v>
      </c>
      <c r="AC34" s="1260">
        <f t="shared" si="5"/>
        <v>1</v>
      </c>
    </row>
    <row r="35" spans="1:29" ht="15">
      <c r="A35" s="409"/>
      <c r="B35" s="364" t="s">
        <v>1777</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8"/>
      <c r="M35" s="2483"/>
      <c r="N35" s="2483"/>
      <c r="O35" s="2483"/>
      <c r="P35" s="3412"/>
      <c r="Q35" s="1259" t="str">
        <f t="shared" si="11"/>
        <v>公共部分装修</v>
      </c>
      <c r="R35" s="667" t="s">
        <v>14</v>
      </c>
      <c r="S35" s="668">
        <f t="shared" si="12"/>
        <v>100</v>
      </c>
      <c r="T35" s="667" t="s">
        <v>14</v>
      </c>
      <c r="U35" s="668">
        <f t="shared" si="13"/>
        <v>100</v>
      </c>
      <c r="V35" s="667" t="s">
        <v>14</v>
      </c>
      <c r="W35" s="668">
        <f t="shared" si="14"/>
        <v>100</v>
      </c>
      <c r="X35" s="1261"/>
      <c r="Y35" s="3414"/>
      <c r="Z35" s="1260" t="str">
        <f t="shared" si="15"/>
        <v>公共部分装修</v>
      </c>
      <c r="AA35" s="1260">
        <f t="shared" si="3"/>
        <v>1</v>
      </c>
      <c r="AB35" s="1260">
        <f t="shared" si="4"/>
        <v>1</v>
      </c>
      <c r="AC35" s="1260">
        <f t="shared" si="5"/>
        <v>1</v>
      </c>
    </row>
    <row r="36" spans="1:29" ht="15">
      <c r="A36" s="409"/>
      <c r="B36" s="364" t="s">
        <v>1778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12"/>
      <c r="Q36" s="1259" t="str">
        <f t="shared" si="11"/>
        <v>成新度</v>
      </c>
      <c r="R36" s="667" t="s">
        <v>14</v>
      </c>
      <c r="S36" s="668" t="e">
        <f t="shared" si="12"/>
        <v>#N/A</v>
      </c>
      <c r="T36" s="667" t="s">
        <v>14</v>
      </c>
      <c r="U36" s="668" t="e">
        <f t="shared" si="13"/>
        <v>#N/A</v>
      </c>
      <c r="V36" s="667" t="s">
        <v>14</v>
      </c>
      <c r="W36" s="668" t="e">
        <f t="shared" si="14"/>
        <v>#N/A</v>
      </c>
      <c r="X36" s="1261"/>
      <c r="Y36" s="3414"/>
      <c r="Z36" s="1260" t="str">
        <f t="shared" si="15"/>
        <v>成新度</v>
      </c>
      <c r="AA36" s="1260" t="e">
        <f t="shared" si="3"/>
        <v>#N/A</v>
      </c>
      <c r="AB36" s="1260" t="e">
        <f t="shared" si="4"/>
        <v>#N/A</v>
      </c>
      <c r="AC36" s="1260" t="e">
        <f t="shared" si="5"/>
        <v>#N/A</v>
      </c>
    </row>
    <row r="37" spans="1:29" s="102" customFormat="1" ht="15">
      <c r="A37" s="410"/>
      <c r="B37" s="364" t="s">
        <v>1779</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4"/>
      <c r="M37" s="2435"/>
      <c r="N37" s="2435"/>
      <c r="O37" s="2435"/>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1780</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8"/>
      <c r="M38" s="2483"/>
      <c r="N38" s="2483"/>
      <c r="O38" s="2483"/>
      <c r="P38" s="3412" t="s">
        <v>1688</v>
      </c>
      <c r="Q38" s="1259" t="str">
        <f t="shared" si="11"/>
        <v>业态</v>
      </c>
      <c r="R38" s="667" t="s">
        <v>14</v>
      </c>
      <c r="S38" s="668">
        <f t="shared" si="12"/>
        <v>100</v>
      </c>
      <c r="T38" s="667" t="s">
        <v>14</v>
      </c>
      <c r="U38" s="668">
        <f t="shared" si="13"/>
        <v>100</v>
      </c>
      <c r="V38" s="667" t="s">
        <v>14</v>
      </c>
      <c r="W38" s="668">
        <f t="shared" si="14"/>
        <v>100</v>
      </c>
      <c r="X38" s="1261"/>
      <c r="Y38" s="3414" t="s">
        <v>1688</v>
      </c>
      <c r="Z38" s="1260" t="str">
        <f t="shared" si="15"/>
        <v>业态</v>
      </c>
      <c r="AA38" s="1260">
        <f t="shared" si="3"/>
        <v>1</v>
      </c>
      <c r="AB38" s="1260">
        <f t="shared" si="4"/>
        <v>1</v>
      </c>
      <c r="AC38" s="1260">
        <f t="shared" si="5"/>
        <v>1</v>
      </c>
    </row>
    <row r="39" spans="1:29" ht="15">
      <c r="A39" s="409"/>
      <c r="B39" s="364" t="s">
        <v>1781</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8"/>
      <c r="M39" s="2483"/>
      <c r="N39" s="2483"/>
      <c r="O39" s="2483"/>
      <c r="P39" s="3412"/>
      <c r="Q39" s="1259" t="str">
        <f t="shared" si="11"/>
        <v>层高</v>
      </c>
      <c r="R39" s="667" t="s">
        <v>14</v>
      </c>
      <c r="S39" s="668">
        <f t="shared" si="12"/>
        <v>100</v>
      </c>
      <c r="T39" s="667" t="s">
        <v>14</v>
      </c>
      <c r="U39" s="668">
        <f t="shared" si="13"/>
        <v>100</v>
      </c>
      <c r="V39" s="667" t="s">
        <v>14</v>
      </c>
      <c r="W39" s="668">
        <f t="shared" si="14"/>
        <v>100</v>
      </c>
      <c r="X39" s="1261"/>
      <c r="Y39" s="3414"/>
      <c r="Z39" s="1260" t="str">
        <f t="shared" si="15"/>
        <v>层高</v>
      </c>
      <c r="AA39" s="1260">
        <f t="shared" si="3"/>
        <v>1</v>
      </c>
      <c r="AB39" s="1260">
        <f t="shared" si="4"/>
        <v>1</v>
      </c>
      <c r="AC39" s="1260">
        <f t="shared" si="5"/>
        <v>1</v>
      </c>
    </row>
    <row r="40" spans="1:29" ht="15">
      <c r="A40" s="409"/>
      <c r="B40" s="364" t="s">
        <v>1782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12"/>
      <c r="Q40" s="1259" t="str">
        <f t="shared" si="11"/>
        <v>单套建筑面积</v>
      </c>
      <c r="R40" s="667" t="s">
        <v>14</v>
      </c>
      <c r="S40" s="668">
        <f t="shared" si="12"/>
        <v>100</v>
      </c>
      <c r="T40" s="667" t="s">
        <v>14</v>
      </c>
      <c r="U40" s="668">
        <f t="shared" si="13"/>
        <v>100</v>
      </c>
      <c r="V40" s="667" t="s">
        <v>14</v>
      </c>
      <c r="W40" s="668">
        <f t="shared" si="14"/>
        <v>100</v>
      </c>
      <c r="X40" s="1261"/>
      <c r="Y40" s="3414"/>
      <c r="Z40" s="1260" t="str">
        <f t="shared" si="15"/>
        <v>单套建筑面积</v>
      </c>
      <c r="AA40" s="1260">
        <f t="shared" si="3"/>
        <v>1</v>
      </c>
      <c r="AB40" s="1260">
        <f t="shared" si="4"/>
        <v>1</v>
      </c>
      <c r="AC40" s="1260">
        <f t="shared" si="5"/>
        <v>1</v>
      </c>
    </row>
    <row r="41" spans="1:29" s="408" customFormat="1" ht="15">
      <c r="A41" s="406"/>
      <c r="B41" s="400" t="s">
        <v>1783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0">
        <f t="shared" si="3"/>
        <v>1</v>
      </c>
      <c r="AB41" s="1260">
        <f t="shared" si="4"/>
        <v>1</v>
      </c>
      <c r="AC41" s="1260">
        <f t="shared" si="5"/>
        <v>1</v>
      </c>
    </row>
    <row r="42" spans="1:29" ht="15">
      <c r="A42" s="409"/>
      <c r="B42" s="364" t="s">
        <v>1784</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8"/>
      <c r="M42" s="2483"/>
      <c r="N42" s="2483"/>
      <c r="O42" s="2483"/>
      <c r="P42" s="3412"/>
      <c r="Q42" s="1259" t="str">
        <f t="shared" si="11"/>
        <v>内部装修</v>
      </c>
      <c r="R42" s="667" t="s">
        <v>14</v>
      </c>
      <c r="S42" s="668">
        <f t="shared" si="12"/>
        <v>100</v>
      </c>
      <c r="T42" s="667" t="s">
        <v>14</v>
      </c>
      <c r="U42" s="668">
        <f t="shared" si="13"/>
        <v>100</v>
      </c>
      <c r="V42" s="667" t="s">
        <v>14</v>
      </c>
      <c r="W42" s="668">
        <f t="shared" si="14"/>
        <v>100</v>
      </c>
      <c r="X42" s="1261"/>
      <c r="Y42" s="3414"/>
      <c r="Z42" s="1260" t="str">
        <f t="shared" si="15"/>
        <v>内部装修</v>
      </c>
      <c r="AA42" s="1260">
        <f t="shared" si="3"/>
        <v>1</v>
      </c>
      <c r="AB42" s="1260">
        <f t="shared" si="4"/>
        <v>1</v>
      </c>
      <c r="AC42" s="1260">
        <f t="shared" si="5"/>
        <v>1</v>
      </c>
    </row>
    <row r="43" spans="1:29" ht="15">
      <c r="A43" s="409"/>
      <c r="B43" s="364" t="s">
        <v>1699</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8"/>
      <c r="M43" s="2483"/>
      <c r="N43" s="2483"/>
      <c r="O43" s="2483"/>
      <c r="P43" s="3412"/>
      <c r="Q43" s="1259" t="str">
        <f t="shared" si="11"/>
        <v>内部装修维护情况</v>
      </c>
      <c r="R43" s="667" t="s">
        <v>14</v>
      </c>
      <c r="S43" s="668">
        <f t="shared" si="12"/>
        <v>100</v>
      </c>
      <c r="T43" s="667" t="s">
        <v>14</v>
      </c>
      <c r="U43" s="668">
        <f t="shared" si="13"/>
        <v>100</v>
      </c>
      <c r="V43" s="667" t="s">
        <v>14</v>
      </c>
      <c r="W43" s="668">
        <f t="shared" si="14"/>
        <v>100</v>
      </c>
      <c r="X43" s="1261"/>
      <c r="Y43" s="3414"/>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12"/>
      <c r="Q45" s="1259">
        <f t="shared" si="11"/>
        <v>111</v>
      </c>
      <c r="R45" s="667" t="s">
        <v>14</v>
      </c>
      <c r="S45" s="668">
        <f t="shared" si="12"/>
        <v>100</v>
      </c>
      <c r="T45" s="667" t="s">
        <v>14</v>
      </c>
      <c r="U45" s="668">
        <f t="shared" si="13"/>
        <v>100</v>
      </c>
      <c r="V45" s="667" t="s">
        <v>14</v>
      </c>
      <c r="W45" s="668">
        <f t="shared" si="14"/>
        <v>100</v>
      </c>
      <c r="X45" s="1261"/>
      <c r="Y45" s="3414"/>
      <c r="Z45" s="1260">
        <f t="shared" si="15"/>
        <v>111</v>
      </c>
      <c r="AA45" s="1260">
        <f t="shared" si="3"/>
        <v>1</v>
      </c>
      <c r="AB45" s="1260">
        <f t="shared" si="4"/>
        <v>1</v>
      </c>
      <c r="AC45" s="1260">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13"/>
      <c r="Q46" s="1259">
        <f t="shared" si="11"/>
        <v>111</v>
      </c>
      <c r="R46" s="667" t="s">
        <v>14</v>
      </c>
      <c r="S46" s="668">
        <f t="shared" si="12"/>
        <v>100</v>
      </c>
      <c r="T46" s="667" t="s">
        <v>14</v>
      </c>
      <c r="U46" s="668">
        <f t="shared" si="13"/>
        <v>100</v>
      </c>
      <c r="V46" s="667" t="s">
        <v>14</v>
      </c>
      <c r="W46" s="668">
        <f t="shared" si="14"/>
        <v>100</v>
      </c>
      <c r="X46" s="1261"/>
      <c r="Y46" s="3415"/>
      <c r="Z46" s="1260">
        <f t="shared" si="15"/>
        <v>111</v>
      </c>
      <c r="AA46" s="1260">
        <f t="shared" si="3"/>
        <v>1</v>
      </c>
      <c r="AB46" s="1260">
        <f t="shared" si="4"/>
        <v>1</v>
      </c>
      <c r="AC46" s="1260">
        <f t="shared" si="5"/>
        <v>1</v>
      </c>
    </row>
    <row r="47" spans="1:29" ht="15">
      <c r="A47" s="416" t="s">
        <v>1700</v>
      </c>
      <c r="B47" s="417"/>
      <c r="C47" s="1077" t="s">
        <v>0</v>
      </c>
      <c r="D47" s="418"/>
      <c r="E47" s="419"/>
      <c r="F47" s="420"/>
      <c r="G47" s="421"/>
      <c r="H47" s="422"/>
      <c r="I47" s="419"/>
      <c r="J47" s="422"/>
      <c r="K47" s="674"/>
      <c r="L47" s="2490"/>
      <c r="M47" s="2483"/>
      <c r="N47" s="2483"/>
      <c r="O47" s="2483"/>
      <c r="P47" s="3416" t="str">
        <f>A47</f>
        <v>成交单价（元/平方米）</v>
      </c>
      <c r="Q47" s="3416"/>
      <c r="R47" s="3404">
        <f>E47</f>
        <v>0</v>
      </c>
      <c r="S47" s="3404"/>
      <c r="T47" s="3404">
        <f>G47</f>
        <v>0</v>
      </c>
      <c r="U47" s="3404"/>
      <c r="V47" s="3404">
        <f>I47</f>
        <v>0</v>
      </c>
      <c r="W47" s="3404"/>
      <c r="X47" s="385"/>
      <c r="Y47" s="673"/>
      <c r="Z47" s="385"/>
      <c r="AA47" s="385"/>
      <c r="AB47" s="385"/>
      <c r="AC47" s="385"/>
    </row>
    <row r="48" spans="1:29" ht="15.75" thickBot="1">
      <c r="A48" s="423" t="s">
        <v>1785</v>
      </c>
      <c r="B48" s="424"/>
      <c r="C48" s="1078" t="e">
        <f>R49</f>
        <v>#DIV/0!</v>
      </c>
      <c r="D48" s="2136" t="s">
        <v>2129</v>
      </c>
      <c r="E48" s="1079" t="e">
        <f>R48</f>
        <v>#DIV/0!</v>
      </c>
      <c r="F48" s="2137"/>
      <c r="G48" s="1078" t="e">
        <f>T48</f>
        <v>#DIV/0!</v>
      </c>
      <c r="H48" s="2137"/>
      <c r="I48" s="1079" t="e">
        <f>V48</f>
        <v>#DIV/0!</v>
      </c>
      <c r="J48" s="2137"/>
      <c r="K48" s="2139">
        <f>F48+H48+J48</f>
        <v>0</v>
      </c>
      <c r="L48" s="2490"/>
      <c r="M48" s="2483"/>
      <c r="N48" s="2483"/>
      <c r="O48" s="2483"/>
      <c r="P48" s="3416" t="str">
        <f>A48</f>
        <v>比较价值（元/平方米）</v>
      </c>
      <c r="Q48" s="3416"/>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1786</v>
      </c>
      <c r="B49" s="428"/>
      <c r="C49" s="351" t="e">
        <f>R49</f>
        <v>#DIV/0!</v>
      </c>
      <c r="D49" s="351"/>
      <c r="E49" s="351"/>
      <c r="F49" s="351"/>
      <c r="G49" s="351"/>
      <c r="H49" s="351"/>
      <c r="I49" s="351"/>
      <c r="J49" s="351"/>
      <c r="K49" s="675"/>
      <c r="L49" s="2490"/>
      <c r="M49" s="2483"/>
      <c r="N49" s="2483"/>
      <c r="O49" s="2483"/>
      <c r="P49" s="3434" t="str">
        <f>A49</f>
        <v>估价对象XX用房的比较价值（楼面单价，元/平方米）</v>
      </c>
      <c r="Q49" s="3435"/>
      <c r="R49" s="3478" t="e">
        <f>IF(F1="售价",ROUND(IF(D48="简单平均",AVERAGE(R48:V48),R48*F48+T48*H48+V48*J48),0),ROUND(IF(D48="简单平均",AVERAGE(R48:V48),R48*F48+T48*H48+V48*J48),1))</f>
        <v>#DIV/0!</v>
      </c>
      <c r="S49" s="3478"/>
      <c r="T49" s="3478"/>
      <c r="U49" s="3478"/>
      <c r="V49" s="3478"/>
      <c r="W49" s="347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1787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1788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1789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1790</v>
      </c>
      <c r="B57" s="385"/>
      <c r="C57" s="659"/>
      <c r="D57" s="659"/>
      <c r="E57" s="659"/>
      <c r="F57" s="660"/>
      <c r="G57" s="660"/>
      <c r="H57" s="659"/>
      <c r="I57" s="659"/>
      <c r="J57" s="659"/>
      <c r="K57" s="661"/>
      <c r="L57" s="885"/>
      <c r="M57" s="883"/>
      <c r="N57" s="883"/>
      <c r="O57" s="883"/>
      <c r="P57" s="2503"/>
      <c r="Q57" s="2504"/>
      <c r="R57" s="2483"/>
      <c r="S57" s="2483"/>
      <c r="T57" s="2483"/>
      <c r="U57" s="2483"/>
      <c r="V57" s="2483"/>
      <c r="W57" s="2483"/>
      <c r="X57" s="2483"/>
      <c r="Y57" s="2483"/>
      <c r="Z57" s="2483"/>
      <c r="AA57" s="2483"/>
      <c r="AB57" s="2483"/>
      <c r="AC57" s="2483"/>
    </row>
    <row r="58" spans="1:29" s="442" customFormat="1" ht="15">
      <c r="A58" s="440" t="s">
        <v>1671</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5"/>
      <c r="Q58" s="2506"/>
      <c r="R58" s="2506"/>
      <c r="S58" s="2506"/>
      <c r="T58" s="2506"/>
      <c r="U58" s="2506"/>
      <c r="V58" s="2506"/>
      <c r="W58" s="2506"/>
      <c r="X58" s="2506"/>
      <c r="Y58" s="2506"/>
      <c r="Z58" s="2506"/>
      <c r="AA58" s="2506"/>
      <c r="AB58" s="2506"/>
      <c r="AC58" s="2506"/>
    </row>
    <row r="59" spans="1:29" s="102" customFormat="1" ht="15">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1708</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1673</v>
      </c>
      <c r="B61" s="444"/>
      <c r="C61" s="456" t="s">
        <v>1768</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1711</v>
      </c>
      <c r="B63" s="460" t="s">
        <v>1677</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1680</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1681</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1682</v>
      </c>
      <c r="B76" s="460" t="s">
        <v>1712</v>
      </c>
      <c r="C76" s="504" t="s">
        <v>1713</v>
      </c>
      <c r="D76" s="504" t="s">
        <v>1714</v>
      </c>
      <c r="E76" s="504" t="s">
        <v>1715</v>
      </c>
      <c r="F76" s="504" t="s">
        <v>1716</v>
      </c>
      <c r="G76" s="504" t="s">
        <v>1717</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1718</v>
      </c>
      <c r="C78" s="509" t="s">
        <v>1713</v>
      </c>
      <c r="D78" s="509" t="s">
        <v>1714</v>
      </c>
      <c r="E78" s="509" t="s">
        <v>1715</v>
      </c>
      <c r="F78" s="509" t="s">
        <v>1716</v>
      </c>
      <c r="G78" s="509" t="s">
        <v>1717</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1719</v>
      </c>
      <c r="C80" s="509" t="s">
        <v>1713</v>
      </c>
      <c r="D80" s="509" t="s">
        <v>1714</v>
      </c>
      <c r="E80" s="509" t="s">
        <v>1715</v>
      </c>
      <c r="F80" s="509" t="s">
        <v>1716</v>
      </c>
      <c r="G80" s="509" t="s">
        <v>1717</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1771</v>
      </c>
      <c r="C82" s="581" t="s">
        <v>1791</v>
      </c>
      <c r="D82" s="581" t="s">
        <v>1792</v>
      </c>
      <c r="E82" s="581" t="s">
        <v>1793</v>
      </c>
      <c r="F82" s="581" t="s">
        <v>1794</v>
      </c>
      <c r="G82" s="581" t="s">
        <v>1795</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1725</v>
      </c>
      <c r="C84" s="509" t="s">
        <v>1713</v>
      </c>
      <c r="D84" s="509" t="s">
        <v>1714</v>
      </c>
      <c r="E84" s="509" t="s">
        <v>1715</v>
      </c>
      <c r="F84" s="509" t="s">
        <v>1716</v>
      </c>
      <c r="G84" s="509" t="s">
        <v>1717</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1796</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5"/>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1686</v>
      </c>
      <c r="B100" s="460" t="s">
        <v>1797</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1729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1730</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1732</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1182</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1734</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1798</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1799</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1800</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1801</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1736</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1737</v>
      </c>
      <c r="C124" s="509" t="s">
        <v>1713</v>
      </c>
      <c r="D124" s="509" t="s">
        <v>1714</v>
      </c>
      <c r="E124" s="509" t="s">
        <v>1715</v>
      </c>
      <c r="F124" s="509" t="s">
        <v>1716</v>
      </c>
      <c r="G124" s="509" t="s">
        <v>1717</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cfRule type="containsText" dxfId="66" priority="17" stopIfTrue="1" operator="containsText" text="超过">
      <formula>NOT(ISERROR(SEARCH("超过",F52)))</formula>
    </cfRule>
  </conditionalFormatting>
  <conditionalFormatting sqref="G52">
    <cfRule type="expression" dxfId="65" priority="12" stopIfTrue="1">
      <formula>$H$52="超过30%"</formula>
    </cfRule>
  </conditionalFormatting>
  <conditionalFormatting sqref="G53">
    <cfRule type="expression" dxfId="64" priority="11" stopIfTrue="1">
      <formula>$H$53="超过20%"</formula>
    </cfRule>
  </conditionalFormatting>
  <conditionalFormatting sqref="G54">
    <cfRule type="expression" dxfId="63" priority="13"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conditionalFormatting sqref="J52:J54">
    <cfRule type="containsText" dxfId="5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1818</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IF(E1="项目模式",IF(C2="——",ROUND(C43*D3/10000,0),ROUND(C43*D3/10000,0)-D2),IF(E1="单套模式",IF(C2="——",ROUND(C43*D3/10000,4),ROUND(C43*D3/10000,4)-D2)))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1456</v>
      </c>
      <c r="B3" s="536">
        <f>IF(C2="——",C43,ROUND(B2*10000/D3,0))</f>
        <v>0</v>
      </c>
      <c r="C3" s="344" t="s">
        <v>1760</v>
      </c>
      <c r="D3" s="343">
        <f>IF(D1="",'数据-汇总表'!E3,SUMIF('数据-汇总表'!$C19:$C33,D1,'数据-汇总表'!$E19:$E33))</f>
        <v>2178.63</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857"/>
      <c r="M4" s="858"/>
      <c r="N4" s="858"/>
      <c r="O4" s="858"/>
      <c r="P4" s="3429" t="s">
        <v>1767</v>
      </c>
      <c r="Q4" s="3430"/>
      <c r="R4" s="3427" t="s">
        <v>1763</v>
      </c>
      <c r="S4" s="3428"/>
      <c r="T4" s="3427" t="s">
        <v>1764</v>
      </c>
      <c r="U4" s="3428"/>
      <c r="V4" s="3404" t="s">
        <v>1765</v>
      </c>
      <c r="W4" s="3404"/>
      <c r="X4" s="1261"/>
      <c r="Y4" s="3427" t="s">
        <v>1767</v>
      </c>
      <c r="Z4" s="3428"/>
      <c r="AA4" s="3426" t="s">
        <v>1763</v>
      </c>
      <c r="AB4" s="3370" t="s">
        <v>1764</v>
      </c>
      <c r="AC4" s="3426" t="s">
        <v>1765</v>
      </c>
    </row>
    <row r="5" spans="1:29" ht="15">
      <c r="A5" s="348"/>
      <c r="B5" s="349"/>
      <c r="C5" s="3380" t="s">
        <v>1665</v>
      </c>
      <c r="D5" s="3381"/>
      <c r="E5" s="3477" t="s">
        <v>1666</v>
      </c>
      <c r="F5" s="3379"/>
      <c r="G5" s="3380" t="s">
        <v>1667</v>
      </c>
      <c r="H5" s="3381"/>
      <c r="I5" s="3380" t="s">
        <v>1668</v>
      </c>
      <c r="J5" s="3381"/>
      <c r="K5" s="537"/>
      <c r="L5" s="857"/>
      <c r="M5" s="858"/>
      <c r="N5" s="858"/>
      <c r="O5" s="858"/>
      <c r="P5" s="3431"/>
      <c r="Q5" s="3398"/>
      <c r="R5" s="3376"/>
      <c r="S5" s="3377"/>
      <c r="T5" s="3376"/>
      <c r="U5" s="3377"/>
      <c r="V5" s="3404"/>
      <c r="W5" s="3404"/>
      <c r="X5" s="1261"/>
      <c r="Y5" s="3376"/>
      <c r="Z5" s="3377"/>
      <c r="AA5" s="3370"/>
      <c r="AB5" s="3370"/>
      <c r="AC5" s="3370"/>
    </row>
    <row r="6" spans="1:29" ht="15.75" thickBot="1">
      <c r="A6" s="350"/>
      <c r="B6" s="351"/>
      <c r="C6" s="3382" t="s">
        <v>1669</v>
      </c>
      <c r="D6" s="3383"/>
      <c r="E6" s="3385" t="s">
        <v>1669</v>
      </c>
      <c r="F6" s="3386"/>
      <c r="G6" s="3382" t="s">
        <v>1669</v>
      </c>
      <c r="H6" s="3383"/>
      <c r="I6" s="3382" t="s">
        <v>1669</v>
      </c>
      <c r="J6" s="3383"/>
      <c r="K6" s="537" t="s">
        <v>1670</v>
      </c>
      <c r="L6" s="857"/>
      <c r="M6" s="858"/>
      <c r="N6" s="858"/>
      <c r="O6" s="858"/>
      <c r="P6" s="3432"/>
      <c r="Q6" s="3400"/>
      <c r="R6" s="3376"/>
      <c r="S6" s="3377"/>
      <c r="T6" s="3401"/>
      <c r="U6" s="3402"/>
      <c r="V6" s="3404"/>
      <c r="W6" s="3404"/>
      <c r="X6" s="1261"/>
      <c r="Y6" s="3401"/>
      <c r="Z6" s="3402"/>
      <c r="AA6" s="3371"/>
      <c r="AB6" s="3371"/>
      <c r="AC6" s="3371"/>
    </row>
    <row r="7" spans="1:29" s="102" customFormat="1" ht="15.75" thickBot="1">
      <c r="A7" s="352" t="s">
        <v>1671</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59"/>
      <c r="M7" s="860"/>
      <c r="N7" s="860"/>
      <c r="O7" s="860"/>
      <c r="P7" s="3372" t="s">
        <v>1672</v>
      </c>
      <c r="Q7" s="3406"/>
      <c r="R7" s="664" t="s">
        <v>14</v>
      </c>
      <c r="S7" s="665">
        <f t="shared" ref="S7:S15" si="0">F7</f>
        <v>0</v>
      </c>
      <c r="T7" s="664" t="s">
        <v>14</v>
      </c>
      <c r="U7" s="665">
        <f t="shared" ref="U7:U15" si="1">H7</f>
        <v>0</v>
      </c>
      <c r="V7" s="664" t="s">
        <v>14</v>
      </c>
      <c r="W7" s="665">
        <f t="shared" ref="W7:W15" si="2">J7</f>
        <v>0</v>
      </c>
      <c r="X7" s="666"/>
      <c r="Y7" s="3372" t="s">
        <v>1672</v>
      </c>
      <c r="Z7" s="3373"/>
      <c r="AA7" s="50" t="e">
        <f>D7/F7</f>
        <v>#DIV/0!</v>
      </c>
      <c r="AB7" s="50" t="e">
        <f>D7/H7</f>
        <v>#DIV/0!</v>
      </c>
      <c r="AC7" s="50" t="e">
        <f>D7/J7</f>
        <v>#DIV/0!</v>
      </c>
    </row>
    <row r="8" spans="1:29" s="102" customFormat="1" ht="15.75" thickBot="1">
      <c r="A8" s="352" t="s">
        <v>1673</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72" t="s">
        <v>1675</v>
      </c>
      <c r="Q8" s="3373"/>
      <c r="R8" s="664" t="s">
        <v>14</v>
      </c>
      <c r="S8" s="665">
        <f t="shared" si="0"/>
        <v>100</v>
      </c>
      <c r="T8" s="664" t="s">
        <v>14</v>
      </c>
      <c r="U8" s="665">
        <f t="shared" si="1"/>
        <v>100</v>
      </c>
      <c r="V8" s="664" t="s">
        <v>14</v>
      </c>
      <c r="W8" s="665">
        <f t="shared" si="2"/>
        <v>100</v>
      </c>
      <c r="X8" s="666"/>
      <c r="Y8" s="3372" t="s">
        <v>1675</v>
      </c>
      <c r="Z8" s="3373"/>
      <c r="AA8" s="50">
        <f t="shared" ref="AA8:AA40" si="3">D8/F8</f>
        <v>1</v>
      </c>
      <c r="AB8" s="50">
        <f t="shared" ref="AB8:AB40" si="4">D8/H8</f>
        <v>1</v>
      </c>
      <c r="AC8" s="50">
        <f t="shared" ref="AC8:AC40" si="5">D8/J8</f>
        <v>1</v>
      </c>
    </row>
    <row r="9" spans="1:29" s="102" customFormat="1">
      <c r="A9" s="359" t="s">
        <v>1676</v>
      </c>
      <c r="B9" s="60" t="s">
        <v>1677</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16" t="s">
        <v>1678</v>
      </c>
      <c r="Q9" s="530" t="str">
        <f t="shared" ref="Q9:Q15" si="6">B9</f>
        <v>用途</v>
      </c>
      <c r="R9" s="664" t="s">
        <v>14</v>
      </c>
      <c r="S9" s="665">
        <f t="shared" si="0"/>
        <v>100</v>
      </c>
      <c r="T9" s="664" t="s">
        <v>14</v>
      </c>
      <c r="U9" s="665">
        <f t="shared" si="1"/>
        <v>100</v>
      </c>
      <c r="V9" s="664" t="s">
        <v>14</v>
      </c>
      <c r="W9" s="665">
        <f t="shared" si="2"/>
        <v>100</v>
      </c>
      <c r="X9" s="666"/>
      <c r="Y9" s="3276"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16"/>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1681</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16"/>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59"/>
      <c r="M12" s="860"/>
      <c r="N12" s="860"/>
      <c r="O12" s="861"/>
      <c r="P12" s="3416"/>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7"/>
      <c r="M13" s="858"/>
      <c r="N13" s="858"/>
      <c r="O13" s="866"/>
      <c r="P13" s="3416"/>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7"/>
      <c r="M14" s="858"/>
      <c r="N14" s="858"/>
      <c r="O14" s="866"/>
      <c r="P14" s="3416"/>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15">
      <c r="A15" s="379" t="s">
        <v>1682</v>
      </c>
      <c r="B15" s="58" t="s">
        <v>1819</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09" t="s">
        <v>1683</v>
      </c>
      <c r="Q15" s="1259" t="str">
        <f t="shared" si="6"/>
        <v>产业集聚程度</v>
      </c>
      <c r="R15" s="667" t="s">
        <v>14</v>
      </c>
      <c r="S15" s="668">
        <f t="shared" si="0"/>
        <v>100</v>
      </c>
      <c r="T15" s="667" t="s">
        <v>14</v>
      </c>
      <c r="U15" s="668">
        <f t="shared" si="1"/>
        <v>100</v>
      </c>
      <c r="V15" s="667" t="s">
        <v>14</v>
      </c>
      <c r="W15" s="668">
        <f t="shared" si="2"/>
        <v>100</v>
      </c>
      <c r="X15" s="1261"/>
      <c r="Y15" s="3409" t="s">
        <v>1683</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10"/>
      <c r="Q16" s="1259"/>
      <c r="R16" s="667"/>
      <c r="S16" s="668"/>
      <c r="T16" s="667"/>
      <c r="U16" s="668"/>
      <c r="V16" s="667"/>
      <c r="W16" s="668"/>
      <c r="X16" s="1261"/>
      <c r="Y16" s="3410"/>
      <c r="Z16" s="1260"/>
      <c r="AA16" s="1260">
        <v>1</v>
      </c>
      <c r="AB16" s="1260">
        <v>1</v>
      </c>
      <c r="AC16" s="1260">
        <v>1</v>
      </c>
    </row>
    <row r="17" spans="1:29" ht="15">
      <c r="A17" s="367"/>
      <c r="B17" s="390" t="s">
        <v>1251</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0"/>
      <c r="Q17" s="1259" t="str">
        <f>B17</f>
        <v>交通便捷度</v>
      </c>
      <c r="R17" s="667" t="s">
        <v>14</v>
      </c>
      <c r="S17" s="668">
        <f>F17</f>
        <v>100</v>
      </c>
      <c r="T17" s="667" t="s">
        <v>14</v>
      </c>
      <c r="U17" s="668">
        <f>H17</f>
        <v>100</v>
      </c>
      <c r="V17" s="667" t="s">
        <v>14</v>
      </c>
      <c r="W17" s="668">
        <f>J17</f>
        <v>100</v>
      </c>
      <c r="X17" s="1261"/>
      <c r="Y17" s="3410"/>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867"/>
      <c r="M18" s="858"/>
      <c r="N18" s="858"/>
      <c r="O18" s="866"/>
      <c r="P18" s="3410"/>
      <c r="Q18" s="1259"/>
      <c r="R18" s="667"/>
      <c r="S18" s="668"/>
      <c r="T18" s="667"/>
      <c r="U18" s="668"/>
      <c r="V18" s="667"/>
      <c r="W18" s="668"/>
      <c r="X18" s="1261"/>
      <c r="Y18" s="3410"/>
      <c r="Z18" s="1260"/>
      <c r="AA18" s="1260">
        <v>1</v>
      </c>
      <c r="AB18" s="1260">
        <v>1</v>
      </c>
      <c r="AC18" s="1260">
        <v>1</v>
      </c>
    </row>
    <row r="19" spans="1:29" ht="15">
      <c r="A19" s="367"/>
      <c r="B19" s="390" t="s">
        <v>1804</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0"/>
      <c r="Q19" s="1259" t="str">
        <f>B19</f>
        <v>公共配套设施</v>
      </c>
      <c r="R19" s="667" t="s">
        <v>14</v>
      </c>
      <c r="S19" s="668">
        <f>F19</f>
        <v>100</v>
      </c>
      <c r="T19" s="667" t="s">
        <v>14</v>
      </c>
      <c r="U19" s="668">
        <f>H19</f>
        <v>100</v>
      </c>
      <c r="V19" s="667" t="s">
        <v>14</v>
      </c>
      <c r="W19" s="668">
        <f>J19</f>
        <v>100</v>
      </c>
      <c r="X19" s="1261"/>
      <c r="Y19" s="3410"/>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867"/>
      <c r="M20" s="858"/>
      <c r="N20" s="858"/>
      <c r="O20" s="866"/>
      <c r="P20" s="3410"/>
      <c r="Q20" s="1259"/>
      <c r="R20" s="667"/>
      <c r="S20" s="668"/>
      <c r="T20" s="667"/>
      <c r="U20" s="668"/>
      <c r="V20" s="667"/>
      <c r="W20" s="668"/>
      <c r="X20" s="1261"/>
      <c r="Y20" s="3410"/>
      <c r="Z20" s="1260"/>
      <c r="AA20" s="1260">
        <v>1</v>
      </c>
      <c r="AB20" s="1260">
        <v>1</v>
      </c>
      <c r="AC20" s="1260">
        <v>1</v>
      </c>
    </row>
    <row r="21" spans="1:29" ht="15">
      <c r="A21" s="367"/>
      <c r="B21" s="586" t="s">
        <v>1805</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0"/>
      <c r="Q21" s="1259" t="str">
        <f>B21</f>
        <v>基础设施水平</v>
      </c>
      <c r="R21" s="667" t="s">
        <v>14</v>
      </c>
      <c r="S21" s="668">
        <f>F21</f>
        <v>100</v>
      </c>
      <c r="T21" s="667" t="s">
        <v>14</v>
      </c>
      <c r="U21" s="668">
        <f>H21</f>
        <v>100</v>
      </c>
      <c r="V21" s="667" t="s">
        <v>14</v>
      </c>
      <c r="W21" s="668">
        <f>J21</f>
        <v>100</v>
      </c>
      <c r="X21" s="1261"/>
      <c r="Y21" s="3410"/>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867"/>
      <c r="M22" s="858"/>
      <c r="N22" s="858"/>
      <c r="O22" s="866"/>
      <c r="P22" s="3410"/>
      <c r="Q22" s="1259"/>
      <c r="R22" s="667"/>
      <c r="S22" s="668"/>
      <c r="T22" s="667"/>
      <c r="U22" s="668"/>
      <c r="V22" s="667"/>
      <c r="W22" s="668"/>
      <c r="X22" s="1261"/>
      <c r="Y22" s="3410"/>
      <c r="Z22" s="1260"/>
      <c r="AA22" s="1260">
        <v>1</v>
      </c>
      <c r="AB22" s="1260">
        <v>1</v>
      </c>
      <c r="AC22" s="1260">
        <v>1</v>
      </c>
    </row>
    <row r="23" spans="1:29" ht="15">
      <c r="A23" s="367"/>
      <c r="B23" s="390" t="s">
        <v>1806</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0"/>
      <c r="Q23" s="1259" t="str">
        <f>B23</f>
        <v>环境质量</v>
      </c>
      <c r="R23" s="667" t="s">
        <v>14</v>
      </c>
      <c r="S23" s="668">
        <f>F23</f>
        <v>100</v>
      </c>
      <c r="T23" s="667" t="s">
        <v>14</v>
      </c>
      <c r="U23" s="668">
        <f>H23</f>
        <v>100</v>
      </c>
      <c r="V23" s="667" t="s">
        <v>14</v>
      </c>
      <c r="W23" s="668">
        <f>J23</f>
        <v>100</v>
      </c>
      <c r="X23" s="1261"/>
      <c r="Y23" s="3410"/>
      <c r="Z23" s="1260" t="str">
        <f>Q23</f>
        <v>环境质量</v>
      </c>
      <c r="AA23" s="1260">
        <f t="shared" si="3"/>
        <v>1</v>
      </c>
      <c r="AB23" s="1260">
        <f t="shared" si="4"/>
        <v>1</v>
      </c>
      <c r="AC23" s="1260">
        <f t="shared" si="5"/>
        <v>1</v>
      </c>
    </row>
    <row r="24" spans="1:29" ht="15">
      <c r="A24" s="367"/>
      <c r="B24" s="586"/>
      <c r="C24" s="386"/>
      <c r="D24" s="387"/>
      <c r="E24" s="1747"/>
      <c r="F24" s="388"/>
      <c r="G24" s="1746"/>
      <c r="H24" s="387"/>
      <c r="I24" s="1747"/>
      <c r="J24" s="387"/>
      <c r="K24" s="541"/>
      <c r="L24" s="867"/>
      <c r="M24" s="858"/>
      <c r="N24" s="858"/>
      <c r="O24" s="866"/>
      <c r="P24" s="3410"/>
      <c r="Q24" s="1259"/>
      <c r="R24" s="667"/>
      <c r="S24" s="668"/>
      <c r="T24" s="667"/>
      <c r="U24" s="668"/>
      <c r="V24" s="667"/>
      <c r="W24" s="668"/>
      <c r="X24" s="1261"/>
      <c r="Y24" s="3410"/>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0"/>
      <c r="Q25" s="1259">
        <f>B25</f>
        <v>111</v>
      </c>
      <c r="R25" s="667" t="s">
        <v>14</v>
      </c>
      <c r="S25" s="668">
        <f>F25</f>
        <v>100</v>
      </c>
      <c r="T25" s="667" t="s">
        <v>14</v>
      </c>
      <c r="U25" s="668">
        <f>H25</f>
        <v>100</v>
      </c>
      <c r="V25" s="667" t="s">
        <v>14</v>
      </c>
      <c r="W25" s="668">
        <f>J25</f>
        <v>100</v>
      </c>
      <c r="X25" s="1261"/>
      <c r="Y25" s="3410"/>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0"/>
      <c r="Q26" s="1259">
        <f t="shared" ref="Q26:Q40" si="11">B26</f>
        <v>111</v>
      </c>
      <c r="R26" s="667" t="s">
        <v>14</v>
      </c>
      <c r="S26" s="668">
        <f>F26</f>
        <v>100</v>
      </c>
      <c r="T26" s="667" t="s">
        <v>14</v>
      </c>
      <c r="U26" s="668">
        <f>H26</f>
        <v>100</v>
      </c>
      <c r="V26" s="667" t="s">
        <v>14</v>
      </c>
      <c r="W26" s="668">
        <f>J26</f>
        <v>100</v>
      </c>
      <c r="X26" s="1261"/>
      <c r="Y26" s="3410"/>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0"/>
      <c r="Q27" s="530">
        <f t="shared" si="11"/>
        <v>111</v>
      </c>
      <c r="R27" s="664" t="s">
        <v>14</v>
      </c>
      <c r="S27" s="665">
        <f>F27</f>
        <v>100</v>
      </c>
      <c r="T27" s="664" t="s">
        <v>14</v>
      </c>
      <c r="U27" s="665">
        <f>H27</f>
        <v>100</v>
      </c>
      <c r="V27" s="664" t="s">
        <v>14</v>
      </c>
      <c r="W27" s="665">
        <f>J27</f>
        <v>100</v>
      </c>
      <c r="X27" s="666"/>
      <c r="Y27" s="3410"/>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0"/>
      <c r="Q28" s="1259">
        <f t="shared" si="11"/>
        <v>111</v>
      </c>
      <c r="R28" s="667" t="s">
        <v>14</v>
      </c>
      <c r="S28" s="668">
        <f t="shared" ref="S28:S40" si="12">F28</f>
        <v>100</v>
      </c>
      <c r="T28" s="667" t="s">
        <v>14</v>
      </c>
      <c r="U28" s="668">
        <f t="shared" ref="U28:U40" si="13">H28</f>
        <v>100</v>
      </c>
      <c r="V28" s="667" t="s">
        <v>14</v>
      </c>
      <c r="W28" s="668">
        <f t="shared" ref="W28:W40" si="14">J28</f>
        <v>100</v>
      </c>
      <c r="X28" s="1261"/>
      <c r="Y28" s="3410"/>
      <c r="Z28" s="1260">
        <f t="shared" ref="Z28:Z40" si="15">Q28</f>
        <v>111</v>
      </c>
      <c r="AA28" s="1260">
        <f t="shared" si="3"/>
        <v>1</v>
      </c>
      <c r="AB28" s="1260">
        <f t="shared" si="4"/>
        <v>1</v>
      </c>
      <c r="AC28" s="1260">
        <f t="shared" si="5"/>
        <v>1</v>
      </c>
    </row>
    <row r="29" spans="1:29" ht="28.5">
      <c r="A29" s="404" t="s">
        <v>1686</v>
      </c>
      <c r="B29" s="60" t="s">
        <v>1809</v>
      </c>
      <c r="C29" s="1759"/>
      <c r="D29" s="405">
        <v>100</v>
      </c>
      <c r="E29" s="1759"/>
      <c r="F29" s="400">
        <f>SUMIF(88:88,E29,89:89)-SUMIF(88:88,C29,89:89)+100</f>
        <v>100</v>
      </c>
      <c r="G29" s="1759"/>
      <c r="H29" s="374">
        <f>SUMIF(88:88,G29,89:89)-SUMIF(88:88,C29,89:89)+100</f>
        <v>100</v>
      </c>
      <c r="I29" s="1759"/>
      <c r="J29" s="405">
        <f>SUMIF(88:88,I29,89:89)-SUMIF(88:88,C29,89:89)+100</f>
        <v>100</v>
      </c>
      <c r="K29" s="538"/>
      <c r="L29" s="867"/>
      <c r="M29" s="858"/>
      <c r="N29" s="858"/>
      <c r="O29" s="866"/>
      <c r="P29" s="3433" t="s">
        <v>1688</v>
      </c>
      <c r="Q29" s="1259" t="str">
        <f t="shared" si="11"/>
        <v>建筑类型</v>
      </c>
      <c r="R29" s="667" t="s">
        <v>14</v>
      </c>
      <c r="S29" s="668">
        <f t="shared" si="12"/>
        <v>100</v>
      </c>
      <c r="T29" s="667" t="s">
        <v>14</v>
      </c>
      <c r="U29" s="668">
        <f t="shared" si="13"/>
        <v>100</v>
      </c>
      <c r="V29" s="667" t="s">
        <v>14</v>
      </c>
      <c r="W29" s="668">
        <f t="shared" si="14"/>
        <v>100</v>
      </c>
      <c r="X29" s="1261"/>
      <c r="Y29" s="3414" t="s">
        <v>1688</v>
      </c>
      <c r="Z29" s="1260" t="str">
        <f t="shared" si="15"/>
        <v>建筑类型</v>
      </c>
      <c r="AA29" s="1260">
        <f t="shared" si="3"/>
        <v>1</v>
      </c>
      <c r="AB29" s="1260">
        <f t="shared" si="4"/>
        <v>1</v>
      </c>
      <c r="AC29" s="1260">
        <f t="shared" si="5"/>
        <v>1</v>
      </c>
    </row>
    <row r="30" spans="1:29" s="408" customFormat="1" ht="15">
      <c r="A30" s="406"/>
      <c r="B30" s="364" t="s">
        <v>1689</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0" t="e">
        <f t="shared" si="3"/>
        <v>#N/A</v>
      </c>
      <c r="AB30" s="1260" t="e">
        <f t="shared" si="4"/>
        <v>#N/A</v>
      </c>
      <c r="AC30" s="1260" t="e">
        <f t="shared" si="5"/>
        <v>#N/A</v>
      </c>
    </row>
    <row r="31" spans="1:29" ht="15">
      <c r="A31" s="409"/>
      <c r="B31" s="364" t="s">
        <v>1690</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14"/>
      <c r="Q31" s="1259" t="str">
        <f t="shared" si="11"/>
        <v>建筑结构</v>
      </c>
      <c r="R31" s="667" t="s">
        <v>14</v>
      </c>
      <c r="S31" s="668">
        <f t="shared" si="12"/>
        <v>100</v>
      </c>
      <c r="T31" s="667" t="s">
        <v>14</v>
      </c>
      <c r="U31" s="668">
        <f t="shared" si="13"/>
        <v>100</v>
      </c>
      <c r="V31" s="667" t="s">
        <v>14</v>
      </c>
      <c r="W31" s="668">
        <f t="shared" si="14"/>
        <v>100</v>
      </c>
      <c r="X31" s="1261"/>
      <c r="Y31" s="3414"/>
      <c r="Z31" s="1260" t="str">
        <f t="shared" si="15"/>
        <v>建筑结构</v>
      </c>
      <c r="AA31" s="1260">
        <f t="shared" si="3"/>
        <v>1</v>
      </c>
      <c r="AB31" s="1260">
        <f t="shared" si="4"/>
        <v>1</v>
      </c>
      <c r="AC31" s="1260">
        <f t="shared" si="5"/>
        <v>1</v>
      </c>
    </row>
    <row r="32" spans="1:29" ht="15">
      <c r="A32" s="409"/>
      <c r="B32" s="364" t="s">
        <v>1777</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14"/>
      <c r="Q32" s="1259" t="str">
        <f t="shared" si="11"/>
        <v>公共部分装修</v>
      </c>
      <c r="R32" s="667" t="s">
        <v>14</v>
      </c>
      <c r="S32" s="668">
        <f t="shared" si="12"/>
        <v>100</v>
      </c>
      <c r="T32" s="667" t="s">
        <v>14</v>
      </c>
      <c r="U32" s="668">
        <f t="shared" si="13"/>
        <v>100</v>
      </c>
      <c r="V32" s="667" t="s">
        <v>14</v>
      </c>
      <c r="W32" s="668">
        <f t="shared" si="14"/>
        <v>100</v>
      </c>
      <c r="X32" s="1261"/>
      <c r="Y32" s="3414"/>
      <c r="Z32" s="1260" t="str">
        <f t="shared" si="15"/>
        <v>公共部分装修</v>
      </c>
      <c r="AA32" s="1260">
        <f t="shared" si="3"/>
        <v>1</v>
      </c>
      <c r="AB32" s="1260">
        <f t="shared" si="4"/>
        <v>1</v>
      </c>
      <c r="AC32" s="1260">
        <f t="shared" si="5"/>
        <v>1</v>
      </c>
    </row>
    <row r="33" spans="1:29" ht="15">
      <c r="A33" s="409"/>
      <c r="B33" s="364" t="s">
        <v>1778</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14"/>
      <c r="Q33" s="1259" t="str">
        <f t="shared" si="11"/>
        <v>成新度</v>
      </c>
      <c r="R33" s="667" t="s">
        <v>14</v>
      </c>
      <c r="S33" s="668" t="e">
        <f t="shared" si="12"/>
        <v>#N/A</v>
      </c>
      <c r="T33" s="667" t="s">
        <v>14</v>
      </c>
      <c r="U33" s="668" t="e">
        <f t="shared" si="13"/>
        <v>#N/A</v>
      </c>
      <c r="V33" s="667" t="s">
        <v>14</v>
      </c>
      <c r="W33" s="668" t="e">
        <f t="shared" si="14"/>
        <v>#N/A</v>
      </c>
      <c r="X33" s="1261"/>
      <c r="Y33" s="3414"/>
      <c r="Z33" s="1260" t="str">
        <f t="shared" si="15"/>
        <v>成新度</v>
      </c>
      <c r="AA33" s="1260" t="e">
        <f t="shared" si="3"/>
        <v>#N/A</v>
      </c>
      <c r="AB33" s="1260" t="e">
        <f t="shared" si="4"/>
        <v>#N/A</v>
      </c>
      <c r="AC33" s="1260" t="e">
        <f t="shared" si="5"/>
        <v>#N/A</v>
      </c>
    </row>
    <row r="34" spans="1:29" s="102" customFormat="1" ht="15">
      <c r="A34" s="410"/>
      <c r="B34" s="364" t="s">
        <v>1811</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1779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14" t="s">
        <v>1688</v>
      </c>
      <c r="Q35" s="1259" t="str">
        <f t="shared" si="11"/>
        <v>市政基础设施</v>
      </c>
      <c r="R35" s="667" t="s">
        <v>14</v>
      </c>
      <c r="S35" s="668">
        <f t="shared" si="12"/>
        <v>100</v>
      </c>
      <c r="T35" s="667" t="s">
        <v>14</v>
      </c>
      <c r="U35" s="668">
        <f t="shared" si="13"/>
        <v>100</v>
      </c>
      <c r="V35" s="667" t="s">
        <v>14</v>
      </c>
      <c r="W35" s="668">
        <f t="shared" si="14"/>
        <v>100</v>
      </c>
      <c r="X35" s="1261"/>
      <c r="Y35" s="3414" t="s">
        <v>1688</v>
      </c>
      <c r="Z35" s="1260" t="str">
        <f t="shared" si="15"/>
        <v>市政基础设施</v>
      </c>
      <c r="AA35" s="1260">
        <f t="shared" si="3"/>
        <v>1</v>
      </c>
      <c r="AB35" s="1260">
        <f t="shared" si="4"/>
        <v>1</v>
      </c>
      <c r="AC35" s="1260">
        <f t="shared" si="5"/>
        <v>1</v>
      </c>
    </row>
    <row r="36" spans="1:29" ht="15">
      <c r="A36" s="409"/>
      <c r="B36" s="364" t="s">
        <v>1784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14"/>
      <c r="Q36" s="1259" t="str">
        <f t="shared" si="11"/>
        <v>内部装修</v>
      </c>
      <c r="R36" s="667" t="s">
        <v>14</v>
      </c>
      <c r="S36" s="668">
        <f t="shared" si="12"/>
        <v>100</v>
      </c>
      <c r="T36" s="667" t="s">
        <v>14</v>
      </c>
      <c r="U36" s="668">
        <f t="shared" si="13"/>
        <v>100</v>
      </c>
      <c r="V36" s="667" t="s">
        <v>14</v>
      </c>
      <c r="W36" s="668">
        <f t="shared" si="14"/>
        <v>100</v>
      </c>
      <c r="X36" s="1261"/>
      <c r="Y36" s="3414"/>
      <c r="Z36" s="1260" t="str">
        <f t="shared" si="15"/>
        <v>内部装修</v>
      </c>
      <c r="AA36" s="1260">
        <f t="shared" si="3"/>
        <v>1</v>
      </c>
      <c r="AB36" s="1260">
        <f t="shared" si="4"/>
        <v>1</v>
      </c>
      <c r="AC36" s="1260">
        <f t="shared" si="5"/>
        <v>1</v>
      </c>
    </row>
    <row r="37" spans="1:29" ht="15">
      <c r="A37" s="409"/>
      <c r="B37" s="364" t="s">
        <v>1820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14"/>
      <c r="Q37" s="1259" t="str">
        <f t="shared" si="11"/>
        <v>内部装修状况</v>
      </c>
      <c r="R37" s="667" t="s">
        <v>14</v>
      </c>
      <c r="S37" s="668">
        <f t="shared" si="12"/>
        <v>100</v>
      </c>
      <c r="T37" s="667" t="s">
        <v>14</v>
      </c>
      <c r="U37" s="668">
        <f t="shared" si="13"/>
        <v>100</v>
      </c>
      <c r="V37" s="667" t="s">
        <v>14</v>
      </c>
      <c r="W37" s="668">
        <f t="shared" si="14"/>
        <v>100</v>
      </c>
      <c r="X37" s="1261"/>
      <c r="Y37" s="3414"/>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14"/>
      <c r="Q39" s="1259">
        <f t="shared" si="11"/>
        <v>111</v>
      </c>
      <c r="R39" s="667" t="s">
        <v>14</v>
      </c>
      <c r="S39" s="668">
        <f t="shared" si="12"/>
        <v>100</v>
      </c>
      <c r="T39" s="667" t="s">
        <v>14</v>
      </c>
      <c r="U39" s="668">
        <f t="shared" si="13"/>
        <v>100</v>
      </c>
      <c r="V39" s="667" t="s">
        <v>14</v>
      </c>
      <c r="W39" s="668">
        <f t="shared" si="14"/>
        <v>100</v>
      </c>
      <c r="X39" s="1261"/>
      <c r="Y39" s="3414"/>
      <c r="Z39" s="1260">
        <f t="shared" si="15"/>
        <v>111</v>
      </c>
      <c r="AA39" s="1260">
        <f t="shared" si="3"/>
        <v>1</v>
      </c>
      <c r="AB39" s="1260">
        <f t="shared" si="4"/>
        <v>1</v>
      </c>
      <c r="AC39" s="1260">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15"/>
      <c r="Q40" s="1259">
        <f t="shared" si="11"/>
        <v>111</v>
      </c>
      <c r="R40" s="667" t="s">
        <v>14</v>
      </c>
      <c r="S40" s="668">
        <f t="shared" si="12"/>
        <v>100</v>
      </c>
      <c r="T40" s="667" t="s">
        <v>14</v>
      </c>
      <c r="U40" s="668">
        <f t="shared" si="13"/>
        <v>100</v>
      </c>
      <c r="V40" s="667" t="s">
        <v>14</v>
      </c>
      <c r="W40" s="668">
        <f t="shared" si="14"/>
        <v>100</v>
      </c>
      <c r="X40" s="1261"/>
      <c r="Y40" s="3415"/>
      <c r="Z40" s="1260">
        <f t="shared" si="15"/>
        <v>111</v>
      </c>
      <c r="AA40" s="1260">
        <f t="shared" si="3"/>
        <v>1</v>
      </c>
      <c r="AB40" s="1260">
        <f t="shared" si="4"/>
        <v>1</v>
      </c>
      <c r="AC40" s="1260">
        <f t="shared" si="5"/>
        <v>1</v>
      </c>
    </row>
    <row r="41" spans="1:29" ht="15">
      <c r="A41" s="416" t="s">
        <v>1700</v>
      </c>
      <c r="B41" s="417"/>
      <c r="C41" s="1077" t="s">
        <v>0</v>
      </c>
      <c r="D41" s="418"/>
      <c r="E41" s="419"/>
      <c r="F41" s="420"/>
      <c r="G41" s="421"/>
      <c r="H41" s="422"/>
      <c r="I41" s="419"/>
      <c r="J41" s="422"/>
      <c r="K41" s="674"/>
      <c r="L41" s="870"/>
      <c r="M41" s="858"/>
      <c r="N41" s="858"/>
      <c r="O41" s="858"/>
      <c r="P41" s="3416" t="str">
        <f>A41</f>
        <v>成交单价（元/平方米）</v>
      </c>
      <c r="Q41" s="3416"/>
      <c r="R41" s="3404">
        <f>E41</f>
        <v>0</v>
      </c>
      <c r="S41" s="3404"/>
      <c r="T41" s="3404">
        <f>G41</f>
        <v>0</v>
      </c>
      <c r="U41" s="3404"/>
      <c r="V41" s="3404">
        <f>I41</f>
        <v>0</v>
      </c>
      <c r="W41" s="3404"/>
      <c r="X41" s="385"/>
      <c r="Y41" s="673"/>
      <c r="Z41" s="385"/>
      <c r="AA41" s="385"/>
      <c r="AB41" s="385"/>
      <c r="AC41" s="385"/>
    </row>
    <row r="42" spans="1:29" ht="15.75" thickBot="1">
      <c r="A42" s="423" t="s">
        <v>1785</v>
      </c>
      <c r="B42" s="424"/>
      <c r="C42" s="1078" t="e">
        <f>R43</f>
        <v>#DIV/0!</v>
      </c>
      <c r="D42" s="2136" t="s">
        <v>2129</v>
      </c>
      <c r="E42" s="1079" t="e">
        <f>R42</f>
        <v>#DIV/0!</v>
      </c>
      <c r="F42" s="2137"/>
      <c r="G42" s="1078" t="e">
        <f>T42</f>
        <v>#DIV/0!</v>
      </c>
      <c r="H42" s="2137"/>
      <c r="I42" s="1079" t="e">
        <f>V42</f>
        <v>#DIV/0!</v>
      </c>
      <c r="J42" s="2137"/>
      <c r="K42" s="2139">
        <f>F42+H42+J42</f>
        <v>0</v>
      </c>
      <c r="L42" s="870"/>
      <c r="M42" s="858"/>
      <c r="N42" s="858"/>
      <c r="O42" s="858"/>
      <c r="P42" s="3416" t="str">
        <f>A42</f>
        <v>比较价值（元/平方米）</v>
      </c>
      <c r="Q42" s="3416"/>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1786</v>
      </c>
      <c r="B43" s="428"/>
      <c r="C43" s="351" t="e">
        <f>R43</f>
        <v>#DIV/0!</v>
      </c>
      <c r="D43" s="351"/>
      <c r="E43" s="351"/>
      <c r="F43" s="351"/>
      <c r="G43" s="351"/>
      <c r="H43" s="351"/>
      <c r="I43" s="351"/>
      <c r="J43" s="351"/>
      <c r="K43" s="675"/>
      <c r="L43" s="870"/>
      <c r="M43" s="858"/>
      <c r="N43" s="858"/>
      <c r="O43" s="858"/>
      <c r="P43" s="3434" t="str">
        <f>A43</f>
        <v>估价对象XX用房的比较价值（楼面单价，元/平方米）</v>
      </c>
      <c r="Q43" s="3435"/>
      <c r="R43" s="3478" t="e">
        <f>IF(F1="售价",ROUND(IF(D42="简单平均",AVERAGE(R42:V42),R42*F42+T42*H42+V42*J42),0),ROUND(IF(D42="简单平均",AVERAGE(R42:V42),R42*F42+T42*H42+V42*J42),1))</f>
        <v>#DIV/0!</v>
      </c>
      <c r="S43" s="3478"/>
      <c r="T43" s="3478"/>
      <c r="U43" s="3478"/>
      <c r="V43" s="3478"/>
      <c r="W43" s="3478"/>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3"/>
      <c r="M46" s="858"/>
      <c r="N46" s="858"/>
      <c r="O46" s="858"/>
    </row>
    <row r="47" spans="1:29"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3"/>
      <c r="M47" s="858"/>
      <c r="N47" s="858"/>
      <c r="O47" s="858"/>
    </row>
    <row r="48" spans="1:29"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3"/>
      <c r="M48" s="871"/>
      <c r="N48" s="871"/>
      <c r="O48" s="871"/>
    </row>
    <row r="49" spans="1:17" s="437"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8" t="s">
        <v>1790</v>
      </c>
      <c r="B51" s="385"/>
      <c r="C51" s="659"/>
      <c r="D51" s="659"/>
      <c r="E51" s="659"/>
      <c r="F51" s="660"/>
      <c r="G51" s="660"/>
      <c r="H51" s="659"/>
      <c r="I51" s="659"/>
      <c r="J51" s="659"/>
      <c r="K51" s="884"/>
      <c r="L51" s="885"/>
      <c r="M51" s="883"/>
      <c r="N51" s="883"/>
      <c r="O51" s="883"/>
      <c r="P51" s="438"/>
      <c r="Q51" s="439"/>
    </row>
    <row r="52" spans="1:17" s="442" customFormat="1" ht="15">
      <c r="A52" s="440" t="s">
        <v>1671</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1708</v>
      </c>
      <c r="B54" s="450"/>
      <c r="C54" s="451"/>
      <c r="D54" s="452"/>
      <c r="E54" s="452"/>
      <c r="F54" s="452"/>
      <c r="G54" s="452"/>
      <c r="H54" s="452"/>
      <c r="I54" s="452"/>
      <c r="J54" s="452"/>
      <c r="K54" s="452"/>
      <c r="L54" s="452"/>
      <c r="M54" s="453"/>
      <c r="N54" s="2534"/>
      <c r="O54" s="2535"/>
      <c r="P54" s="439"/>
      <c r="Q54" s="439"/>
    </row>
    <row r="55" spans="1:17" s="102" customFormat="1" ht="15">
      <c r="A55" s="455" t="s">
        <v>1673</v>
      </c>
      <c r="B55" s="444"/>
      <c r="C55" s="456" t="s">
        <v>1768</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1711</v>
      </c>
      <c r="B57" s="460" t="s">
        <v>1677</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1680</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1681</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1682</v>
      </c>
      <c r="B70" s="460" t="s">
        <v>1821</v>
      </c>
      <c r="C70" s="504" t="s">
        <v>1713</v>
      </c>
      <c r="D70" s="504" t="s">
        <v>1714</v>
      </c>
      <c r="E70" s="504" t="s">
        <v>1715</v>
      </c>
      <c r="F70" s="504" t="s">
        <v>1716</v>
      </c>
      <c r="G70" s="504" t="s">
        <v>1717</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1718</v>
      </c>
      <c r="C72" s="509" t="s">
        <v>1713</v>
      </c>
      <c r="D72" s="509" t="s">
        <v>1714</v>
      </c>
      <c r="E72" s="509" t="s">
        <v>1715</v>
      </c>
      <c r="F72" s="509" t="s">
        <v>1716</v>
      </c>
      <c r="G72" s="509" t="s">
        <v>1717</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1719</v>
      </c>
      <c r="C74" s="509" t="s">
        <v>1713</v>
      </c>
      <c r="D74" s="509" t="s">
        <v>1714</v>
      </c>
      <c r="E74" s="509" t="s">
        <v>1715</v>
      </c>
      <c r="F74" s="509" t="s">
        <v>1716</v>
      </c>
      <c r="G74" s="509" t="s">
        <v>1717</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1805</v>
      </c>
      <c r="C76" s="581" t="s">
        <v>1791</v>
      </c>
      <c r="D76" s="581" t="s">
        <v>1792</v>
      </c>
      <c r="E76" s="581" t="s">
        <v>1793</v>
      </c>
      <c r="F76" s="581" t="s">
        <v>1794</v>
      </c>
      <c r="G76" s="581" t="s">
        <v>1795</v>
      </c>
      <c r="H76" s="470"/>
      <c r="I76" s="470"/>
      <c r="J76" s="470"/>
      <c r="K76" s="470"/>
      <c r="L76" s="470"/>
      <c r="M76" s="1059"/>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1814</v>
      </c>
      <c r="C78" s="509" t="s">
        <v>1713</v>
      </c>
      <c r="D78" s="509" t="s">
        <v>1714</v>
      </c>
      <c r="E78" s="509" t="s">
        <v>1715</v>
      </c>
      <c r="F78" s="509" t="s">
        <v>1716</v>
      </c>
      <c r="G78" s="509" t="s">
        <v>1717</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1686</v>
      </c>
      <c r="B88" s="460" t="s">
        <v>1728</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1730</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1732</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1182</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1733</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1734</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1736</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1822</v>
      </c>
      <c r="C106" s="509" t="s">
        <v>1713</v>
      </c>
      <c r="D106" s="509" t="s">
        <v>1714</v>
      </c>
      <c r="E106" s="509" t="s">
        <v>1715</v>
      </c>
      <c r="F106" s="509" t="s">
        <v>1716</v>
      </c>
      <c r="G106" s="509" t="s">
        <v>1717</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3314</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IF(E1="项目模式",IF(C2="——",ROUND(C37*D3/10000,0),ROUND(C37*D3/10000,0)-D2),IF(E1="单套模式",IF(C2="——",ROUND(C37*D3/10000,4),ROUND(C37*D3/10000,4)-D2)))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IF(C2="——",C37,ROUND(B2*10000/D3,0))</f>
        <v>#DIV/0!</v>
      </c>
      <c r="C3" s="344" t="s">
        <v>1760</v>
      </c>
      <c r="D3" s="343">
        <f>SUMIF('数据-汇总表'!$C19:$C33,D1,'数据-汇总表'!$E19:$E33)</f>
        <v>0</v>
      </c>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29" t="s">
        <v>1767</v>
      </c>
      <c r="Q4" s="3430"/>
      <c r="R4" s="3427" t="s">
        <v>1763</v>
      </c>
      <c r="S4" s="3428"/>
      <c r="T4" s="3427" t="s">
        <v>1764</v>
      </c>
      <c r="U4" s="3428"/>
      <c r="V4" s="3404" t="s">
        <v>1765</v>
      </c>
      <c r="W4" s="3404"/>
      <c r="X4" s="1261"/>
      <c r="Y4" s="3427" t="s">
        <v>1767</v>
      </c>
      <c r="Z4" s="3428"/>
      <c r="AA4" s="3426" t="s">
        <v>1763</v>
      </c>
      <c r="AB4" s="3370" t="s">
        <v>1764</v>
      </c>
      <c r="AC4" s="3426" t="s">
        <v>1765</v>
      </c>
    </row>
    <row r="5" spans="1:29" ht="15">
      <c r="A5" s="348"/>
      <c r="B5" s="349"/>
      <c r="C5" s="3380" t="s">
        <v>1665</v>
      </c>
      <c r="D5" s="3381"/>
      <c r="E5" s="3477" t="s">
        <v>1666</v>
      </c>
      <c r="F5" s="3379"/>
      <c r="G5" s="3380" t="s">
        <v>1667</v>
      </c>
      <c r="H5" s="3381"/>
      <c r="I5" s="3380" t="s">
        <v>1668</v>
      </c>
      <c r="J5" s="3381"/>
      <c r="K5" s="537"/>
      <c r="L5" s="2482"/>
      <c r="M5" s="2483"/>
      <c r="N5" s="2483"/>
      <c r="O5" s="2483"/>
      <c r="P5" s="3431"/>
      <c r="Q5" s="3398"/>
      <c r="R5" s="3376"/>
      <c r="S5" s="3377"/>
      <c r="T5" s="3376"/>
      <c r="U5" s="3377"/>
      <c r="V5" s="3404"/>
      <c r="W5" s="3404"/>
      <c r="X5" s="1261"/>
      <c r="Y5" s="3376"/>
      <c r="Z5" s="3377"/>
      <c r="AA5" s="3370"/>
      <c r="AB5" s="3370"/>
      <c r="AC5" s="3370"/>
    </row>
    <row r="6" spans="1:29" ht="15.75" thickBot="1">
      <c r="A6" s="350"/>
      <c r="B6" s="351"/>
      <c r="C6" s="3382" t="s">
        <v>1669</v>
      </c>
      <c r="D6" s="3383"/>
      <c r="E6" s="3385" t="s">
        <v>1669</v>
      </c>
      <c r="F6" s="3386"/>
      <c r="G6" s="3382" t="s">
        <v>1669</v>
      </c>
      <c r="H6" s="3383"/>
      <c r="I6" s="3382" t="s">
        <v>1669</v>
      </c>
      <c r="J6" s="3383"/>
      <c r="K6" s="537" t="s">
        <v>1670</v>
      </c>
      <c r="L6" s="2482"/>
      <c r="M6" s="2483"/>
      <c r="N6" s="2483"/>
      <c r="O6" s="2483"/>
      <c r="P6" s="3432"/>
      <c r="Q6" s="3400"/>
      <c r="R6" s="3376"/>
      <c r="S6" s="3377"/>
      <c r="T6" s="3401"/>
      <c r="U6" s="3402"/>
      <c r="V6" s="3404"/>
      <c r="W6" s="3404"/>
      <c r="X6" s="1261"/>
      <c r="Y6" s="3401"/>
      <c r="Z6" s="3402"/>
      <c r="AA6" s="3371"/>
      <c r="AB6" s="3371"/>
      <c r="AC6" s="3371"/>
    </row>
    <row r="7" spans="1:29" s="102" customFormat="1" ht="15.75" thickBot="1">
      <c r="A7" s="352" t="s">
        <v>1671</v>
      </c>
      <c r="B7" s="353"/>
      <c r="C7" s="354">
        <f>'数据-取费表'!B2</f>
        <v>45943</v>
      </c>
      <c r="D7" s="355">
        <v>100</v>
      </c>
      <c r="E7" s="356"/>
      <c r="F7" s="357">
        <f>SUMIF(46:46,YEAR(E7)&amp;"-"&amp;MONTH(E7),47:47)</f>
        <v>0</v>
      </c>
      <c r="G7" s="1817"/>
      <c r="H7" s="355">
        <f>SUMIF(46:46,YEAR(G7)&amp;"-"&amp;MONTH(G7),47:47)</f>
        <v>0</v>
      </c>
      <c r="I7" s="356"/>
      <c r="J7" s="355">
        <f>SUMIF(46:46,YEAR(I7)&amp;"-"&amp;MONTH(I7),47:47)</f>
        <v>0</v>
      </c>
      <c r="K7" s="38"/>
      <c r="L7" s="2484"/>
      <c r="M7" s="2435"/>
      <c r="N7" s="2435"/>
      <c r="O7" s="2435"/>
      <c r="P7" s="3372" t="s">
        <v>1672</v>
      </c>
      <c r="Q7" s="3406"/>
      <c r="R7" s="664" t="s">
        <v>14</v>
      </c>
      <c r="S7" s="665">
        <f t="shared" ref="S7:S14" si="0">F7</f>
        <v>0</v>
      </c>
      <c r="T7" s="664" t="s">
        <v>14</v>
      </c>
      <c r="U7" s="665">
        <f t="shared" ref="U7:U14" si="1">H7</f>
        <v>0</v>
      </c>
      <c r="V7" s="664" t="s">
        <v>14</v>
      </c>
      <c r="W7" s="665">
        <f t="shared" ref="W7:W14" si="2">J7</f>
        <v>0</v>
      </c>
      <c r="X7" s="666"/>
      <c r="Y7" s="3372" t="s">
        <v>1672</v>
      </c>
      <c r="Z7" s="3373"/>
      <c r="AA7" s="50" t="e">
        <f>D7/F7</f>
        <v>#DIV/0!</v>
      </c>
      <c r="AB7" s="50" t="e">
        <f>D7/H7</f>
        <v>#DIV/0!</v>
      </c>
      <c r="AC7" s="50" t="e">
        <f>D7/J7</f>
        <v>#DIV/0!</v>
      </c>
    </row>
    <row r="8" spans="1:29" s="102" customFormat="1" ht="15.75" thickBot="1">
      <c r="A8" s="352" t="s">
        <v>1673</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372" t="s">
        <v>1675</v>
      </c>
      <c r="Q8" s="3373"/>
      <c r="R8" s="664" t="s">
        <v>14</v>
      </c>
      <c r="S8" s="665">
        <f t="shared" si="0"/>
        <v>100</v>
      </c>
      <c r="T8" s="664" t="s">
        <v>14</v>
      </c>
      <c r="U8" s="665">
        <f t="shared" si="1"/>
        <v>100</v>
      </c>
      <c r="V8" s="664" t="s">
        <v>14</v>
      </c>
      <c r="W8" s="665">
        <f t="shared" si="2"/>
        <v>100</v>
      </c>
      <c r="X8" s="666"/>
      <c r="Y8" s="3372" t="s">
        <v>1675</v>
      </c>
      <c r="Z8" s="3373"/>
      <c r="AA8" s="50">
        <f t="shared" ref="AA8:AA34" si="3">D8/F8</f>
        <v>1</v>
      </c>
      <c r="AB8" s="50">
        <f t="shared" ref="AB8:AB34" si="4">D8/H8</f>
        <v>1</v>
      </c>
      <c r="AC8" s="50">
        <f t="shared" ref="AC8:AC34" si="5">D8/J8</f>
        <v>1</v>
      </c>
    </row>
    <row r="9" spans="1:29" s="102" customFormat="1">
      <c r="A9" s="359" t="s">
        <v>1676</v>
      </c>
      <c r="B9" s="60" t="s">
        <v>1677</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416" t="s">
        <v>1678</v>
      </c>
      <c r="Q9" s="530" t="str">
        <f t="shared" ref="Q9:Q14" si="6">B9</f>
        <v>用途</v>
      </c>
      <c r="R9" s="664" t="s">
        <v>14</v>
      </c>
      <c r="S9" s="665">
        <f t="shared" si="0"/>
        <v>100</v>
      </c>
      <c r="T9" s="664" t="s">
        <v>14</v>
      </c>
      <c r="U9" s="665">
        <f t="shared" si="1"/>
        <v>100</v>
      </c>
      <c r="V9" s="664" t="s">
        <v>14</v>
      </c>
      <c r="W9" s="665">
        <f t="shared" si="2"/>
        <v>100</v>
      </c>
      <c r="X9" s="666"/>
      <c r="Y9" s="3276" t="s">
        <v>1679</v>
      </c>
      <c r="Z9" s="50" t="str">
        <f t="shared" ref="Z9:Z14" si="7">Q9</f>
        <v>用途</v>
      </c>
      <c r="AA9" s="50">
        <f t="shared" si="3"/>
        <v>1</v>
      </c>
      <c r="AB9" s="50">
        <f t="shared" si="4"/>
        <v>1</v>
      </c>
      <c r="AC9" s="50">
        <f t="shared" si="5"/>
        <v>1</v>
      </c>
    </row>
    <row r="10" spans="1:29" s="366" customFormat="1" ht="27">
      <c r="A10" s="363"/>
      <c r="B10" s="364" t="s">
        <v>1680</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416"/>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16"/>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16"/>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8"/>
      <c r="M13" s="2483"/>
      <c r="N13" s="2483"/>
      <c r="O13" s="2538"/>
      <c r="P13" s="3416"/>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
      <c r="A14" s="379" t="s">
        <v>1682</v>
      </c>
      <c r="B14" s="58" t="s">
        <v>1825</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9" t="s">
        <v>1683</v>
      </c>
      <c r="Q14" s="1259" t="str">
        <f t="shared" si="6"/>
        <v>交通便捷度</v>
      </c>
      <c r="R14" s="667" t="s">
        <v>14</v>
      </c>
      <c r="S14" s="668">
        <f t="shared" si="0"/>
        <v>100</v>
      </c>
      <c r="T14" s="667" t="s">
        <v>14</v>
      </c>
      <c r="U14" s="668">
        <f t="shared" si="1"/>
        <v>100</v>
      </c>
      <c r="V14" s="667" t="s">
        <v>14</v>
      </c>
      <c r="W14" s="668">
        <f t="shared" si="2"/>
        <v>100</v>
      </c>
      <c r="X14" s="1261"/>
      <c r="Y14" s="3409" t="s">
        <v>1683</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410"/>
      <c r="Q15" s="1259"/>
      <c r="R15" s="667"/>
      <c r="S15" s="668"/>
      <c r="T15" s="667"/>
      <c r="U15" s="668"/>
      <c r="V15" s="667"/>
      <c r="W15" s="668"/>
      <c r="X15" s="1261"/>
      <c r="Y15" s="3410"/>
      <c r="Z15" s="1260"/>
      <c r="AA15" s="1260">
        <v>1</v>
      </c>
      <c r="AB15" s="1260">
        <v>1</v>
      </c>
      <c r="AC15" s="1260">
        <v>1</v>
      </c>
    </row>
    <row r="16" spans="1:29" ht="15">
      <c r="A16" s="367"/>
      <c r="B16" s="390" t="s">
        <v>1804</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10"/>
      <c r="Q16" s="1259" t="str">
        <f>B16</f>
        <v>公共配套设施</v>
      </c>
      <c r="R16" s="667" t="s">
        <v>14</v>
      </c>
      <c r="S16" s="668">
        <f>F16</f>
        <v>100</v>
      </c>
      <c r="T16" s="667" t="s">
        <v>14</v>
      </c>
      <c r="U16" s="668">
        <f>H16</f>
        <v>100</v>
      </c>
      <c r="V16" s="667" t="s">
        <v>14</v>
      </c>
      <c r="W16" s="668">
        <f>J16</f>
        <v>100</v>
      </c>
      <c r="X16" s="1261"/>
      <c r="Y16" s="3410"/>
      <c r="Z16" s="1260" t="str">
        <f>Q16</f>
        <v>公共配套设施</v>
      </c>
      <c r="AA16" s="1260">
        <f t="shared" si="3"/>
        <v>1</v>
      </c>
      <c r="AB16" s="1260">
        <f t="shared" si="4"/>
        <v>1</v>
      </c>
      <c r="AC16" s="1260">
        <f t="shared" si="5"/>
        <v>1</v>
      </c>
    </row>
    <row r="17" spans="1:29" ht="15">
      <c r="A17" s="367"/>
      <c r="B17" s="395"/>
      <c r="C17" s="1750"/>
      <c r="D17" s="387"/>
      <c r="E17" s="386"/>
      <c r="F17" s="388"/>
      <c r="G17" s="386"/>
      <c r="H17" s="387"/>
      <c r="I17" s="386"/>
      <c r="J17" s="387"/>
      <c r="K17" s="541"/>
      <c r="L17" s="2488"/>
      <c r="M17" s="2483"/>
      <c r="N17" s="2483"/>
      <c r="O17" s="2538"/>
      <c r="P17" s="3410"/>
      <c r="Q17" s="1259"/>
      <c r="R17" s="667"/>
      <c r="S17" s="668"/>
      <c r="T17" s="667"/>
      <c r="U17" s="668"/>
      <c r="V17" s="667"/>
      <c r="W17" s="668"/>
      <c r="X17" s="1261"/>
      <c r="Y17" s="3410"/>
      <c r="Z17" s="1260"/>
      <c r="AA17" s="1260">
        <v>1</v>
      </c>
      <c r="AB17" s="1260">
        <v>1</v>
      </c>
      <c r="AC17" s="1260">
        <v>1</v>
      </c>
    </row>
    <row r="18" spans="1:29" ht="15">
      <c r="A18" s="367"/>
      <c r="B18" s="586" t="s">
        <v>1805</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10"/>
      <c r="Q18" s="1259" t="str">
        <f>B18</f>
        <v>基础设施水平</v>
      </c>
      <c r="R18" s="667" t="s">
        <v>14</v>
      </c>
      <c r="S18" s="668">
        <f>F18</f>
        <v>100</v>
      </c>
      <c r="T18" s="667" t="s">
        <v>14</v>
      </c>
      <c r="U18" s="668">
        <f>H18</f>
        <v>100</v>
      </c>
      <c r="V18" s="667" t="s">
        <v>14</v>
      </c>
      <c r="W18" s="668">
        <f>J18</f>
        <v>100</v>
      </c>
      <c r="X18" s="1261"/>
      <c r="Y18" s="3410"/>
      <c r="Z18" s="1260" t="str">
        <f>Q18</f>
        <v>基础设施水平</v>
      </c>
      <c r="AA18" s="1260">
        <f t="shared" ref="AA18" si="8">D18/F18</f>
        <v>1</v>
      </c>
      <c r="AB18" s="1260">
        <f t="shared" ref="AB18" si="9">D18/H18</f>
        <v>1</v>
      </c>
      <c r="AC18" s="1260">
        <f t="shared" ref="AC18" si="10">D18/J18</f>
        <v>1</v>
      </c>
    </row>
    <row r="19" spans="1:29" ht="15">
      <c r="A19" s="367"/>
      <c r="B19" s="586"/>
      <c r="C19" s="1750"/>
      <c r="D19" s="389"/>
      <c r="E19" s="1750"/>
      <c r="F19" s="392"/>
      <c r="G19" s="1750"/>
      <c r="H19" s="387"/>
      <c r="I19" s="386"/>
      <c r="J19" s="387"/>
      <c r="K19" s="1060"/>
      <c r="L19" s="2488"/>
      <c r="M19" s="2483"/>
      <c r="N19" s="2483"/>
      <c r="O19" s="2538"/>
      <c r="P19" s="3410"/>
      <c r="Q19" s="1259"/>
      <c r="R19" s="667"/>
      <c r="S19" s="668"/>
      <c r="T19" s="667"/>
      <c r="U19" s="668"/>
      <c r="V19" s="667"/>
      <c r="W19" s="668"/>
      <c r="X19" s="1261"/>
      <c r="Y19" s="3410"/>
      <c r="Z19" s="1260"/>
      <c r="AA19" s="1260">
        <v>1</v>
      </c>
      <c r="AB19" s="1260">
        <v>1</v>
      </c>
      <c r="AC19" s="1260">
        <v>1</v>
      </c>
    </row>
    <row r="20" spans="1:29" ht="15">
      <c r="A20" s="367"/>
      <c r="B20" s="390" t="s">
        <v>1826</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10"/>
      <c r="Q20" s="1259" t="str">
        <f>B20</f>
        <v>自然及人文环境</v>
      </c>
      <c r="R20" s="667" t="s">
        <v>14</v>
      </c>
      <c r="S20" s="668">
        <f>F20</f>
        <v>100</v>
      </c>
      <c r="T20" s="667" t="s">
        <v>14</v>
      </c>
      <c r="U20" s="668">
        <f>H20</f>
        <v>100</v>
      </c>
      <c r="V20" s="667" t="s">
        <v>14</v>
      </c>
      <c r="W20" s="668">
        <f>J20</f>
        <v>100</v>
      </c>
      <c r="X20" s="1261"/>
      <c r="Y20" s="341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410"/>
      <c r="Q21" s="1259"/>
      <c r="R21" s="667"/>
      <c r="S21" s="668"/>
      <c r="T21" s="667"/>
      <c r="U21" s="668"/>
      <c r="V21" s="667"/>
      <c r="W21" s="668"/>
      <c r="X21" s="1261"/>
      <c r="Y21" s="3410"/>
      <c r="Z21" s="1260"/>
      <c r="AA21" s="1260">
        <v>1</v>
      </c>
      <c r="AB21" s="1260">
        <v>1</v>
      </c>
      <c r="AC21" s="1260">
        <v>1</v>
      </c>
    </row>
    <row r="22" spans="1:29" ht="15">
      <c r="A22" s="367"/>
      <c r="B22" s="390" t="s">
        <v>1827</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10"/>
      <c r="Q22" s="1259" t="str">
        <f>B22</f>
        <v>楼层</v>
      </c>
      <c r="R22" s="667" t="s">
        <v>14</v>
      </c>
      <c r="S22" s="668">
        <f>F22</f>
        <v>100</v>
      </c>
      <c r="T22" s="667" t="s">
        <v>14</v>
      </c>
      <c r="U22" s="668">
        <f>H22</f>
        <v>100</v>
      </c>
      <c r="V22" s="667" t="s">
        <v>14</v>
      </c>
      <c r="W22" s="668">
        <f>J22</f>
        <v>100</v>
      </c>
      <c r="X22" s="1261"/>
      <c r="Y22" s="341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10"/>
      <c r="Q23" s="1259">
        <f>B23</f>
        <v>111</v>
      </c>
      <c r="R23" s="667" t="s">
        <v>14</v>
      </c>
      <c r="S23" s="668">
        <f>F23</f>
        <v>100</v>
      </c>
      <c r="T23" s="667" t="s">
        <v>14</v>
      </c>
      <c r="U23" s="668">
        <f>H23</f>
        <v>100</v>
      </c>
      <c r="V23" s="667" t="s">
        <v>14</v>
      </c>
      <c r="W23" s="668">
        <f>J23</f>
        <v>100</v>
      </c>
      <c r="X23" s="1261"/>
      <c r="Y23" s="341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10"/>
      <c r="Q24" s="1259">
        <f t="shared" ref="Q24:Q34" si="11">B24</f>
        <v>111</v>
      </c>
      <c r="R24" s="667" t="s">
        <v>14</v>
      </c>
      <c r="S24" s="668">
        <f>F24</f>
        <v>100</v>
      </c>
      <c r="T24" s="667" t="s">
        <v>14</v>
      </c>
      <c r="U24" s="668">
        <f>H24</f>
        <v>100</v>
      </c>
      <c r="V24" s="667" t="s">
        <v>14</v>
      </c>
      <c r="W24" s="668">
        <f>J24</f>
        <v>100</v>
      </c>
      <c r="X24" s="1261"/>
      <c r="Y24" s="3410"/>
      <c r="Z24" s="1260">
        <f>Q24</f>
        <v>111</v>
      </c>
      <c r="AA24" s="1260">
        <f t="shared" si="3"/>
        <v>1</v>
      </c>
      <c r="AB24" s="1260">
        <f t="shared" si="4"/>
        <v>1</v>
      </c>
      <c r="AC24" s="1260">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4"/>
      <c r="M25" s="2435"/>
      <c r="N25" s="2435"/>
      <c r="O25" s="2536"/>
      <c r="P25" s="3410"/>
      <c r="Q25" s="530">
        <f t="shared" si="11"/>
        <v>111</v>
      </c>
      <c r="R25" s="664" t="s">
        <v>14</v>
      </c>
      <c r="S25" s="665">
        <f>F25</f>
        <v>100</v>
      </c>
      <c r="T25" s="664" t="s">
        <v>14</v>
      </c>
      <c r="U25" s="665">
        <f>H25</f>
        <v>100</v>
      </c>
      <c r="V25" s="664" t="s">
        <v>14</v>
      </c>
      <c r="W25" s="665">
        <f>J25</f>
        <v>100</v>
      </c>
      <c r="X25" s="666"/>
      <c r="Y25" s="3410"/>
      <c r="Z25" s="50">
        <f>Q25</f>
        <v>111</v>
      </c>
      <c r="AA25" s="1260">
        <f>D25/F25</f>
        <v>1</v>
      </c>
      <c r="AB25" s="1260">
        <f>D25/H25</f>
        <v>1</v>
      </c>
      <c r="AC25" s="1260">
        <f>D25/J25</f>
        <v>1</v>
      </c>
    </row>
    <row r="26" spans="1:29" ht="28.5">
      <c r="A26" s="404" t="s">
        <v>1686</v>
      </c>
      <c r="B26" s="60" t="s">
        <v>1830</v>
      </c>
      <c r="C26" s="1759"/>
      <c r="D26" s="405">
        <v>100</v>
      </c>
      <c r="E26" s="1759"/>
      <c r="F26" s="587">
        <f>SUMIF(77:77,E26,78:78)-SUMIF(77:77,C26,78:78)+100</f>
        <v>100</v>
      </c>
      <c r="G26" s="1759"/>
      <c r="H26" s="405">
        <f>SUMIF(77:77,G26,78:78)-SUMIF(77:77,C26,78:78)+100</f>
        <v>100</v>
      </c>
      <c r="I26" s="1759"/>
      <c r="J26" s="405">
        <f>SUMIF(77:77,I26,78:78)-SUMIF(77:77,C26,78:78)+100</f>
        <v>100</v>
      </c>
      <c r="K26" s="538"/>
      <c r="L26" s="2488"/>
      <c r="M26" s="2483"/>
      <c r="N26" s="2483"/>
      <c r="O26" s="2538"/>
      <c r="P26" s="3433" t="s">
        <v>1688</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14" t="s">
        <v>1688</v>
      </c>
      <c r="Z26" s="1260" t="str">
        <f t="shared" ref="Z26:Z34" si="15">Q26</f>
        <v>公共部分装修</v>
      </c>
      <c r="AA26" s="1260">
        <f t="shared" si="3"/>
        <v>1</v>
      </c>
      <c r="AB26" s="1260">
        <f t="shared" si="4"/>
        <v>1</v>
      </c>
      <c r="AC26" s="1260">
        <f t="shared" si="5"/>
        <v>1</v>
      </c>
    </row>
    <row r="27" spans="1:29" s="408" customFormat="1" ht="15">
      <c r="A27" s="406"/>
      <c r="B27" s="364" t="s">
        <v>1831</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0" t="e">
        <f t="shared" si="3"/>
        <v>#N/A</v>
      </c>
      <c r="AB27" s="1260" t="e">
        <f t="shared" si="4"/>
        <v>#N/A</v>
      </c>
      <c r="AC27" s="1260" t="e">
        <f t="shared" si="5"/>
        <v>#N/A</v>
      </c>
    </row>
    <row r="28" spans="1:29" ht="15">
      <c r="A28" s="409"/>
      <c r="B28" s="364" t="s">
        <v>1832</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14"/>
      <c r="Q28" s="1259" t="str">
        <f t="shared" si="11"/>
        <v>物业等级</v>
      </c>
      <c r="R28" s="667" t="s">
        <v>14</v>
      </c>
      <c r="S28" s="668">
        <f t="shared" si="12"/>
        <v>100</v>
      </c>
      <c r="T28" s="667" t="s">
        <v>14</v>
      </c>
      <c r="U28" s="668">
        <f t="shared" si="13"/>
        <v>100</v>
      </c>
      <c r="V28" s="667" t="s">
        <v>14</v>
      </c>
      <c r="W28" s="668">
        <f t="shared" si="14"/>
        <v>100</v>
      </c>
      <c r="X28" s="1261"/>
      <c r="Y28" s="3414"/>
      <c r="Z28" s="1260" t="str">
        <f t="shared" si="15"/>
        <v>物业等级</v>
      </c>
      <c r="AA28" s="1260">
        <f t="shared" si="3"/>
        <v>1</v>
      </c>
      <c r="AB28" s="1260">
        <f t="shared" si="4"/>
        <v>1</v>
      </c>
      <c r="AC28" s="1260">
        <f t="shared" si="5"/>
        <v>1</v>
      </c>
    </row>
    <row r="29" spans="1:29" ht="15">
      <c r="A29" s="409"/>
      <c r="B29" s="364" t="s">
        <v>1852</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14"/>
      <c r="Q29" s="1259" t="str">
        <f t="shared" si="11"/>
        <v>有无电梯</v>
      </c>
      <c r="R29" s="667" t="s">
        <v>14</v>
      </c>
      <c r="S29" s="668">
        <f t="shared" si="12"/>
        <v>100</v>
      </c>
      <c r="T29" s="667" t="s">
        <v>14</v>
      </c>
      <c r="U29" s="668">
        <f t="shared" si="13"/>
        <v>100</v>
      </c>
      <c r="V29" s="667" t="s">
        <v>14</v>
      </c>
      <c r="W29" s="668">
        <f t="shared" si="14"/>
        <v>100</v>
      </c>
      <c r="X29" s="1261"/>
      <c r="Y29" s="3414"/>
      <c r="Z29" s="1260" t="str">
        <f t="shared" si="15"/>
        <v>有无电梯</v>
      </c>
      <c r="AA29" s="1260">
        <f t="shared" si="3"/>
        <v>1</v>
      </c>
      <c r="AB29" s="1260">
        <f t="shared" si="4"/>
        <v>1</v>
      </c>
      <c r="AC29" s="1260">
        <f t="shared" si="5"/>
        <v>1</v>
      </c>
    </row>
    <row r="30" spans="1:29" ht="15">
      <c r="A30" s="409"/>
      <c r="B30" s="364" t="s">
        <v>1853</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14"/>
      <c r="Q30" s="1259" t="str">
        <f t="shared" si="11"/>
        <v>建筑面积</v>
      </c>
      <c r="R30" s="667" t="s">
        <v>14</v>
      </c>
      <c r="S30" s="668" t="e">
        <f t="shared" si="12"/>
        <v>#N/A</v>
      </c>
      <c r="T30" s="667" t="s">
        <v>14</v>
      </c>
      <c r="U30" s="668" t="e">
        <f t="shared" si="13"/>
        <v>#N/A</v>
      </c>
      <c r="V30" s="667" t="s">
        <v>14</v>
      </c>
      <c r="W30" s="668" t="e">
        <f t="shared" si="14"/>
        <v>#N/A</v>
      </c>
      <c r="X30" s="1261"/>
      <c r="Y30" s="3414"/>
      <c r="Z30" s="1260" t="str">
        <f t="shared" si="15"/>
        <v>建筑面积</v>
      </c>
      <c r="AA30" s="1260" t="e">
        <f t="shared" si="3"/>
        <v>#N/A</v>
      </c>
      <c r="AB30" s="1260" t="e">
        <f t="shared" si="4"/>
        <v>#N/A</v>
      </c>
      <c r="AC30" s="1260" t="e">
        <f t="shared" si="5"/>
        <v>#N/A</v>
      </c>
    </row>
    <row r="31" spans="1:29" s="102" customFormat="1" ht="15">
      <c r="A31" s="410"/>
      <c r="B31" s="364" t="s">
        <v>1854</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14" t="s">
        <v>1688</v>
      </c>
      <c r="Q32" s="1259">
        <f t="shared" si="11"/>
        <v>111</v>
      </c>
      <c r="R32" s="667" t="s">
        <v>14</v>
      </c>
      <c r="S32" s="668">
        <f t="shared" si="12"/>
        <v>100</v>
      </c>
      <c r="T32" s="667" t="s">
        <v>14</v>
      </c>
      <c r="U32" s="668">
        <f t="shared" si="13"/>
        <v>100</v>
      </c>
      <c r="V32" s="667" t="s">
        <v>14</v>
      </c>
      <c r="W32" s="668">
        <f t="shared" si="14"/>
        <v>100</v>
      </c>
      <c r="X32" s="1261"/>
      <c r="Y32" s="3414" t="s">
        <v>1688</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14"/>
      <c r="Q33" s="1259">
        <f t="shared" si="11"/>
        <v>111</v>
      </c>
      <c r="R33" s="667" t="s">
        <v>14</v>
      </c>
      <c r="S33" s="668">
        <f t="shared" si="12"/>
        <v>100</v>
      </c>
      <c r="T33" s="667" t="s">
        <v>14</v>
      </c>
      <c r="U33" s="668">
        <f t="shared" si="13"/>
        <v>100</v>
      </c>
      <c r="V33" s="667" t="s">
        <v>14</v>
      </c>
      <c r="W33" s="668">
        <f t="shared" si="14"/>
        <v>100</v>
      </c>
      <c r="X33" s="1261"/>
      <c r="Y33" s="3414"/>
      <c r="Z33" s="1260">
        <f t="shared" si="15"/>
        <v>111</v>
      </c>
      <c r="AA33" s="1260">
        <f t="shared" si="3"/>
        <v>1</v>
      </c>
      <c r="AB33" s="1260">
        <f t="shared" si="4"/>
        <v>1</v>
      </c>
      <c r="AC33" s="1260">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8"/>
      <c r="M34" s="2483"/>
      <c r="N34" s="2483"/>
      <c r="O34" s="2538"/>
      <c r="P34" s="3414"/>
      <c r="Q34" s="1259">
        <f t="shared" si="11"/>
        <v>111</v>
      </c>
      <c r="R34" s="667" t="s">
        <v>14</v>
      </c>
      <c r="S34" s="668">
        <f t="shared" si="12"/>
        <v>100</v>
      </c>
      <c r="T34" s="667" t="s">
        <v>14</v>
      </c>
      <c r="U34" s="668">
        <f t="shared" si="13"/>
        <v>100</v>
      </c>
      <c r="V34" s="667" t="s">
        <v>14</v>
      </c>
      <c r="W34" s="668">
        <f t="shared" si="14"/>
        <v>100</v>
      </c>
      <c r="X34" s="1261"/>
      <c r="Y34" s="3414"/>
      <c r="Z34" s="1260">
        <f t="shared" si="15"/>
        <v>111</v>
      </c>
      <c r="AA34" s="1260">
        <f t="shared" si="3"/>
        <v>1</v>
      </c>
      <c r="AB34" s="1260">
        <f t="shared" si="4"/>
        <v>1</v>
      </c>
      <c r="AC34" s="1260">
        <f t="shared" si="5"/>
        <v>1</v>
      </c>
    </row>
    <row r="35" spans="1:30" ht="15">
      <c r="A35" s="416" t="s">
        <v>1700</v>
      </c>
      <c r="B35" s="417"/>
      <c r="C35" s="1077" t="s">
        <v>0</v>
      </c>
      <c r="D35" s="418"/>
      <c r="E35" s="419"/>
      <c r="F35" s="420"/>
      <c r="G35" s="421"/>
      <c r="H35" s="422"/>
      <c r="I35" s="419"/>
      <c r="J35" s="422"/>
      <c r="K35" s="674"/>
      <c r="L35" s="2490"/>
      <c r="M35" s="2483"/>
      <c r="N35" s="2483"/>
      <c r="O35" s="2483"/>
      <c r="P35" s="3416" t="str">
        <f>A35</f>
        <v>成交单价（元/平方米）</v>
      </c>
      <c r="Q35" s="3416"/>
      <c r="R35" s="3404">
        <f>E35</f>
        <v>0</v>
      </c>
      <c r="S35" s="3404"/>
      <c r="T35" s="3404">
        <f>G35</f>
        <v>0</v>
      </c>
      <c r="U35" s="3404"/>
      <c r="V35" s="3404">
        <f>I35</f>
        <v>0</v>
      </c>
      <c r="W35" s="3404"/>
      <c r="X35" s="385"/>
      <c r="Y35" s="673"/>
      <c r="Z35" s="385"/>
      <c r="AA35" s="385"/>
      <c r="AB35" s="385"/>
      <c r="AC35" s="385"/>
    </row>
    <row r="36" spans="1:30" ht="15.75" thickBot="1">
      <c r="A36" s="423" t="s">
        <v>1785</v>
      </c>
      <c r="B36" s="424"/>
      <c r="C36" s="1078" t="e">
        <f>R37</f>
        <v>#DIV/0!</v>
      </c>
      <c r="D36" s="2136" t="s">
        <v>2129</v>
      </c>
      <c r="E36" s="1079" t="e">
        <f>R36</f>
        <v>#DIV/0!</v>
      </c>
      <c r="F36" s="2137"/>
      <c r="G36" s="1078" t="e">
        <f>T36</f>
        <v>#DIV/0!</v>
      </c>
      <c r="H36" s="2137"/>
      <c r="I36" s="1079" t="e">
        <f>V36</f>
        <v>#DIV/0!</v>
      </c>
      <c r="J36" s="2137"/>
      <c r="K36" s="2139">
        <f>F36+H36+J36</f>
        <v>0</v>
      </c>
      <c r="L36" s="2490"/>
      <c r="M36" s="2483"/>
      <c r="N36" s="2483"/>
      <c r="O36" s="2483"/>
      <c r="P36" s="3416" t="str">
        <f>A36</f>
        <v>比较价值（元/平方米）</v>
      </c>
      <c r="Q36" s="3416"/>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1786</v>
      </c>
      <c r="B37" s="428"/>
      <c r="C37" s="351" t="e">
        <f>R37</f>
        <v>#DIV/0!</v>
      </c>
      <c r="D37" s="351"/>
      <c r="E37" s="351"/>
      <c r="F37" s="351"/>
      <c r="G37" s="351"/>
      <c r="H37" s="351"/>
      <c r="I37" s="351"/>
      <c r="J37" s="351"/>
      <c r="K37" s="675"/>
      <c r="L37" s="2490"/>
      <c r="M37" s="2483"/>
      <c r="N37" s="2483"/>
      <c r="O37" s="2483"/>
      <c r="P37" s="3434" t="str">
        <f>A37</f>
        <v>估价对象XX用房的比较价值（楼面单价，元/平方米）</v>
      </c>
      <c r="Q37" s="3435"/>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1787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1788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1789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1790</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1671</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1708</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1673</v>
      </c>
      <c r="B49" s="444"/>
      <c r="C49" s="456" t="s">
        <v>1768</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1711</v>
      </c>
      <c r="B51" s="460" t="s">
        <v>1677</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1680</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1682</v>
      </c>
      <c r="B61" s="460" t="s">
        <v>1718</v>
      </c>
      <c r="C61" s="504" t="s">
        <v>1713</v>
      </c>
      <c r="D61" s="504" t="s">
        <v>1714</v>
      </c>
      <c r="E61" s="504" t="s">
        <v>1715</v>
      </c>
      <c r="F61" s="504" t="s">
        <v>1716</v>
      </c>
      <c r="G61" s="504" t="s">
        <v>1717</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1855</v>
      </c>
      <c r="C63" s="509" t="s">
        <v>1713</v>
      </c>
      <c r="D63" s="509" t="s">
        <v>1714</v>
      </c>
      <c r="E63" s="509" t="s">
        <v>1715</v>
      </c>
      <c r="F63" s="509" t="s">
        <v>1716</v>
      </c>
      <c r="G63" s="509" t="s">
        <v>1717</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1805</v>
      </c>
      <c r="C65" s="581" t="s">
        <v>1791</v>
      </c>
      <c r="D65" s="581" t="s">
        <v>1792</v>
      </c>
      <c r="E65" s="581" t="s">
        <v>1793</v>
      </c>
      <c r="F65" s="581" t="s">
        <v>1794</v>
      </c>
      <c r="G65" s="581" t="s">
        <v>1795</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1725</v>
      </c>
      <c r="C67" s="509" t="s">
        <v>1713</v>
      </c>
      <c r="D67" s="509" t="s">
        <v>1714</v>
      </c>
      <c r="E67" s="509" t="s">
        <v>1715</v>
      </c>
      <c r="F67" s="509" t="s">
        <v>1716</v>
      </c>
      <c r="G67" s="509" t="s">
        <v>1717</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1844</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1686</v>
      </c>
      <c r="B77" s="460" t="s">
        <v>1732</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1847</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1848</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1856</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1857</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1858</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900</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估价结果一览表（市场价值不需“结果表-1”）</v>
      </c>
      <c r="B3" s="3185"/>
      <c r="C3" s="3185"/>
      <c r="D3" s="3185"/>
      <c r="E3" s="3185"/>
    </row>
    <row r="4" spans="1:5" ht="19.5" thickBot="1">
      <c r="A4" s="1387"/>
      <c r="B4" s="3183" t="s">
        <v>909</v>
      </c>
      <c r="C4" s="3183"/>
      <c r="D4" s="3183"/>
      <c r="E4" s="1387"/>
    </row>
    <row r="5" spans="1:5" ht="16.5" thickTop="1">
      <c r="B5" s="3181" t="s">
        <v>901</v>
      </c>
      <c r="C5" s="1388" t="s">
        <v>902</v>
      </c>
      <c r="D5" s="794">
        <f ca="1">'结果表-车位'!H101</f>
        <v>33</v>
      </c>
    </row>
    <row r="6" spans="1:5" ht="15.75">
      <c r="B6" s="3181"/>
      <c r="C6" s="1388" t="s">
        <v>903</v>
      </c>
      <c r="D6" s="794" t="str">
        <f ca="1">NUMBERSTRING(INT(D5*10000),2)&amp;"元整"</f>
        <v>叁拾叁万元整</v>
      </c>
    </row>
    <row r="7" spans="1:5" ht="15.75">
      <c r="B7" s="3186"/>
      <c r="C7" s="1389" t="s">
        <v>904</v>
      </c>
      <c r="D7" s="795">
        <f ca="1">'结果表-车位'!H102</f>
        <v>6165</v>
      </c>
    </row>
    <row r="8" spans="1:5" ht="15.75">
      <c r="B8" s="3187" t="str">
        <f>'结果表-车位'!E103</f>
        <v>2.估价师知悉的法定优先受偿款</v>
      </c>
      <c r="C8" s="1390" t="s">
        <v>905</v>
      </c>
      <c r="D8" s="795">
        <f>'结果表-车位'!H103</f>
        <v>0</v>
      </c>
    </row>
    <row r="9" spans="1:5" ht="15.75">
      <c r="B9" s="3189"/>
      <c r="C9" s="1388" t="s">
        <v>903</v>
      </c>
      <c r="D9" s="794" t="str">
        <f>NUMBERSTRING(INT(D8*10000),2)&amp;"元整"</f>
        <v>零元整</v>
      </c>
    </row>
    <row r="10" spans="1:5" ht="15">
      <c r="B10" s="1391" t="s">
        <v>908</v>
      </c>
      <c r="C10" s="1392" t="s">
        <v>906</v>
      </c>
      <c r="D10" s="796">
        <f>'结果表-车位'!H104</f>
        <v>0</v>
      </c>
    </row>
    <row r="11" spans="1:5" ht="15">
      <c r="B11" s="1391" t="s">
        <v>910</v>
      </c>
      <c r="C11" s="1392" t="s">
        <v>911</v>
      </c>
      <c r="D11" s="796">
        <f>'结果表-车位'!H105</f>
        <v>0</v>
      </c>
    </row>
    <row r="12" spans="1:5" ht="15">
      <c r="B12" s="1391" t="s">
        <v>912</v>
      </c>
      <c r="C12" s="1392" t="s">
        <v>911</v>
      </c>
      <c r="D12" s="796">
        <f>'结果表-车位'!H106</f>
        <v>0</v>
      </c>
    </row>
    <row r="13" spans="1:5" ht="15.75">
      <c r="B13" s="3180" t="str">
        <f>'结果表-车位'!E107</f>
        <v>3.房地产抵押价值</v>
      </c>
      <c r="C13" s="1393" t="s">
        <v>902</v>
      </c>
      <c r="D13" s="797">
        <f ca="1">'结果表-车位'!H107</f>
        <v>33</v>
      </c>
    </row>
    <row r="14" spans="1:5" ht="15.75">
      <c r="B14" s="3181"/>
      <c r="C14" s="1388" t="s">
        <v>903</v>
      </c>
      <c r="D14" s="794" t="str">
        <f ca="1">NUMBERSTRING(INT(D13*10000),2)&amp;"元整"</f>
        <v>叁拾叁万元整</v>
      </c>
    </row>
    <row r="15" spans="1:5" ht="15">
      <c r="B15" s="3186"/>
      <c r="C15" s="1389" t="s">
        <v>913</v>
      </c>
      <c r="D15" s="803">
        <f ca="1">'结果表-车位'!H108</f>
        <v>6165</v>
      </c>
    </row>
    <row r="16" spans="1:5" ht="15">
      <c r="B16" s="3187" t="str">
        <f>'结果表-车位'!E109</f>
        <v>——</v>
      </c>
      <c r="C16" s="1393" t="s">
        <v>914</v>
      </c>
      <c r="D16" s="1394" t="str">
        <f>'结果表-车位'!H109</f>
        <v>——</v>
      </c>
    </row>
    <row r="17" spans="1:5" ht="15.75">
      <c r="B17" s="3188"/>
      <c r="C17" s="1388" t="s">
        <v>915</v>
      </c>
      <c r="D17" s="794" t="e">
        <f>NUMBERSTRING(INT(D16*10000),2)&amp;"元整"</f>
        <v>#VALUE!</v>
      </c>
    </row>
    <row r="18" spans="1:5" ht="15">
      <c r="B18" s="3189"/>
      <c r="C18" s="1389" t="s">
        <v>904</v>
      </c>
      <c r="D18" s="803" t="str">
        <f>'结果表-车位'!H110</f>
        <v>——</v>
      </c>
    </row>
    <row r="19" spans="1:5" ht="15.75">
      <c r="B19" s="3180" t="str">
        <f>'结果表-车位'!E111</f>
        <v>——</v>
      </c>
      <c r="C19" s="1393" t="s">
        <v>902</v>
      </c>
      <c r="D19" s="795" t="str">
        <f>'结果表-车位'!H111</f>
        <v>——</v>
      </c>
    </row>
    <row r="20" spans="1:5" ht="15.75">
      <c r="B20" s="3181"/>
      <c r="C20" s="1388" t="s">
        <v>915</v>
      </c>
      <c r="D20" s="794" t="e">
        <f>NUMBERSTRING(INT(D19*10000),2)&amp;"元整"</f>
        <v>#VALUE!</v>
      </c>
    </row>
    <row r="21" spans="1:5" ht="15.75" thickBot="1">
      <c r="B21" s="3182"/>
      <c r="C21" s="1395" t="s">
        <v>913</v>
      </c>
      <c r="D21" s="804" t="str">
        <f>'结果表-车位'!H112</f>
        <v>——</v>
      </c>
    </row>
    <row r="22" spans="1:5" ht="15" thickTop="1">
      <c r="B22" s="1396" t="s">
        <v>916</v>
      </c>
    </row>
    <row r="24" spans="1:5" ht="18.75">
      <c r="A24" s="1397"/>
      <c r="B24" s="1398" t="s">
        <v>907</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1860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F65</f>
        <v>#DIV/0!</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29" t="s">
        <v>1767</v>
      </c>
      <c r="Q4" s="3430"/>
      <c r="R4" s="3427" t="s">
        <v>1763</v>
      </c>
      <c r="S4" s="3428"/>
      <c r="T4" s="3427" t="s">
        <v>1764</v>
      </c>
      <c r="U4" s="3428"/>
      <c r="V4" s="3404" t="s">
        <v>1765</v>
      </c>
      <c r="W4" s="3404"/>
      <c r="X4" s="1261"/>
      <c r="Y4" s="3427" t="s">
        <v>1767</v>
      </c>
      <c r="Z4" s="3428"/>
      <c r="AA4" s="3426" t="s">
        <v>1763</v>
      </c>
      <c r="AB4" s="3370" t="s">
        <v>1764</v>
      </c>
      <c r="AC4" s="3426" t="s">
        <v>1765</v>
      </c>
    </row>
    <row r="5" spans="1:29" ht="15">
      <c r="A5" s="348"/>
      <c r="B5" s="349"/>
      <c r="C5" s="3380" t="s">
        <v>1665</v>
      </c>
      <c r="D5" s="3381"/>
      <c r="E5" s="3477" t="s">
        <v>1666</v>
      </c>
      <c r="F5" s="3379"/>
      <c r="G5" s="3380" t="s">
        <v>1667</v>
      </c>
      <c r="H5" s="3381"/>
      <c r="I5" s="3380" t="s">
        <v>1668</v>
      </c>
      <c r="J5" s="3381"/>
      <c r="K5" s="537"/>
      <c r="L5" s="2482"/>
      <c r="M5" s="2483"/>
      <c r="N5" s="2483"/>
      <c r="O5" s="2483"/>
      <c r="P5" s="3431"/>
      <c r="Q5" s="3398"/>
      <c r="R5" s="3376"/>
      <c r="S5" s="3377"/>
      <c r="T5" s="3376"/>
      <c r="U5" s="3377"/>
      <c r="V5" s="3404"/>
      <c r="W5" s="3404"/>
      <c r="X5" s="1261"/>
      <c r="Y5" s="3376"/>
      <c r="Z5" s="3377"/>
      <c r="AA5" s="3370"/>
      <c r="AB5" s="3370"/>
      <c r="AC5" s="3370"/>
    </row>
    <row r="6" spans="1:29" ht="15.75" thickBot="1">
      <c r="A6" s="350"/>
      <c r="B6" s="351"/>
      <c r="C6" s="3382" t="s">
        <v>1669</v>
      </c>
      <c r="D6" s="3383"/>
      <c r="E6" s="3385" t="s">
        <v>1669</v>
      </c>
      <c r="F6" s="3386"/>
      <c r="G6" s="3382" t="s">
        <v>1669</v>
      </c>
      <c r="H6" s="3383"/>
      <c r="I6" s="3382" t="s">
        <v>1669</v>
      </c>
      <c r="J6" s="3383"/>
      <c r="K6" s="537" t="s">
        <v>1670</v>
      </c>
      <c r="L6" s="2482"/>
      <c r="M6" s="2483"/>
      <c r="N6" s="2483"/>
      <c r="O6" s="2483"/>
      <c r="P6" s="3432"/>
      <c r="Q6" s="3400"/>
      <c r="R6" s="3376"/>
      <c r="S6" s="3377"/>
      <c r="T6" s="3401"/>
      <c r="U6" s="3402"/>
      <c r="V6" s="3404"/>
      <c r="W6" s="3404"/>
      <c r="X6" s="1261"/>
      <c r="Y6" s="3401"/>
      <c r="Z6" s="3402"/>
      <c r="AA6" s="3371"/>
      <c r="AB6" s="3371"/>
      <c r="AC6" s="3371"/>
    </row>
    <row r="7" spans="1:29" s="102" customFormat="1" ht="15.75" thickBot="1">
      <c r="A7" s="352" t="s">
        <v>1671</v>
      </c>
      <c r="B7" s="353"/>
      <c r="C7" s="354">
        <f>'数据-取费表'!B2</f>
        <v>45943</v>
      </c>
      <c r="D7" s="355">
        <v>100</v>
      </c>
      <c r="E7" s="356"/>
      <c r="F7" s="357">
        <f>SUMIF(69:69,YEAR(E7)&amp;"-"&amp;INT((MONTH(E7)+2)/3),70:70)</f>
        <v>0</v>
      </c>
      <c r="G7" s="1817"/>
      <c r="H7" s="355">
        <f>SUMIF(69:69,YEAR(G7)&amp;"-"&amp;INT((MONTH(G7)+2)/3),70:70)</f>
        <v>0</v>
      </c>
      <c r="I7" s="1817"/>
      <c r="J7" s="355">
        <f>SUMIF(69:69,YEAR(I7)&amp;"-"&amp;INT((MONTH(I7)+2)/3),70:70)</f>
        <v>0</v>
      </c>
      <c r="K7" s="38"/>
      <c r="L7" s="2484"/>
      <c r="M7" s="2435"/>
      <c r="N7" s="2435"/>
      <c r="O7" s="2435"/>
      <c r="P7" s="3372" t="s">
        <v>1672</v>
      </c>
      <c r="Q7" s="3406"/>
      <c r="R7" s="664" t="s">
        <v>14</v>
      </c>
      <c r="S7" s="665">
        <f t="shared" ref="S7:S15" si="0">F7</f>
        <v>0</v>
      </c>
      <c r="T7" s="664" t="s">
        <v>14</v>
      </c>
      <c r="U7" s="665">
        <f t="shared" ref="U7:U15" si="1">H7</f>
        <v>0</v>
      </c>
      <c r="V7" s="664" t="s">
        <v>14</v>
      </c>
      <c r="W7" s="665">
        <f t="shared" ref="W7:W15" si="2">J7</f>
        <v>0</v>
      </c>
      <c r="X7" s="666"/>
      <c r="Y7" s="3372" t="s">
        <v>1672</v>
      </c>
      <c r="Z7" s="3373"/>
      <c r="AA7" s="50" t="e">
        <f>D7/F7</f>
        <v>#DIV/0!</v>
      </c>
      <c r="AB7" s="50" t="e">
        <f>D7/H7</f>
        <v>#DIV/0!</v>
      </c>
      <c r="AC7" s="50" t="e">
        <f>D7/J7</f>
        <v>#DIV/0!</v>
      </c>
    </row>
    <row r="8" spans="1:29" s="102" customFormat="1" ht="15.75" thickBot="1">
      <c r="A8" s="352" t="s">
        <v>1673</v>
      </c>
      <c r="B8" s="353"/>
      <c r="C8" s="358" t="s">
        <v>1674</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372" t="s">
        <v>1675</v>
      </c>
      <c r="Q8" s="3373"/>
      <c r="R8" s="664" t="s">
        <v>14</v>
      </c>
      <c r="S8" s="665">
        <f t="shared" si="0"/>
        <v>0</v>
      </c>
      <c r="T8" s="664" t="s">
        <v>14</v>
      </c>
      <c r="U8" s="665">
        <f t="shared" si="1"/>
        <v>0</v>
      </c>
      <c r="V8" s="664" t="s">
        <v>14</v>
      </c>
      <c r="W8" s="665">
        <f t="shared" si="2"/>
        <v>0</v>
      </c>
      <c r="X8" s="666"/>
      <c r="Y8" s="3372" t="s">
        <v>1675</v>
      </c>
      <c r="Z8" s="3373"/>
      <c r="AA8" s="50" t="e">
        <f t="shared" ref="AA8:AA45" si="3">D8/F8</f>
        <v>#DIV/0!</v>
      </c>
      <c r="AB8" s="50" t="e">
        <f t="shared" ref="AB8:AB45" si="4">D8/H8</f>
        <v>#DIV/0!</v>
      </c>
      <c r="AC8" s="50" t="e">
        <f t="shared" ref="AC8:AC45" si="5">D8/J8</f>
        <v>#DIV/0!</v>
      </c>
    </row>
    <row r="9" spans="1:29" s="102" customFormat="1">
      <c r="A9" s="359" t="s">
        <v>1676</v>
      </c>
      <c r="B9" s="60" t="s">
        <v>1677</v>
      </c>
      <c r="C9" s="1820"/>
      <c r="D9" s="59">
        <v>100</v>
      </c>
      <c r="E9" s="1820"/>
      <c r="F9" s="59">
        <f>SUMIF(74:74,E9,75:75)-SUMIF(74:74,C9,75:75)+100</f>
        <v>100</v>
      </c>
      <c r="G9" s="1820"/>
      <c r="H9" s="59">
        <f>SUMIF(74:74,G9,75:75)-SUMIF(74:74,C9,75:75)+100</f>
        <v>100</v>
      </c>
      <c r="I9" s="1820"/>
      <c r="J9" s="59">
        <f>SUMIF(74:74,I9,75:75)-SUMIF(74:74,C9,75:75)+100</f>
        <v>100</v>
      </c>
      <c r="K9" s="38"/>
      <c r="L9" s="2484"/>
      <c r="M9" s="2435"/>
      <c r="N9" s="2435"/>
      <c r="O9" s="2536"/>
      <c r="P9" s="3416" t="s">
        <v>1678</v>
      </c>
      <c r="Q9" s="530" t="str">
        <f t="shared" ref="Q9:Q15" si="6">B9</f>
        <v>用途</v>
      </c>
      <c r="R9" s="664" t="s">
        <v>14</v>
      </c>
      <c r="S9" s="665">
        <f t="shared" si="0"/>
        <v>100</v>
      </c>
      <c r="T9" s="664" t="s">
        <v>14</v>
      </c>
      <c r="U9" s="665">
        <f t="shared" si="1"/>
        <v>100</v>
      </c>
      <c r="V9" s="664" t="s">
        <v>14</v>
      </c>
      <c r="W9" s="665">
        <f t="shared" si="2"/>
        <v>100</v>
      </c>
      <c r="X9" s="666"/>
      <c r="Y9" s="3276" t="s">
        <v>1679</v>
      </c>
      <c r="Z9" s="50" t="str">
        <f t="shared" ref="Z9:Z15" si="7">Q9</f>
        <v>用途</v>
      </c>
      <c r="AA9" s="50">
        <f t="shared" si="3"/>
        <v>1</v>
      </c>
      <c r="AB9" s="50">
        <f t="shared" si="4"/>
        <v>1</v>
      </c>
      <c r="AC9" s="50">
        <f t="shared" si="5"/>
        <v>1</v>
      </c>
    </row>
    <row r="10" spans="1:29" s="366" customFormat="1" ht="27">
      <c r="A10" s="363"/>
      <c r="B10" s="364" t="s">
        <v>1680</v>
      </c>
      <c r="C10" s="371"/>
      <c r="D10" s="119">
        <v>100</v>
      </c>
      <c r="E10" s="403"/>
      <c r="F10" s="119">
        <f>ROUND(100/'数据-取费表'!G16,0)</f>
        <v>121</v>
      </c>
      <c r="G10" s="402"/>
      <c r="H10" s="119">
        <f>ROUND(100/'数据-取费表'!G16,0)</f>
        <v>121</v>
      </c>
      <c r="I10" s="402"/>
      <c r="J10" s="119">
        <f>ROUND(100/'数据-取费表'!G16,0)</f>
        <v>121</v>
      </c>
      <c r="K10" s="592"/>
      <c r="L10" s="2485"/>
      <c r="M10" s="2486"/>
      <c r="N10" s="2486"/>
      <c r="O10" s="2537"/>
      <c r="P10" s="3416"/>
      <c r="Q10" s="530" t="str">
        <f t="shared" si="6"/>
        <v>土地使用年限（年）</v>
      </c>
      <c r="R10" s="664" t="s">
        <v>14</v>
      </c>
      <c r="S10" s="665">
        <f t="shared" si="0"/>
        <v>121</v>
      </c>
      <c r="T10" s="664" t="s">
        <v>14</v>
      </c>
      <c r="U10" s="665">
        <f t="shared" si="1"/>
        <v>121</v>
      </c>
      <c r="V10" s="664" t="s">
        <v>14</v>
      </c>
      <c r="W10" s="665">
        <f t="shared" si="2"/>
        <v>121</v>
      </c>
      <c r="X10" s="666"/>
      <c r="Y10" s="3276"/>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16"/>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t="s">
        <v>1862</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416"/>
      <c r="Q12" s="530" t="str">
        <f t="shared" si="6"/>
        <v>配建</v>
      </c>
      <c r="R12" s="664" t="s">
        <v>14</v>
      </c>
      <c r="S12" s="665">
        <f t="shared" si="0"/>
        <v>100</v>
      </c>
      <c r="T12" s="664" t="s">
        <v>14</v>
      </c>
      <c r="U12" s="665">
        <f t="shared" si="1"/>
        <v>100</v>
      </c>
      <c r="V12" s="664" t="s">
        <v>14</v>
      </c>
      <c r="W12" s="665">
        <f t="shared" si="2"/>
        <v>100</v>
      </c>
      <c r="X12" s="666"/>
      <c r="Y12" s="327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16"/>
      <c r="Q13" s="530">
        <f t="shared" si="6"/>
        <v>111</v>
      </c>
      <c r="R13" s="664" t="s">
        <v>14</v>
      </c>
      <c r="S13" s="665">
        <f t="shared" si="0"/>
        <v>100</v>
      </c>
      <c r="T13" s="664" t="s">
        <v>14</v>
      </c>
      <c r="U13" s="665">
        <f t="shared" si="1"/>
        <v>100</v>
      </c>
      <c r="V13" s="664" t="s">
        <v>14</v>
      </c>
      <c r="W13" s="665">
        <f t="shared" si="2"/>
        <v>100</v>
      </c>
      <c r="X13" s="666"/>
      <c r="Y13" s="3276"/>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16"/>
      <c r="Q14" s="530">
        <f t="shared" si="6"/>
        <v>111</v>
      </c>
      <c r="R14" s="664" t="s">
        <v>14</v>
      </c>
      <c r="S14" s="665">
        <f t="shared" si="0"/>
        <v>100</v>
      </c>
      <c r="T14" s="664" t="s">
        <v>14</v>
      </c>
      <c r="U14" s="665">
        <f t="shared" si="1"/>
        <v>100</v>
      </c>
      <c r="V14" s="664" t="s">
        <v>14</v>
      </c>
      <c r="W14" s="665">
        <f t="shared" si="2"/>
        <v>100</v>
      </c>
      <c r="X14" s="666"/>
      <c r="Y14" s="3276"/>
      <c r="Z14" s="50">
        <f t="shared" si="7"/>
        <v>111</v>
      </c>
      <c r="AA14" s="50">
        <f>D14/F14</f>
        <v>1</v>
      </c>
      <c r="AB14" s="50">
        <f>D14/H14</f>
        <v>1</v>
      </c>
      <c r="AC14" s="50">
        <f>D14/J14</f>
        <v>1</v>
      </c>
    </row>
    <row r="15" spans="1:29" ht="15">
      <c r="A15" s="379" t="s">
        <v>1682</v>
      </c>
      <c r="B15" s="58" t="s">
        <v>1249</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9" t="s">
        <v>1683</v>
      </c>
      <c r="Q15" s="1259" t="str">
        <f t="shared" si="6"/>
        <v>居住社区成熟度</v>
      </c>
      <c r="R15" s="667" t="s">
        <v>14</v>
      </c>
      <c r="S15" s="668">
        <f t="shared" si="0"/>
        <v>100</v>
      </c>
      <c r="T15" s="667" t="s">
        <v>14</v>
      </c>
      <c r="U15" s="668">
        <f t="shared" si="1"/>
        <v>100</v>
      </c>
      <c r="V15" s="667" t="s">
        <v>14</v>
      </c>
      <c r="W15" s="668">
        <f t="shared" si="2"/>
        <v>100</v>
      </c>
      <c r="X15" s="1261"/>
      <c r="Y15" s="3409" t="s">
        <v>1683</v>
      </c>
      <c r="Z15" s="1260" t="str">
        <f t="shared" si="7"/>
        <v>居住社区成熟度</v>
      </c>
      <c r="AA15" s="1260">
        <f t="shared" si="3"/>
        <v>1</v>
      </c>
      <c r="AB15" s="1260">
        <f t="shared" si="4"/>
        <v>1</v>
      </c>
      <c r="AC15" s="1260">
        <f t="shared" si="5"/>
        <v>1</v>
      </c>
    </row>
    <row r="16" spans="1:29" ht="15">
      <c r="A16" s="367"/>
      <c r="B16" s="385"/>
      <c r="C16" s="386"/>
      <c r="D16" s="387"/>
      <c r="E16" s="1747"/>
      <c r="F16" s="387"/>
      <c r="G16" s="1747"/>
      <c r="H16" s="389"/>
      <c r="I16" s="1746"/>
      <c r="J16" s="387"/>
      <c r="K16" s="592"/>
      <c r="L16" s="2488"/>
      <c r="M16" s="2483"/>
      <c r="N16" s="2483"/>
      <c r="O16" s="2538"/>
      <c r="P16" s="3410"/>
      <c r="Q16" s="1259"/>
      <c r="R16" s="667"/>
      <c r="S16" s="668"/>
      <c r="T16" s="667"/>
      <c r="U16" s="668"/>
      <c r="V16" s="667"/>
      <c r="W16" s="668"/>
      <c r="X16" s="1261"/>
      <c r="Y16" s="3410"/>
      <c r="Z16" s="1260"/>
      <c r="AA16" s="1260">
        <v>1</v>
      </c>
      <c r="AB16" s="1260">
        <v>1</v>
      </c>
      <c r="AC16" s="1260">
        <v>1</v>
      </c>
    </row>
    <row r="17" spans="1:29" ht="15">
      <c r="A17" s="367"/>
      <c r="B17" s="390" t="s">
        <v>1769</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10"/>
      <c r="Q17" s="1259" t="str">
        <f>B17</f>
        <v>商业繁华度</v>
      </c>
      <c r="R17" s="667" t="s">
        <v>14</v>
      </c>
      <c r="S17" s="668">
        <f>F17</f>
        <v>100</v>
      </c>
      <c r="T17" s="667" t="s">
        <v>14</v>
      </c>
      <c r="U17" s="668">
        <f>H17</f>
        <v>100</v>
      </c>
      <c r="V17" s="667" t="s">
        <v>14</v>
      </c>
      <c r="W17" s="668">
        <f>J17</f>
        <v>100</v>
      </c>
      <c r="X17" s="1261"/>
      <c r="Y17" s="3410"/>
      <c r="Z17" s="1260" t="str">
        <f>Q17</f>
        <v>商业繁华度</v>
      </c>
      <c r="AA17" s="1260">
        <f t="shared" si="3"/>
        <v>1</v>
      </c>
      <c r="AB17" s="1260">
        <f t="shared" si="4"/>
        <v>1</v>
      </c>
      <c r="AC17" s="1260">
        <f t="shared" si="5"/>
        <v>1</v>
      </c>
    </row>
    <row r="18" spans="1:29" ht="15">
      <c r="A18" s="367"/>
      <c r="B18" s="395"/>
      <c r="C18" s="1750"/>
      <c r="D18" s="389"/>
      <c r="E18" s="1752"/>
      <c r="F18" s="389"/>
      <c r="G18" s="1752"/>
      <c r="H18" s="387"/>
      <c r="I18" s="1751"/>
      <c r="J18" s="387"/>
      <c r="K18" s="592"/>
      <c r="L18" s="2488"/>
      <c r="M18" s="2483"/>
      <c r="N18" s="2483"/>
      <c r="O18" s="2538"/>
      <c r="P18" s="3410"/>
      <c r="Q18" s="1259"/>
      <c r="R18" s="667"/>
      <c r="S18" s="668"/>
      <c r="T18" s="667"/>
      <c r="U18" s="668"/>
      <c r="V18" s="667"/>
      <c r="W18" s="668"/>
      <c r="X18" s="1261"/>
      <c r="Y18" s="3410"/>
      <c r="Z18" s="1260"/>
      <c r="AA18" s="1260">
        <v>1</v>
      </c>
      <c r="AB18" s="1260">
        <v>1</v>
      </c>
      <c r="AC18" s="1260">
        <v>1</v>
      </c>
    </row>
    <row r="19" spans="1:29" ht="15">
      <c r="A19" s="367"/>
      <c r="B19" s="390" t="s">
        <v>1803</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10"/>
      <c r="Q19" s="1259" t="str">
        <f>B19</f>
        <v>办公集聚程度</v>
      </c>
      <c r="R19" s="667" t="s">
        <v>14</v>
      </c>
      <c r="S19" s="668">
        <f>F19</f>
        <v>100</v>
      </c>
      <c r="T19" s="667" t="s">
        <v>14</v>
      </c>
      <c r="U19" s="668">
        <f>H19</f>
        <v>100</v>
      </c>
      <c r="V19" s="667" t="s">
        <v>14</v>
      </c>
      <c r="W19" s="668">
        <f>J19</f>
        <v>100</v>
      </c>
      <c r="X19" s="1261"/>
      <c r="Y19" s="3410"/>
      <c r="Z19" s="1260" t="str">
        <f>Q19</f>
        <v>办公集聚程度</v>
      </c>
      <c r="AA19" s="1260">
        <f t="shared" si="3"/>
        <v>1</v>
      </c>
      <c r="AB19" s="1260">
        <f t="shared" si="4"/>
        <v>1</v>
      </c>
      <c r="AC19" s="1260">
        <f t="shared" si="5"/>
        <v>1</v>
      </c>
    </row>
    <row r="20" spans="1:29" ht="15">
      <c r="A20" s="367"/>
      <c r="B20" s="395"/>
      <c r="C20" s="386"/>
      <c r="D20" s="387"/>
      <c r="E20" s="1747"/>
      <c r="F20" s="387"/>
      <c r="G20" s="1747"/>
      <c r="H20" s="387"/>
      <c r="I20" s="1746"/>
      <c r="J20" s="387"/>
      <c r="K20" s="592"/>
      <c r="L20" s="2488"/>
      <c r="M20" s="2483"/>
      <c r="N20" s="2483"/>
      <c r="O20" s="2538"/>
      <c r="P20" s="3410"/>
      <c r="Q20" s="1259"/>
      <c r="R20" s="667"/>
      <c r="S20" s="668"/>
      <c r="T20" s="667"/>
      <c r="U20" s="668"/>
      <c r="V20" s="667"/>
      <c r="W20" s="668"/>
      <c r="X20" s="1261"/>
      <c r="Y20" s="3410"/>
      <c r="Z20" s="1260"/>
      <c r="AA20" s="1260">
        <v>1</v>
      </c>
      <c r="AB20" s="1260">
        <v>1</v>
      </c>
      <c r="AC20" s="1260">
        <v>1</v>
      </c>
    </row>
    <row r="21" spans="1:29" ht="15">
      <c r="A21" s="367"/>
      <c r="B21" s="390" t="s">
        <v>1825</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10"/>
      <c r="Q21" s="1259" t="str">
        <f>B21</f>
        <v>交通便捷度</v>
      </c>
      <c r="R21" s="667" t="s">
        <v>14</v>
      </c>
      <c r="S21" s="668">
        <f>F21</f>
        <v>100</v>
      </c>
      <c r="T21" s="667" t="s">
        <v>14</v>
      </c>
      <c r="U21" s="668">
        <f>H21</f>
        <v>100</v>
      </c>
      <c r="V21" s="667" t="s">
        <v>14</v>
      </c>
      <c r="W21" s="668">
        <f>J21</f>
        <v>100</v>
      </c>
      <c r="X21" s="1261"/>
      <c r="Y21" s="3410"/>
      <c r="Z21" s="1260" t="str">
        <f>Q21</f>
        <v>交通便捷度</v>
      </c>
      <c r="AA21" s="1260">
        <f t="shared" si="3"/>
        <v>1</v>
      </c>
      <c r="AB21" s="1260">
        <f t="shared" si="4"/>
        <v>1</v>
      </c>
      <c r="AC21" s="1260">
        <f t="shared" si="5"/>
        <v>1</v>
      </c>
    </row>
    <row r="22" spans="1:29" ht="15">
      <c r="A22" s="367"/>
      <c r="B22" s="586"/>
      <c r="C22" s="386"/>
      <c r="D22" s="389"/>
      <c r="E22" s="1747"/>
      <c r="F22" s="387"/>
      <c r="G22" s="1747"/>
      <c r="H22" s="387"/>
      <c r="I22" s="1746"/>
      <c r="J22" s="387"/>
      <c r="K22" s="592"/>
      <c r="L22" s="2488"/>
      <c r="M22" s="2483"/>
      <c r="N22" s="2483"/>
      <c r="O22" s="2538"/>
      <c r="P22" s="3410"/>
      <c r="Q22" s="1259"/>
      <c r="R22" s="667"/>
      <c r="S22" s="668"/>
      <c r="T22" s="667"/>
      <c r="U22" s="668"/>
      <c r="V22" s="667"/>
      <c r="W22" s="668"/>
      <c r="X22" s="1261"/>
      <c r="Y22" s="3410"/>
      <c r="Z22" s="1260"/>
      <c r="AA22" s="1260">
        <v>1</v>
      </c>
      <c r="AB22" s="1260">
        <v>1</v>
      </c>
      <c r="AC22" s="1260">
        <v>1</v>
      </c>
    </row>
    <row r="23" spans="1:29" ht="15">
      <c r="A23" s="348"/>
      <c r="B23" s="390" t="s">
        <v>1863</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10"/>
      <c r="Q23" s="1259" t="str">
        <f t="shared" ref="Q23:Q37" si="8">B23</f>
        <v>区域土地利用方向</v>
      </c>
      <c r="R23" s="667" t="s">
        <v>14</v>
      </c>
      <c r="S23" s="668">
        <f>F23</f>
        <v>100</v>
      </c>
      <c r="T23" s="667" t="s">
        <v>14</v>
      </c>
      <c r="U23" s="668">
        <f>H23</f>
        <v>100</v>
      </c>
      <c r="V23" s="667" t="s">
        <v>14</v>
      </c>
      <c r="W23" s="668">
        <f>J23</f>
        <v>100</v>
      </c>
      <c r="X23" s="1261"/>
      <c r="Y23" s="3410"/>
      <c r="Z23" s="1260" t="str">
        <f>Q23</f>
        <v>区域土地利用方向</v>
      </c>
      <c r="AA23" s="1260">
        <f t="shared" si="3"/>
        <v>1</v>
      </c>
      <c r="AB23" s="1260">
        <f t="shared" si="4"/>
        <v>1</v>
      </c>
      <c r="AC23" s="1260">
        <f t="shared" si="5"/>
        <v>1</v>
      </c>
    </row>
    <row r="24" spans="1:29" ht="15">
      <c r="A24" s="348"/>
      <c r="B24" s="395"/>
      <c r="C24" s="542"/>
      <c r="D24" s="387"/>
      <c r="E24" s="1747"/>
      <c r="F24" s="387"/>
      <c r="G24" s="1746"/>
      <c r="H24" s="387"/>
      <c r="I24" s="1746"/>
      <c r="J24" s="387"/>
      <c r="K24" s="695"/>
      <c r="L24" s="2488"/>
      <c r="M24" s="2483"/>
      <c r="N24" s="2483"/>
      <c r="O24" s="2538"/>
      <c r="P24" s="3410"/>
      <c r="Q24" s="1259"/>
      <c r="R24" s="667"/>
      <c r="S24" s="668"/>
      <c r="T24" s="667"/>
      <c r="U24" s="668"/>
      <c r="V24" s="667"/>
      <c r="W24" s="668"/>
      <c r="X24" s="1261"/>
      <c r="Y24" s="3410"/>
      <c r="Z24" s="1260"/>
      <c r="AA24" s="1260"/>
      <c r="AB24" s="1260"/>
      <c r="AC24" s="1260"/>
    </row>
    <row r="25" spans="1:29" ht="27">
      <c r="A25" s="348"/>
      <c r="B25" s="586" t="s">
        <v>1864</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10"/>
      <c r="Q25" s="1259" t="str">
        <f t="shared" si="8"/>
        <v>自然及人文环境状况</v>
      </c>
      <c r="R25" s="667" t="s">
        <v>14</v>
      </c>
      <c r="S25" s="668">
        <f>F25</f>
        <v>100</v>
      </c>
      <c r="T25" s="667" t="s">
        <v>14</v>
      </c>
      <c r="U25" s="668">
        <f>H25</f>
        <v>100</v>
      </c>
      <c r="V25" s="667" t="s">
        <v>14</v>
      </c>
      <c r="W25" s="668">
        <f>J25</f>
        <v>100</v>
      </c>
      <c r="X25" s="1261"/>
      <c r="Y25" s="3410"/>
      <c r="Z25" s="1260" t="str">
        <f>Q25</f>
        <v>自然及人文环境状况</v>
      </c>
      <c r="AA25" s="1260">
        <f t="shared" si="3"/>
        <v>1</v>
      </c>
      <c r="AB25" s="1260">
        <f t="shared" si="4"/>
        <v>1</v>
      </c>
      <c r="AC25" s="1260">
        <f t="shared" si="5"/>
        <v>1</v>
      </c>
    </row>
    <row r="26" spans="1:29" ht="15">
      <c r="A26" s="348"/>
      <c r="B26" s="395"/>
      <c r="C26" s="386"/>
      <c r="D26" s="387"/>
      <c r="E26" s="1753"/>
      <c r="F26" s="387"/>
      <c r="G26" s="1753"/>
      <c r="H26" s="387"/>
      <c r="I26" s="386"/>
      <c r="J26" s="387"/>
      <c r="K26" s="592"/>
      <c r="L26" s="2488"/>
      <c r="M26" s="2483"/>
      <c r="N26" s="2483"/>
      <c r="O26" s="2538"/>
      <c r="P26" s="3410"/>
      <c r="Q26" s="1259"/>
      <c r="R26" s="667"/>
      <c r="S26" s="668"/>
      <c r="T26" s="667"/>
      <c r="U26" s="668"/>
      <c r="V26" s="667"/>
      <c r="W26" s="668"/>
      <c r="X26" s="1261"/>
      <c r="Y26" s="3410"/>
      <c r="Z26" s="1260"/>
      <c r="AA26" s="1260">
        <v>1</v>
      </c>
      <c r="AB26" s="1260">
        <v>1</v>
      </c>
      <c r="AC26" s="1260">
        <v>1</v>
      </c>
    </row>
    <row r="27" spans="1:29" s="102" customFormat="1" ht="15">
      <c r="A27" s="443"/>
      <c r="B27" s="586" t="s">
        <v>1770</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0">
        <f>D27/F27</f>
        <v>1</v>
      </c>
      <c r="AB27" s="1260">
        <f>D27/H27</f>
        <v>1</v>
      </c>
      <c r="AC27" s="1260">
        <f>D27/J27</f>
        <v>1</v>
      </c>
    </row>
    <row r="28" spans="1:29" s="102" customFormat="1" ht="15">
      <c r="A28" s="443"/>
      <c r="B28" s="395"/>
      <c r="C28" s="1821"/>
      <c r="D28" s="387"/>
      <c r="E28" s="1753"/>
      <c r="F28" s="387"/>
      <c r="G28" s="1753"/>
      <c r="H28" s="387"/>
      <c r="I28" s="386"/>
      <c r="J28" s="387"/>
      <c r="K28" s="592"/>
      <c r="L28" s="2484"/>
      <c r="M28" s="2435"/>
      <c r="N28" s="2435"/>
      <c r="O28" s="2536"/>
      <c r="P28" s="3410"/>
      <c r="Q28" s="530"/>
      <c r="R28" s="664"/>
      <c r="S28" s="665"/>
      <c r="T28" s="664"/>
      <c r="U28" s="665"/>
      <c r="V28" s="664"/>
      <c r="W28" s="665"/>
      <c r="X28" s="666"/>
      <c r="Y28" s="3410"/>
      <c r="Z28" s="50"/>
      <c r="AA28" s="1260">
        <v>1</v>
      </c>
      <c r="AB28" s="1260">
        <v>1</v>
      </c>
      <c r="AC28" s="1260">
        <v>1</v>
      </c>
    </row>
    <row r="29" spans="1:29" s="102" customFormat="1" ht="15">
      <c r="A29" s="443"/>
      <c r="B29" s="586" t="s">
        <v>1771</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0">
        <f>D29/F29</f>
        <v>1</v>
      </c>
      <c r="AB29" s="1260">
        <f>D29/H29</f>
        <v>1</v>
      </c>
      <c r="AC29" s="1260">
        <f>D29/J29</f>
        <v>1</v>
      </c>
    </row>
    <row r="30" spans="1:29" s="102" customFormat="1" ht="15">
      <c r="A30" s="443"/>
      <c r="B30" s="395"/>
      <c r="C30" s="1821"/>
      <c r="D30" s="387"/>
      <c r="E30" s="1822"/>
      <c r="F30" s="387"/>
      <c r="G30" s="1822"/>
      <c r="H30" s="387"/>
      <c r="I30" s="1822"/>
      <c r="J30" s="387"/>
      <c r="K30" s="592"/>
      <c r="L30" s="2484"/>
      <c r="M30" s="2435"/>
      <c r="N30" s="2435"/>
      <c r="O30" s="2536"/>
      <c r="P30" s="3410"/>
      <c r="Q30" s="530"/>
      <c r="R30" s="664"/>
      <c r="S30" s="665"/>
      <c r="T30" s="664"/>
      <c r="U30" s="665"/>
      <c r="V30" s="664"/>
      <c r="W30" s="665"/>
      <c r="X30" s="666"/>
      <c r="Y30" s="3410"/>
      <c r="Z30" s="50"/>
      <c r="AA30" s="1260">
        <v>1</v>
      </c>
      <c r="AB30" s="1260">
        <v>1</v>
      </c>
      <c r="AC30" s="1260">
        <v>1</v>
      </c>
    </row>
    <row r="31" spans="1:29" ht="15">
      <c r="A31" s="367"/>
      <c r="B31" s="395" t="s">
        <v>1772</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10"/>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10"/>
      <c r="Z31" s="1260" t="str">
        <f t="shared" ref="Z31:Z45" si="13">Q31</f>
        <v>临街状况</v>
      </c>
      <c r="AA31" s="1260">
        <f t="shared" si="3"/>
        <v>1</v>
      </c>
      <c r="AB31" s="1260">
        <f t="shared" si="4"/>
        <v>1</v>
      </c>
      <c r="AC31" s="1260">
        <f t="shared" si="5"/>
        <v>1</v>
      </c>
    </row>
    <row r="32" spans="1:29" ht="27">
      <c r="A32" s="367"/>
      <c r="B32" s="586" t="s">
        <v>1807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10"/>
      <c r="Q32" s="1259" t="str">
        <f t="shared" si="8"/>
        <v>毗邻道路的类型与等级</v>
      </c>
      <c r="R32" s="667" t="s">
        <v>14</v>
      </c>
      <c r="S32" s="668">
        <f t="shared" si="10"/>
        <v>100</v>
      </c>
      <c r="T32" s="667" t="s">
        <v>14</v>
      </c>
      <c r="U32" s="668">
        <f t="shared" si="11"/>
        <v>100</v>
      </c>
      <c r="V32" s="667" t="s">
        <v>14</v>
      </c>
      <c r="W32" s="668">
        <f t="shared" si="12"/>
        <v>100</v>
      </c>
      <c r="X32" s="1261"/>
      <c r="Y32" s="3410"/>
      <c r="Z32" s="1260" t="str">
        <f t="shared" si="13"/>
        <v>毗邻道路的类型与等级</v>
      </c>
      <c r="AA32" s="1260">
        <f t="shared" si="3"/>
        <v>1</v>
      </c>
      <c r="AB32" s="1260">
        <f t="shared" si="4"/>
        <v>1</v>
      </c>
      <c r="AC32" s="1260">
        <f t="shared" si="5"/>
        <v>1</v>
      </c>
    </row>
    <row r="33" spans="1:29" ht="15">
      <c r="A33" s="367"/>
      <c r="B33" s="395"/>
      <c r="C33" s="386"/>
      <c r="D33" s="387"/>
      <c r="E33" s="1753"/>
      <c r="F33" s="387"/>
      <c r="G33" s="1753"/>
      <c r="H33" s="387"/>
      <c r="I33" s="386"/>
      <c r="J33" s="387"/>
      <c r="K33" s="539"/>
      <c r="L33" s="2488"/>
      <c r="M33" s="2483"/>
      <c r="N33" s="2483"/>
      <c r="O33" s="2538"/>
      <c r="P33" s="3410"/>
      <c r="Q33" s="1259"/>
      <c r="R33" s="667"/>
      <c r="S33" s="668"/>
      <c r="T33" s="667"/>
      <c r="U33" s="668"/>
      <c r="V33" s="667"/>
      <c r="W33" s="668"/>
      <c r="X33" s="1261"/>
      <c r="Y33" s="3410"/>
      <c r="Z33" s="1260"/>
      <c r="AA33" s="1260">
        <v>1</v>
      </c>
      <c r="AB33" s="1260">
        <v>1</v>
      </c>
      <c r="AC33" s="1260">
        <v>1</v>
      </c>
    </row>
    <row r="34" spans="1:29" ht="15">
      <c r="A34" s="367"/>
      <c r="B34" s="364" t="s">
        <v>1865</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10"/>
      <c r="Q34" s="1259" t="str">
        <f t="shared" si="8"/>
        <v>土地级别</v>
      </c>
      <c r="R34" s="667" t="s">
        <v>14</v>
      </c>
      <c r="S34" s="668">
        <f t="shared" si="10"/>
        <v>100</v>
      </c>
      <c r="T34" s="667" t="s">
        <v>14</v>
      </c>
      <c r="U34" s="668">
        <f t="shared" si="11"/>
        <v>100</v>
      </c>
      <c r="V34" s="667" t="s">
        <v>14</v>
      </c>
      <c r="W34" s="668">
        <f t="shared" si="12"/>
        <v>100</v>
      </c>
      <c r="X34" s="1261"/>
      <c r="Y34" s="3410"/>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10"/>
      <c r="Q35" s="1259">
        <f t="shared" si="8"/>
        <v>111</v>
      </c>
      <c r="R35" s="667" t="s">
        <v>14</v>
      </c>
      <c r="S35" s="668">
        <f t="shared" si="10"/>
        <v>100</v>
      </c>
      <c r="T35" s="667" t="s">
        <v>14</v>
      </c>
      <c r="U35" s="668">
        <f t="shared" si="11"/>
        <v>100</v>
      </c>
      <c r="V35" s="667" t="s">
        <v>14</v>
      </c>
      <c r="W35" s="668">
        <f t="shared" si="12"/>
        <v>100</v>
      </c>
      <c r="X35" s="1261"/>
      <c r="Y35" s="3410"/>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3" t="s">
        <v>1688</v>
      </c>
      <c r="Q36" s="1259">
        <f t="shared" si="8"/>
        <v>111</v>
      </c>
      <c r="R36" s="667" t="s">
        <v>14</v>
      </c>
      <c r="S36" s="668">
        <f t="shared" si="10"/>
        <v>100</v>
      </c>
      <c r="T36" s="667" t="s">
        <v>14</v>
      </c>
      <c r="U36" s="668">
        <f t="shared" si="11"/>
        <v>100</v>
      </c>
      <c r="V36" s="667" t="s">
        <v>14</v>
      </c>
      <c r="W36" s="668">
        <f t="shared" si="12"/>
        <v>100</v>
      </c>
      <c r="X36" s="1261"/>
      <c r="Y36" s="3414" t="s">
        <v>1688</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14"/>
      <c r="Q37" s="1259">
        <f t="shared" si="8"/>
        <v>111</v>
      </c>
      <c r="R37" s="669" t="s">
        <v>14</v>
      </c>
      <c r="S37" s="670">
        <f t="shared" si="10"/>
        <v>100</v>
      </c>
      <c r="T37" s="669" t="s">
        <v>14</v>
      </c>
      <c r="U37" s="670">
        <f t="shared" si="11"/>
        <v>100</v>
      </c>
      <c r="V37" s="669" t="s">
        <v>14</v>
      </c>
      <c r="W37" s="670">
        <f t="shared" si="12"/>
        <v>100</v>
      </c>
      <c r="X37" s="671"/>
      <c r="Y37" s="3414"/>
      <c r="Z37" s="672">
        <f t="shared" si="13"/>
        <v>111</v>
      </c>
      <c r="AA37" s="1260">
        <f t="shared" si="3"/>
        <v>1</v>
      </c>
      <c r="AB37" s="1260">
        <f t="shared" si="4"/>
        <v>1</v>
      </c>
      <c r="AC37" s="1260">
        <f t="shared" si="5"/>
        <v>1</v>
      </c>
    </row>
    <row r="38" spans="1:29" ht="15">
      <c r="A38" s="409" t="s">
        <v>1686</v>
      </c>
      <c r="B38" s="395" t="s">
        <v>1866</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14"/>
      <c r="Q38" s="1259" t="str">
        <f>B38</f>
        <v>宗地面积</v>
      </c>
      <c r="R38" s="667" t="s">
        <v>14</v>
      </c>
      <c r="S38" s="668" t="e">
        <f t="shared" si="10"/>
        <v>#N/A</v>
      </c>
      <c r="T38" s="667" t="s">
        <v>14</v>
      </c>
      <c r="U38" s="668" t="e">
        <f t="shared" si="11"/>
        <v>#N/A</v>
      </c>
      <c r="V38" s="667" t="s">
        <v>14</v>
      </c>
      <c r="W38" s="668" t="e">
        <f t="shared" si="12"/>
        <v>#N/A</v>
      </c>
      <c r="X38" s="1261"/>
      <c r="Y38" s="3414"/>
      <c r="Z38" s="1260" t="str">
        <f t="shared" si="13"/>
        <v>宗地面积</v>
      </c>
      <c r="AA38" s="1260" t="e">
        <f t="shared" si="3"/>
        <v>#N/A</v>
      </c>
      <c r="AB38" s="1260" t="e">
        <f t="shared" si="4"/>
        <v>#N/A</v>
      </c>
      <c r="AC38" s="1260" t="e">
        <f t="shared" si="5"/>
        <v>#N/A</v>
      </c>
    </row>
    <row r="39" spans="1:29" ht="15">
      <c r="A39" s="409"/>
      <c r="B39" s="364" t="s">
        <v>1867</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8"/>
      <c r="M39" s="2483"/>
      <c r="N39" s="2483"/>
      <c r="O39" s="2538"/>
      <c r="P39" s="3414"/>
      <c r="Q39" s="1259" t="str">
        <f t="shared" ref="Q39:Q45" si="14">B39</f>
        <v>宗地形状</v>
      </c>
      <c r="R39" s="667" t="s">
        <v>14</v>
      </c>
      <c r="S39" s="668">
        <f t="shared" si="10"/>
        <v>100</v>
      </c>
      <c r="T39" s="667" t="s">
        <v>14</v>
      </c>
      <c r="U39" s="668">
        <f t="shared" si="11"/>
        <v>100</v>
      </c>
      <c r="V39" s="667" t="s">
        <v>14</v>
      </c>
      <c r="W39" s="668">
        <f t="shared" si="12"/>
        <v>100</v>
      </c>
      <c r="X39" s="1261"/>
      <c r="Y39" s="3414"/>
      <c r="Z39" s="1260" t="str">
        <f t="shared" si="13"/>
        <v>宗地形状</v>
      </c>
      <c r="AA39" s="1260">
        <f t="shared" si="3"/>
        <v>1</v>
      </c>
      <c r="AB39" s="1260">
        <f t="shared" si="4"/>
        <v>1</v>
      </c>
      <c r="AC39" s="1260">
        <f t="shared" si="5"/>
        <v>1</v>
      </c>
    </row>
    <row r="40" spans="1:29" ht="15">
      <c r="A40" s="409"/>
      <c r="B40" s="364" t="s">
        <v>1868</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8"/>
      <c r="M40" s="2483"/>
      <c r="N40" s="2483"/>
      <c r="O40" s="2538"/>
      <c r="P40" s="3414"/>
      <c r="Q40" s="1259" t="str">
        <f t="shared" si="14"/>
        <v>临街宽度及深度</v>
      </c>
      <c r="R40" s="667" t="s">
        <v>14</v>
      </c>
      <c r="S40" s="668">
        <f t="shared" si="10"/>
        <v>100</v>
      </c>
      <c r="T40" s="667" t="s">
        <v>14</v>
      </c>
      <c r="U40" s="668">
        <f t="shared" si="11"/>
        <v>100</v>
      </c>
      <c r="V40" s="667" t="s">
        <v>14</v>
      </c>
      <c r="W40" s="668">
        <f t="shared" si="12"/>
        <v>100</v>
      </c>
      <c r="X40" s="1261"/>
      <c r="Y40" s="3414"/>
      <c r="Z40" s="1260" t="str">
        <f t="shared" si="13"/>
        <v>临街宽度及深度</v>
      </c>
      <c r="AA40" s="1260">
        <f t="shared" si="3"/>
        <v>1</v>
      </c>
      <c r="AB40" s="1260">
        <f t="shared" si="4"/>
        <v>1</v>
      </c>
      <c r="AC40" s="1260">
        <f t="shared" si="5"/>
        <v>1</v>
      </c>
    </row>
    <row r="41" spans="1:29" s="102" customFormat="1" ht="15">
      <c r="A41" s="410"/>
      <c r="B41" s="364" t="s">
        <v>1869</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4"/>
      <c r="M41" s="2435"/>
      <c r="N41" s="2435"/>
      <c r="O41" s="2536"/>
      <c r="P41" s="3414"/>
      <c r="Q41" s="1259"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1870</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8"/>
      <c r="M42" s="2483"/>
      <c r="N42" s="2483"/>
      <c r="O42" s="2538"/>
      <c r="P42" s="3414" t="s">
        <v>1688</v>
      </c>
      <c r="Q42" s="1259" t="str">
        <f t="shared" si="14"/>
        <v>工程地质条件</v>
      </c>
      <c r="R42" s="667" t="s">
        <v>14</v>
      </c>
      <c r="S42" s="668">
        <f t="shared" si="10"/>
        <v>100</v>
      </c>
      <c r="T42" s="667" t="s">
        <v>14</v>
      </c>
      <c r="U42" s="668">
        <f t="shared" si="11"/>
        <v>100</v>
      </c>
      <c r="V42" s="667" t="s">
        <v>14</v>
      </c>
      <c r="W42" s="668">
        <f t="shared" si="12"/>
        <v>100</v>
      </c>
      <c r="X42" s="1261"/>
      <c r="Y42" s="3414" t="s">
        <v>1688</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14"/>
      <c r="Q43" s="1259">
        <f t="shared" si="14"/>
        <v>111</v>
      </c>
      <c r="R43" s="667" t="s">
        <v>14</v>
      </c>
      <c r="S43" s="668">
        <f t="shared" si="10"/>
        <v>100</v>
      </c>
      <c r="T43" s="667" t="s">
        <v>14</v>
      </c>
      <c r="U43" s="668">
        <f t="shared" si="11"/>
        <v>100</v>
      </c>
      <c r="V43" s="667" t="s">
        <v>14</v>
      </c>
      <c r="W43" s="668">
        <f t="shared" si="12"/>
        <v>100</v>
      </c>
      <c r="X43" s="1261"/>
      <c r="Y43" s="3414"/>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14"/>
      <c r="Q44" s="1259">
        <f t="shared" si="14"/>
        <v>111</v>
      </c>
      <c r="R44" s="667" t="s">
        <v>14</v>
      </c>
      <c r="S44" s="668">
        <f t="shared" si="10"/>
        <v>100</v>
      </c>
      <c r="T44" s="667" t="s">
        <v>14</v>
      </c>
      <c r="U44" s="668">
        <f t="shared" si="11"/>
        <v>100</v>
      </c>
      <c r="V44" s="667" t="s">
        <v>14</v>
      </c>
      <c r="W44" s="668">
        <f t="shared" si="12"/>
        <v>100</v>
      </c>
      <c r="X44" s="1261"/>
      <c r="Y44" s="3414"/>
      <c r="Z44" s="1260">
        <f t="shared" si="13"/>
        <v>111</v>
      </c>
      <c r="AA44" s="1260">
        <f t="shared" si="3"/>
        <v>1</v>
      </c>
      <c r="AB44" s="1260">
        <f t="shared" si="4"/>
        <v>1</v>
      </c>
      <c r="AC44" s="1260">
        <f t="shared" si="5"/>
        <v>1</v>
      </c>
    </row>
    <row r="45" spans="1:29" s="408" customFormat="1" ht="15.75" thickBot="1">
      <c r="A45" s="406"/>
      <c r="B45" s="1063">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14"/>
      <c r="Q45" s="1259">
        <f t="shared" si="14"/>
        <v>111</v>
      </c>
      <c r="R45" s="669" t="s">
        <v>14</v>
      </c>
      <c r="S45" s="670">
        <f t="shared" si="10"/>
        <v>100</v>
      </c>
      <c r="T45" s="669" t="s">
        <v>14</v>
      </c>
      <c r="U45" s="670">
        <f t="shared" si="11"/>
        <v>100</v>
      </c>
      <c r="V45" s="669" t="s">
        <v>14</v>
      </c>
      <c r="W45" s="670">
        <f t="shared" si="12"/>
        <v>100</v>
      </c>
      <c r="X45" s="671"/>
      <c r="Y45" s="3414"/>
      <c r="Z45" s="672">
        <f t="shared" si="13"/>
        <v>111</v>
      </c>
      <c r="AA45" s="1260">
        <f t="shared" si="3"/>
        <v>1</v>
      </c>
      <c r="AB45" s="1260">
        <f t="shared" si="4"/>
        <v>1</v>
      </c>
      <c r="AC45" s="1260">
        <f t="shared" si="5"/>
        <v>1</v>
      </c>
    </row>
    <row r="46" spans="1:29" ht="15">
      <c r="A46" s="416" t="s">
        <v>1836</v>
      </c>
      <c r="B46" s="1825" t="s">
        <v>1871</v>
      </c>
      <c r="C46" s="602" t="s">
        <v>0</v>
      </c>
      <c r="D46" s="418"/>
      <c r="E46" s="419"/>
      <c r="F46" s="420"/>
      <c r="G46" s="421"/>
      <c r="H46" s="422"/>
      <c r="I46" s="419"/>
      <c r="J46" s="422"/>
      <c r="K46" s="674"/>
      <c r="L46" s="2490"/>
      <c r="M46" s="2483"/>
      <c r="N46" s="2483"/>
      <c r="O46" s="2483"/>
      <c r="P46" s="3416" t="str">
        <f>A46</f>
        <v>成交单价</v>
      </c>
      <c r="Q46" s="3416"/>
      <c r="R46" s="3404">
        <f>E46</f>
        <v>0</v>
      </c>
      <c r="S46" s="3404"/>
      <c r="T46" s="3404">
        <f>G46</f>
        <v>0</v>
      </c>
      <c r="U46" s="3404"/>
      <c r="V46" s="3404">
        <f>I46</f>
        <v>0</v>
      </c>
      <c r="W46" s="3404"/>
      <c r="X46" s="385"/>
      <c r="Y46" s="673"/>
      <c r="Z46" s="385"/>
      <c r="AA46" s="385"/>
      <c r="AB46" s="385"/>
      <c r="AC46" s="385"/>
    </row>
    <row r="47" spans="1:29" ht="15.75" thickBot="1">
      <c r="A47" s="423" t="s">
        <v>1785</v>
      </c>
      <c r="B47" s="603"/>
      <c r="C47" s="426" t="e">
        <f>R48</f>
        <v>#DIV/0!</v>
      </c>
      <c r="D47" s="2136" t="s">
        <v>2129</v>
      </c>
      <c r="E47" s="426" t="e">
        <f>R47</f>
        <v>#DIV/0!</v>
      </c>
      <c r="F47" s="2137"/>
      <c r="G47" s="425" t="e">
        <f>T47</f>
        <v>#DIV/0!</v>
      </c>
      <c r="H47" s="2137"/>
      <c r="I47" s="426" t="e">
        <f>V47</f>
        <v>#DIV/0!</v>
      </c>
      <c r="J47" s="2137"/>
      <c r="K47" s="2139">
        <f>F47+H47+J47</f>
        <v>0</v>
      </c>
      <c r="L47" s="2490"/>
      <c r="M47" s="2483"/>
      <c r="N47" s="2483"/>
      <c r="O47" s="2483"/>
      <c r="P47" s="3416" t="str">
        <f>A47</f>
        <v>比较价值（元/平方米）</v>
      </c>
      <c r="Q47" s="3416"/>
      <c r="R47" s="3479" t="e">
        <f>ROUND(PRODUCT(R46,AA7:AA45),0)</f>
        <v>#DIV/0!</v>
      </c>
      <c r="S47" s="3479"/>
      <c r="T47" s="3479" t="e">
        <f>ROUND(PRODUCT(T46,AB7:AB45),0)</f>
        <v>#DIV/0!</v>
      </c>
      <c r="U47" s="3479"/>
      <c r="V47" s="3479" t="e">
        <f>ROUND(PRODUCT(V46,AC7:AC45),0)</f>
        <v>#DIV/0!</v>
      </c>
      <c r="W47" s="3479"/>
      <c r="X47" s="385"/>
      <c r="Y47" s="385"/>
      <c r="Z47" s="385"/>
      <c r="AA47" s="385"/>
      <c r="AB47" s="385"/>
      <c r="AC47" s="385"/>
    </row>
    <row r="48" spans="1:29" ht="15.75" thickBot="1">
      <c r="A48" s="427" t="s">
        <v>1872</v>
      </c>
      <c r="B48" s="428"/>
      <c r="C48" s="429" t="e">
        <f>R48</f>
        <v>#DIV/0!</v>
      </c>
      <c r="D48" s="429"/>
      <c r="E48" s="429"/>
      <c r="F48" s="429"/>
      <c r="G48" s="429"/>
      <c r="H48" s="429"/>
      <c r="I48" s="429"/>
      <c r="J48" s="429"/>
      <c r="K48" s="675"/>
      <c r="L48" s="2490"/>
      <c r="M48" s="2483"/>
      <c r="N48" s="2483"/>
      <c r="O48" s="2483"/>
      <c r="P48" s="3434" t="str">
        <f>A48</f>
        <v>估价对象XX用房的比较价值（楼面单价，元/平方米）</v>
      </c>
      <c r="Q48" s="3435"/>
      <c r="R48" s="3480" t="e">
        <f>ROUND(IF(D47="简单平均",AVERAGE(R47:W47),R47*F47+T47*H47+V47*J47),0)</f>
        <v>#DIV/0!</v>
      </c>
      <c r="S48" s="3480"/>
      <c r="T48" s="3480"/>
      <c r="U48" s="3480"/>
      <c r="V48" s="3480"/>
      <c r="W48" s="3480"/>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1787</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1788</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1789</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1873</v>
      </c>
      <c r="B55" s="605" t="s">
        <v>1874</v>
      </c>
      <c r="C55" s="1826" t="s">
        <v>1875</v>
      </c>
      <c r="D55" s="1827" t="s">
        <v>1876</v>
      </c>
      <c r="E55" s="606" t="s">
        <v>1877</v>
      </c>
      <c r="F55" s="834" t="s">
        <v>1878</v>
      </c>
      <c r="G55" s="3391" t="s">
        <v>1879</v>
      </c>
      <c r="H55" s="3481"/>
      <c r="I55" s="127" t="s">
        <v>1880</v>
      </c>
      <c r="J55" s="1828">
        <f>项目基本情况!F35</f>
        <v>0</v>
      </c>
      <c r="K55" s="1829" t="s">
        <v>1881</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1882</v>
      </c>
      <c r="B56" s="609" t="e">
        <f>C48</f>
        <v>#DIV/0!</v>
      </c>
      <c r="C56" s="610">
        <v>1</v>
      </c>
      <c r="D56" s="887">
        <v>1</v>
      </c>
      <c r="E56" s="610">
        <f>'数据-汇总表'!E8+'数据-汇总表'!E9</f>
        <v>1965.41</v>
      </c>
      <c r="F56" s="830" t="e">
        <f t="shared" ref="F56:F64" si="15">ROUND(B56*E56/10000,0)</f>
        <v>#DIV/0!</v>
      </c>
      <c r="G56" s="3387"/>
      <c r="H56" s="3416"/>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1883</v>
      </c>
      <c r="B57" s="210" t="e">
        <f>ROUND($C$48*C57*D57,0)</f>
        <v>#DIV/0!</v>
      </c>
      <c r="C57" s="163">
        <f t="shared" ref="C57:C64" si="16">IF($C$55="北京市系数",I57,J57)</f>
        <v>0</v>
      </c>
      <c r="D57" s="888">
        <v>0.25</v>
      </c>
      <c r="E57" s="614"/>
      <c r="F57" s="830" t="e">
        <f t="shared" si="15"/>
        <v>#DIV/0!</v>
      </c>
      <c r="G57" s="2746" t="s">
        <v>1884</v>
      </c>
      <c r="H57" s="831">
        <f>项目基本情况!B37</f>
        <v>0</v>
      </c>
      <c r="I57" s="835">
        <f>SUMIF(修正!A59:A70,H57,修正!B59:B70)</f>
        <v>0</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1885</v>
      </c>
      <c r="B58" s="210" t="e">
        <f t="shared" ref="B58:B64" si="17">ROUND($C$48*C58*D58,0)</f>
        <v>#DIV/0!</v>
      </c>
      <c r="C58" s="163">
        <f t="shared" si="16"/>
        <v>0</v>
      </c>
      <c r="D58" s="888">
        <v>0.25</v>
      </c>
      <c r="E58" s="614"/>
      <c r="F58" s="830" t="e">
        <f t="shared" si="15"/>
        <v>#DIV/0!</v>
      </c>
      <c r="G58" s="2747"/>
      <c r="H58" s="831">
        <f>项目基本情况!B37</f>
        <v>0</v>
      </c>
      <c r="I58" s="835">
        <f>SUMIF(修正!A59:A70,H58,修正!C59:C70)</f>
        <v>0</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1886</v>
      </c>
      <c r="B59" s="210" t="e">
        <f t="shared" si="17"/>
        <v>#DIV/0!</v>
      </c>
      <c r="C59" s="163">
        <f t="shared" si="16"/>
        <v>0</v>
      </c>
      <c r="D59" s="888">
        <v>0.25</v>
      </c>
      <c r="E59" s="614"/>
      <c r="F59" s="830" t="e">
        <f t="shared" si="15"/>
        <v>#DIV/0!</v>
      </c>
      <c r="G59" s="2747"/>
      <c r="H59" s="831">
        <f>项目基本情况!B37</f>
        <v>0</v>
      </c>
      <c r="I59" s="835">
        <f>SUMIF(修正!A59:A70,H59,修正!D59:D70)</f>
        <v>0</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1887</v>
      </c>
      <c r="B60" s="210" t="e">
        <f t="shared" si="17"/>
        <v>#DIV/0!</v>
      </c>
      <c r="C60" s="163">
        <f t="shared" si="16"/>
        <v>0.3</v>
      </c>
      <c r="D60" s="888">
        <v>0.25</v>
      </c>
      <c r="E60" s="209">
        <f>'数据-汇总表'!E11</f>
        <v>0</v>
      </c>
      <c r="F60" s="830" t="e">
        <f t="shared" si="15"/>
        <v>#DIV/0!</v>
      </c>
      <c r="G60" s="1830" t="s">
        <v>1888</v>
      </c>
      <c r="H60" s="831" t="str">
        <f>项目基本情况!C37</f>
        <v>二级</v>
      </c>
      <c r="I60" s="835">
        <f>SUMIF(修正!A59:A70,H60,修正!E59:E70)</f>
        <v>0.3</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1889</v>
      </c>
      <c r="B61" s="210" t="e">
        <f t="shared" si="17"/>
        <v>#DIV/0!</v>
      </c>
      <c r="C61" s="163">
        <f t="shared" si="16"/>
        <v>0.3</v>
      </c>
      <c r="D61" s="888">
        <v>0.25</v>
      </c>
      <c r="E61" s="209">
        <f>'数据-汇总表'!E12</f>
        <v>0</v>
      </c>
      <c r="F61" s="830" t="e">
        <f t="shared" si="15"/>
        <v>#DIV/0!</v>
      </c>
      <c r="G61" s="836" t="s">
        <v>1890</v>
      </c>
      <c r="H61" s="831" t="str">
        <f>IF(G61="商业",项目基本情况!B37,IF(G61="办公",项目基本情况!C37,IF(G61="住宅",项目基本情况!D37,项目基本情况!E37)))</f>
        <v>二级</v>
      </c>
      <c r="I61" s="835">
        <f>SUMIF(修正!A59:A70,H61,修正!F59:F70)</f>
        <v>0.3</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1891</v>
      </c>
      <c r="B62" s="210" t="e">
        <f t="shared" si="17"/>
        <v>#DIV/0!</v>
      </c>
      <c r="C62" s="163">
        <f t="shared" si="16"/>
        <v>0</v>
      </c>
      <c r="D62" s="888">
        <v>0.25</v>
      </c>
      <c r="E62" s="209">
        <f>'数据-汇总表'!E13</f>
        <v>213.22</v>
      </c>
      <c r="F62" s="830" t="e">
        <f t="shared" si="15"/>
        <v>#DIV/0!</v>
      </c>
      <c r="G62" s="836" t="s">
        <v>1892</v>
      </c>
      <c r="H62" s="831">
        <f>IF(G62="商业",项目基本情况!B37,IF(G62="办公",项目基本情况!C37,IF(G62="住宅",项目基本情况!D37,项目基本情况!E37)))</f>
        <v>0</v>
      </c>
      <c r="I62" s="835">
        <f>SUMIF(修正!A59:A70,H62,修正!G59:G70)</f>
        <v>0</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1893</v>
      </c>
      <c r="B63" s="210" t="e">
        <f t="shared" si="17"/>
        <v>#DIV/0!</v>
      </c>
      <c r="C63" s="163">
        <f t="shared" si="16"/>
        <v>0</v>
      </c>
      <c r="D63" s="888">
        <v>0.25</v>
      </c>
      <c r="E63" s="209">
        <f>'数据-汇总表'!E14</f>
        <v>0</v>
      </c>
      <c r="F63" s="830" t="e">
        <f t="shared" si="15"/>
        <v>#DIV/0!</v>
      </c>
      <c r="G63" s="1830" t="s">
        <v>1884</v>
      </c>
      <c r="H63" s="831">
        <f>项目基本情况!B37</f>
        <v>0</v>
      </c>
      <c r="I63" s="835">
        <f>SUMIF(修正!A59:A70,H63,修正!G59:G70)</f>
        <v>0</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1894</v>
      </c>
      <c r="B64" s="210" t="e">
        <f t="shared" si="17"/>
        <v>#DIV/0!</v>
      </c>
      <c r="C64" s="163">
        <f t="shared" si="16"/>
        <v>0.2</v>
      </c>
      <c r="D64" s="888">
        <v>0.25</v>
      </c>
      <c r="E64" s="209">
        <f>'数据-汇总表'!E15</f>
        <v>0</v>
      </c>
      <c r="F64" s="830" t="e">
        <f t="shared" si="15"/>
        <v>#DIV/0!</v>
      </c>
      <c r="G64" s="1831" t="s">
        <v>1888</v>
      </c>
      <c r="H64" s="841" t="str">
        <f>项目基本情况!C37</f>
        <v>二级</v>
      </c>
      <c r="I64" s="837">
        <f>SUMIF(修正!A59:A70,H64,修正!G59:G70)</f>
        <v>0.2</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1895</v>
      </c>
      <c r="B65" s="616" t="s">
        <v>22</v>
      </c>
      <c r="C65" s="616" t="s">
        <v>23</v>
      </c>
      <c r="D65" s="616" t="s">
        <v>392</v>
      </c>
      <c r="E65" s="616">
        <f>IF(B46="楼面地价",SUM(E56:E64),'数据-汇总表'!D3)</f>
        <v>2178.63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3"/>
      <c r="Q67" s="2483"/>
      <c r="R67" s="2483"/>
      <c r="S67" s="2483"/>
      <c r="T67" s="2483"/>
      <c r="U67" s="2483"/>
      <c r="V67" s="2483"/>
      <c r="W67" s="2483"/>
      <c r="X67" s="2483"/>
      <c r="Y67" s="2483"/>
      <c r="Z67" s="2483"/>
      <c r="AA67" s="2483"/>
      <c r="AB67" s="2483"/>
      <c r="AC67" s="2483"/>
    </row>
    <row r="68" spans="1:29" ht="21.75" thickBot="1">
      <c r="A68" s="658" t="s">
        <v>1790</v>
      </c>
      <c r="B68" s="385"/>
      <c r="C68" s="659"/>
      <c r="D68" s="659"/>
      <c r="E68" s="659"/>
      <c r="F68" s="660"/>
      <c r="G68" s="660"/>
      <c r="H68" s="659"/>
      <c r="I68" s="659"/>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2" customFormat="1" ht="15">
      <c r="A69" s="1625" t="s">
        <v>1896</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6"/>
      <c r="Q69" s="2506"/>
      <c r="R69" s="2506"/>
      <c r="S69" s="2506"/>
      <c r="T69" s="2506"/>
      <c r="U69" s="2506"/>
      <c r="V69" s="2506"/>
      <c r="W69" s="2506"/>
      <c r="X69" s="2506"/>
      <c r="Y69" s="2506"/>
      <c r="Z69" s="2506"/>
      <c r="AA69" s="2506"/>
      <c r="AB69" s="2506"/>
      <c r="AC69" s="2506"/>
    </row>
    <row r="70" spans="1:29" s="102" customFormat="1" ht="30" customHeight="1">
      <c r="A70" s="1832" t="s">
        <v>1897</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75" thickBot="1">
      <c r="A71" s="449" t="s">
        <v>1708</v>
      </c>
      <c r="B71" s="450"/>
      <c r="C71" s="451"/>
      <c r="D71" s="452"/>
      <c r="E71" s="452"/>
      <c r="F71" s="452"/>
      <c r="G71" s="452"/>
      <c r="H71" s="452"/>
      <c r="I71" s="452"/>
      <c r="J71" s="452"/>
      <c r="K71" s="452"/>
      <c r="L71" s="452"/>
      <c r="M71" s="453"/>
      <c r="N71" s="452"/>
      <c r="O71" s="886"/>
      <c r="P71" s="2504"/>
      <c r="Q71" s="2504"/>
      <c r="R71" s="2435"/>
      <c r="S71" s="2435"/>
      <c r="T71" s="2435"/>
      <c r="U71" s="2435"/>
      <c r="V71" s="2435"/>
      <c r="W71" s="2435"/>
      <c r="X71" s="2435"/>
      <c r="Y71" s="2435"/>
      <c r="Z71" s="2435"/>
      <c r="AA71" s="2435"/>
      <c r="AB71" s="2435"/>
      <c r="AC71" s="2435"/>
    </row>
    <row r="72" spans="1:29" s="102" customFormat="1" ht="15">
      <c r="A72" s="455" t="s">
        <v>1673</v>
      </c>
      <c r="B72" s="444"/>
      <c r="C72" s="456" t="s">
        <v>1768</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1711</v>
      </c>
      <c r="B74" s="460" t="s">
        <v>1677</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1680</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1681</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1682</v>
      </c>
      <c r="B87" s="460" t="s">
        <v>1712</v>
      </c>
      <c r="C87" s="504" t="s">
        <v>1713</v>
      </c>
      <c r="D87" s="504" t="s">
        <v>1714</v>
      </c>
      <c r="E87" s="504" t="s">
        <v>1715</v>
      </c>
      <c r="F87" s="504" t="s">
        <v>1716</v>
      </c>
      <c r="G87" s="504" t="s">
        <v>1717</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1898</v>
      </c>
      <c r="C89" s="509" t="s">
        <v>1713</v>
      </c>
      <c r="D89" s="509" t="s">
        <v>1714</v>
      </c>
      <c r="E89" s="509" t="s">
        <v>1715</v>
      </c>
      <c r="F89" s="509" t="s">
        <v>1716</v>
      </c>
      <c r="G89" s="509" t="s">
        <v>1717</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1813</v>
      </c>
      <c r="C91" s="509" t="s">
        <v>1713</v>
      </c>
      <c r="D91" s="509" t="s">
        <v>1714</v>
      </c>
      <c r="E91" s="509" t="s">
        <v>1715</v>
      </c>
      <c r="F91" s="509" t="s">
        <v>1716</v>
      </c>
      <c r="G91" s="509" t="s">
        <v>1717</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1718</v>
      </c>
      <c r="C93" s="509" t="s">
        <v>1713</v>
      </c>
      <c r="D93" s="509" t="s">
        <v>1714</v>
      </c>
      <c r="E93" s="509" t="s">
        <v>1715</v>
      </c>
      <c r="F93" s="509" t="s">
        <v>1716</v>
      </c>
      <c r="G93" s="509" t="s">
        <v>1717</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1899</v>
      </c>
      <c r="C95" s="509" t="s">
        <v>1713</v>
      </c>
      <c r="D95" s="509" t="s">
        <v>1714</v>
      </c>
      <c r="E95" s="509" t="s">
        <v>1715</v>
      </c>
      <c r="F95" s="509" t="s">
        <v>1716</v>
      </c>
      <c r="G95" s="509" t="s">
        <v>1717</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1900</v>
      </c>
      <c r="C97" s="504" t="s">
        <v>1713</v>
      </c>
      <c r="D97" s="504" t="s">
        <v>1714</v>
      </c>
      <c r="E97" s="504" t="s">
        <v>1715</v>
      </c>
      <c r="F97" s="504" t="s">
        <v>1716</v>
      </c>
      <c r="G97" s="504" t="s">
        <v>1717</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1770</v>
      </c>
      <c r="C99" s="504" t="s">
        <v>1713</v>
      </c>
      <c r="D99" s="504" t="s">
        <v>1714</v>
      </c>
      <c r="E99" s="504" t="s">
        <v>1715</v>
      </c>
      <c r="F99" s="504" t="s">
        <v>1716</v>
      </c>
      <c r="G99" s="504" t="s">
        <v>1717</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1771</v>
      </c>
      <c r="C101" s="581" t="s">
        <v>1791</v>
      </c>
      <c r="D101" s="581" t="s">
        <v>1792</v>
      </c>
      <c r="E101" s="581" t="s">
        <v>1793</v>
      </c>
      <c r="F101" s="581" t="s">
        <v>1794</v>
      </c>
      <c r="G101" s="581" t="s">
        <v>1795</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1901</v>
      </c>
      <c r="D103" s="470" t="s">
        <v>1902</v>
      </c>
      <c r="E103" s="470" t="s">
        <v>1903</v>
      </c>
      <c r="F103" s="470" t="s">
        <v>1904</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1807</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1865</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1686</v>
      </c>
      <c r="B115" s="460" t="s">
        <v>1905</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1906</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1907</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1908</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1909</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1910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29" t="s">
        <v>1767</v>
      </c>
      <c r="Q4" s="3430"/>
      <c r="R4" s="3427" t="s">
        <v>1763</v>
      </c>
      <c r="S4" s="3428"/>
      <c r="T4" s="3427" t="s">
        <v>1764</v>
      </c>
      <c r="U4" s="3428"/>
      <c r="V4" s="3404" t="s">
        <v>1765</v>
      </c>
      <c r="W4" s="3404"/>
      <c r="X4" s="1261"/>
      <c r="Y4" s="3427" t="s">
        <v>1767</v>
      </c>
      <c r="Z4" s="3428"/>
      <c r="AA4" s="3426" t="s">
        <v>1763</v>
      </c>
      <c r="AB4" s="3370" t="s">
        <v>1764</v>
      </c>
      <c r="AC4" s="3426" t="s">
        <v>1765</v>
      </c>
    </row>
    <row r="5" spans="1:29" ht="15">
      <c r="A5" s="348"/>
      <c r="B5" s="349"/>
      <c r="C5" s="3380" t="s">
        <v>1665</v>
      </c>
      <c r="D5" s="3381"/>
      <c r="E5" s="3477" t="s">
        <v>1666</v>
      </c>
      <c r="F5" s="3379"/>
      <c r="G5" s="3380" t="s">
        <v>1667</v>
      </c>
      <c r="H5" s="3381"/>
      <c r="I5" s="3380" t="s">
        <v>1668</v>
      </c>
      <c r="J5" s="3381"/>
      <c r="K5" s="537"/>
      <c r="L5" s="2482"/>
      <c r="M5" s="2483"/>
      <c r="N5" s="2483"/>
      <c r="O5" s="2483"/>
      <c r="P5" s="3431"/>
      <c r="Q5" s="3398"/>
      <c r="R5" s="3376"/>
      <c r="S5" s="3377"/>
      <c r="T5" s="3376"/>
      <c r="U5" s="3377"/>
      <c r="V5" s="3404"/>
      <c r="W5" s="3404"/>
      <c r="X5" s="1261"/>
      <c r="Y5" s="3376"/>
      <c r="Z5" s="3377"/>
      <c r="AA5" s="3370"/>
      <c r="AB5" s="3370"/>
      <c r="AC5" s="3370"/>
    </row>
    <row r="6" spans="1:29" ht="15.75" thickBot="1">
      <c r="A6" s="350"/>
      <c r="B6" s="351"/>
      <c r="C6" s="3482" t="s">
        <v>1911</v>
      </c>
      <c r="D6" s="3483"/>
      <c r="E6" s="3484" t="s">
        <v>1911</v>
      </c>
      <c r="F6" s="3485"/>
      <c r="G6" s="3482" t="s">
        <v>1911</v>
      </c>
      <c r="H6" s="3483"/>
      <c r="I6" s="3482" t="s">
        <v>1911</v>
      </c>
      <c r="J6" s="3483"/>
      <c r="K6" s="537" t="s">
        <v>1670</v>
      </c>
      <c r="L6" s="2482"/>
      <c r="M6" s="2483"/>
      <c r="N6" s="2483"/>
      <c r="O6" s="2483"/>
      <c r="P6" s="3432"/>
      <c r="Q6" s="3400"/>
      <c r="R6" s="3376"/>
      <c r="S6" s="3377"/>
      <c r="T6" s="3401"/>
      <c r="U6" s="3402"/>
      <c r="V6" s="3404"/>
      <c r="W6" s="3404"/>
      <c r="X6" s="1261"/>
      <c r="Y6" s="3401"/>
      <c r="Z6" s="3402"/>
      <c r="AA6" s="3371"/>
      <c r="AB6" s="3371"/>
      <c r="AC6" s="3371"/>
    </row>
    <row r="7" spans="1:29" s="102" customFormat="1" ht="15.75" thickBot="1">
      <c r="A7" s="352" t="s">
        <v>1671</v>
      </c>
      <c r="B7" s="353"/>
      <c r="C7" s="354">
        <f>'数据-取费表'!B2</f>
        <v>45943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372" t="s">
        <v>1672</v>
      </c>
      <c r="Q7" s="3406"/>
      <c r="R7" s="664" t="s">
        <v>14</v>
      </c>
      <c r="S7" s="665">
        <f t="shared" ref="S7:S15" si="0">F7</f>
        <v>0</v>
      </c>
      <c r="T7" s="664" t="s">
        <v>14</v>
      </c>
      <c r="U7" s="665">
        <f t="shared" ref="U7:U15" si="1">H7</f>
        <v>0</v>
      </c>
      <c r="V7" s="664" t="s">
        <v>14</v>
      </c>
      <c r="W7" s="665">
        <f t="shared" ref="W7:W15" si="2">J7</f>
        <v>0</v>
      </c>
      <c r="X7" s="666"/>
      <c r="Y7" s="3372" t="s">
        <v>1672</v>
      </c>
      <c r="Z7" s="3373"/>
      <c r="AA7" s="50" t="e">
        <f>D7/F7</f>
        <v>#DIV/0!</v>
      </c>
      <c r="AB7" s="50" t="e">
        <f>D7/H7</f>
        <v>#DIV/0!</v>
      </c>
      <c r="AC7" s="50" t="e">
        <f>D7/J7</f>
        <v>#DIV/0!</v>
      </c>
    </row>
    <row r="8" spans="1:29" s="102" customFormat="1" ht="15.75" thickBot="1">
      <c r="A8" s="352" t="s">
        <v>1673</v>
      </c>
      <c r="B8" s="353"/>
      <c r="C8" s="358" t="s">
        <v>1674</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372" t="s">
        <v>1675</v>
      </c>
      <c r="Q8" s="3373"/>
      <c r="R8" s="664" t="s">
        <v>14</v>
      </c>
      <c r="S8" s="665">
        <f t="shared" si="0"/>
        <v>0</v>
      </c>
      <c r="T8" s="664" t="s">
        <v>14</v>
      </c>
      <c r="U8" s="665">
        <f t="shared" si="1"/>
        <v>0</v>
      </c>
      <c r="V8" s="664" t="s">
        <v>14</v>
      </c>
      <c r="W8" s="665">
        <f t="shared" si="2"/>
        <v>0</v>
      </c>
      <c r="X8" s="666"/>
      <c r="Y8" s="3372" t="s">
        <v>1675</v>
      </c>
      <c r="Z8" s="3373"/>
      <c r="AA8" s="50" t="e">
        <f t="shared" ref="AA8:AA40" si="3">D8/F8</f>
        <v>#DIV/0!</v>
      </c>
      <c r="AB8" s="50" t="e">
        <f t="shared" ref="AB8:AB40" si="4">D8/H8</f>
        <v>#DIV/0!</v>
      </c>
      <c r="AC8" s="50" t="e">
        <f t="shared" ref="AC8:AC40" si="5">D8/J8</f>
        <v>#DIV/0!</v>
      </c>
    </row>
    <row r="9" spans="1:29" s="102" customFormat="1">
      <c r="A9" s="359" t="s">
        <v>1676</v>
      </c>
      <c r="B9" s="60" t="s">
        <v>1677</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16" t="s">
        <v>1678</v>
      </c>
      <c r="Q9" s="530" t="str">
        <f t="shared" ref="Q9:Q15" si="6">B9</f>
        <v>用途</v>
      </c>
      <c r="R9" s="664" t="s">
        <v>14</v>
      </c>
      <c r="S9" s="665">
        <f t="shared" si="0"/>
        <v>100</v>
      </c>
      <c r="T9" s="664" t="s">
        <v>14</v>
      </c>
      <c r="U9" s="665">
        <f t="shared" si="1"/>
        <v>100</v>
      </c>
      <c r="V9" s="664" t="s">
        <v>14</v>
      </c>
      <c r="W9" s="665">
        <f t="shared" si="2"/>
        <v>100</v>
      </c>
      <c r="X9" s="666"/>
      <c r="Y9" s="3276" t="s">
        <v>1679</v>
      </c>
      <c r="Z9" s="50" t="str">
        <f t="shared" ref="Z9:Z15" si="7">Q9</f>
        <v>用途</v>
      </c>
      <c r="AA9" s="50">
        <f t="shared" si="3"/>
        <v>1</v>
      </c>
      <c r="AB9" s="50">
        <f t="shared" si="4"/>
        <v>1</v>
      </c>
      <c r="AC9" s="50">
        <f t="shared" si="5"/>
        <v>1</v>
      </c>
    </row>
    <row r="10" spans="1:29" s="366" customFormat="1" ht="27">
      <c r="A10" s="363"/>
      <c r="B10" s="364" t="s">
        <v>1680</v>
      </c>
      <c r="C10" s="371"/>
      <c r="D10" s="119">
        <v>100</v>
      </c>
      <c r="E10" s="371"/>
      <c r="F10" s="119">
        <f>ROUND(100/'数据-取费表'!G16,0)</f>
        <v>121</v>
      </c>
      <c r="G10" s="371"/>
      <c r="H10" s="119">
        <f>ROUND(100/'数据-取费表'!G16,0)</f>
        <v>121</v>
      </c>
      <c r="I10" s="371"/>
      <c r="J10" s="119">
        <f>ROUND(100/'数据-取费表'!G16,0)</f>
        <v>121</v>
      </c>
      <c r="K10" s="592"/>
      <c r="L10" s="2485"/>
      <c r="M10" s="2486"/>
      <c r="N10" s="2486"/>
      <c r="O10" s="2537"/>
      <c r="P10" s="3416"/>
      <c r="Q10" s="530" t="str">
        <f t="shared" si="6"/>
        <v>土地使用年限（年）</v>
      </c>
      <c r="R10" s="664" t="s">
        <v>14</v>
      </c>
      <c r="S10" s="665">
        <f t="shared" si="0"/>
        <v>121</v>
      </c>
      <c r="T10" s="664" t="s">
        <v>14</v>
      </c>
      <c r="U10" s="665">
        <f t="shared" si="1"/>
        <v>121</v>
      </c>
      <c r="V10" s="664" t="s">
        <v>14</v>
      </c>
      <c r="W10" s="665">
        <f t="shared" si="2"/>
        <v>121</v>
      </c>
      <c r="X10" s="666"/>
      <c r="Y10" s="3276"/>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16"/>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416"/>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16"/>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16"/>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15">
      <c r="A15" s="379" t="s">
        <v>1682</v>
      </c>
      <c r="B15" s="554" t="s">
        <v>1912</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9" t="s">
        <v>1683</v>
      </c>
      <c r="Q15" s="1259" t="str">
        <f t="shared" si="6"/>
        <v>产业集聚程度</v>
      </c>
      <c r="R15" s="667" t="s">
        <v>14</v>
      </c>
      <c r="S15" s="668">
        <f t="shared" si="0"/>
        <v>100</v>
      </c>
      <c r="T15" s="667" t="s">
        <v>14</v>
      </c>
      <c r="U15" s="668">
        <f t="shared" si="1"/>
        <v>100</v>
      </c>
      <c r="V15" s="667" t="s">
        <v>14</v>
      </c>
      <c r="W15" s="668">
        <f t="shared" si="2"/>
        <v>100</v>
      </c>
      <c r="X15" s="1261"/>
      <c r="Y15" s="3409" t="s">
        <v>1683</v>
      </c>
      <c r="Z15" s="1260" t="str">
        <f t="shared" si="7"/>
        <v>产业集聚程度</v>
      </c>
      <c r="AA15" s="1260">
        <f t="shared" si="3"/>
        <v>1</v>
      </c>
      <c r="AB15" s="1260">
        <f t="shared" si="4"/>
        <v>1</v>
      </c>
      <c r="AC15" s="1260">
        <f t="shared" si="5"/>
        <v>1</v>
      </c>
    </row>
    <row r="16" spans="1:29" ht="15">
      <c r="A16" s="367"/>
      <c r="B16" s="555"/>
      <c r="C16" s="386"/>
      <c r="D16" s="387"/>
      <c r="E16" s="1753"/>
      <c r="F16" s="387"/>
      <c r="G16" s="1753"/>
      <c r="H16" s="389"/>
      <c r="I16" s="1753"/>
      <c r="J16" s="387"/>
      <c r="K16" s="592"/>
      <c r="L16" s="2488"/>
      <c r="M16" s="2483"/>
      <c r="N16" s="2483"/>
      <c r="O16" s="2538"/>
      <c r="P16" s="3410"/>
      <c r="Q16" s="1259"/>
      <c r="R16" s="667"/>
      <c r="S16" s="668"/>
      <c r="T16" s="667"/>
      <c r="U16" s="668"/>
      <c r="V16" s="667"/>
      <c r="W16" s="668"/>
      <c r="X16" s="1261"/>
      <c r="Y16" s="3410"/>
      <c r="Z16" s="1260"/>
      <c r="AA16" s="1260">
        <v>1</v>
      </c>
      <c r="AB16" s="1260">
        <v>1</v>
      </c>
      <c r="AC16" s="1260">
        <v>1</v>
      </c>
    </row>
    <row r="17" spans="1:29" ht="15">
      <c r="A17" s="367"/>
      <c r="B17" s="556" t="s">
        <v>1825</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10"/>
      <c r="Q17" s="1259" t="str">
        <f>B17</f>
        <v>交通便捷度</v>
      </c>
      <c r="R17" s="667" t="s">
        <v>14</v>
      </c>
      <c r="S17" s="668">
        <f>F17</f>
        <v>100</v>
      </c>
      <c r="T17" s="667" t="s">
        <v>14</v>
      </c>
      <c r="U17" s="668">
        <f>H17</f>
        <v>100</v>
      </c>
      <c r="V17" s="667" t="s">
        <v>14</v>
      </c>
      <c r="W17" s="668">
        <f>J17</f>
        <v>100</v>
      </c>
      <c r="X17" s="1261"/>
      <c r="Y17" s="3410"/>
      <c r="Z17" s="1260" t="str">
        <f>Q17</f>
        <v>交通便捷度</v>
      </c>
      <c r="AA17" s="1260">
        <f t="shared" si="3"/>
        <v>1</v>
      </c>
      <c r="AB17" s="1260">
        <f t="shared" si="4"/>
        <v>1</v>
      </c>
      <c r="AC17" s="1260">
        <f t="shared" si="5"/>
        <v>1</v>
      </c>
    </row>
    <row r="18" spans="1:29" ht="15">
      <c r="A18" s="367"/>
      <c r="B18" s="401"/>
      <c r="C18" s="386"/>
      <c r="D18" s="387"/>
      <c r="E18" s="1747"/>
      <c r="F18" s="387"/>
      <c r="G18" s="1747"/>
      <c r="H18" s="387"/>
      <c r="I18" s="1746"/>
      <c r="J18" s="387"/>
      <c r="K18" s="592"/>
      <c r="L18" s="2488"/>
      <c r="M18" s="2483"/>
      <c r="N18" s="2483"/>
      <c r="O18" s="2538"/>
      <c r="P18" s="3410"/>
      <c r="Q18" s="1259"/>
      <c r="R18" s="667"/>
      <c r="S18" s="668"/>
      <c r="T18" s="667"/>
      <c r="U18" s="668"/>
      <c r="V18" s="667"/>
      <c r="W18" s="668"/>
      <c r="X18" s="1261"/>
      <c r="Y18" s="3410"/>
      <c r="Z18" s="1260"/>
      <c r="AA18" s="1260">
        <v>1</v>
      </c>
      <c r="AB18" s="1260">
        <v>1</v>
      </c>
      <c r="AC18" s="1260">
        <v>1</v>
      </c>
    </row>
    <row r="19" spans="1:29" ht="15">
      <c r="A19" s="367"/>
      <c r="B19" s="556" t="s">
        <v>1863</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10"/>
      <c r="Q19" s="1259" t="str">
        <f t="shared" ref="Q19:Q33" si="8">B19</f>
        <v>区域土地利用方向</v>
      </c>
      <c r="R19" s="667" t="s">
        <v>14</v>
      </c>
      <c r="S19" s="668">
        <f>F19</f>
        <v>100</v>
      </c>
      <c r="T19" s="667" t="s">
        <v>14</v>
      </c>
      <c r="U19" s="668">
        <f>H19</f>
        <v>100</v>
      </c>
      <c r="V19" s="667" t="s">
        <v>14</v>
      </c>
      <c r="W19" s="668">
        <f>J19</f>
        <v>100</v>
      </c>
      <c r="X19" s="1261"/>
      <c r="Y19" s="3410"/>
      <c r="Z19" s="1260" t="str">
        <f>Q19</f>
        <v>区域土地利用方向</v>
      </c>
      <c r="AA19" s="1260">
        <f t="shared" si="3"/>
        <v>1</v>
      </c>
      <c r="AB19" s="1260">
        <f t="shared" si="4"/>
        <v>1</v>
      </c>
      <c r="AC19" s="1260">
        <f t="shared" si="5"/>
        <v>1</v>
      </c>
    </row>
    <row r="20" spans="1:29" ht="15">
      <c r="A20" s="348"/>
      <c r="B20" s="401"/>
      <c r="C20" s="386"/>
      <c r="D20" s="387"/>
      <c r="E20" s="1747"/>
      <c r="F20" s="387"/>
      <c r="G20" s="1747"/>
      <c r="H20" s="387"/>
      <c r="I20" s="1747"/>
      <c r="J20" s="387"/>
      <c r="K20" s="695"/>
      <c r="L20" s="2488"/>
      <c r="M20" s="2483"/>
      <c r="N20" s="2483"/>
      <c r="O20" s="2538"/>
      <c r="P20" s="3410"/>
      <c r="Q20" s="1259"/>
      <c r="R20" s="667"/>
      <c r="S20" s="668"/>
      <c r="T20" s="667"/>
      <c r="U20" s="668"/>
      <c r="V20" s="667"/>
      <c r="W20" s="668"/>
      <c r="X20" s="1261"/>
      <c r="Y20" s="3410"/>
      <c r="Z20" s="1260"/>
      <c r="AA20" s="1260"/>
      <c r="AB20" s="1260"/>
      <c r="AC20" s="1260"/>
    </row>
    <row r="21" spans="1:29" ht="15">
      <c r="A21" s="348"/>
      <c r="B21" s="556" t="s">
        <v>1913</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10"/>
      <c r="Q21" s="1259" t="str">
        <f t="shared" si="8"/>
        <v>环境状况</v>
      </c>
      <c r="R21" s="667" t="s">
        <v>14</v>
      </c>
      <c r="S21" s="668">
        <f>F21</f>
        <v>100</v>
      </c>
      <c r="T21" s="667" t="s">
        <v>14</v>
      </c>
      <c r="U21" s="668">
        <f>H21</f>
        <v>100</v>
      </c>
      <c r="V21" s="667" t="s">
        <v>14</v>
      </c>
      <c r="W21" s="668">
        <f>J21</f>
        <v>100</v>
      </c>
      <c r="X21" s="1261"/>
      <c r="Y21" s="3410"/>
      <c r="Z21" s="1260" t="str">
        <f>Q21</f>
        <v>环境状况</v>
      </c>
      <c r="AA21" s="1260">
        <f t="shared" si="3"/>
        <v>1</v>
      </c>
      <c r="AB21" s="1260">
        <f t="shared" si="4"/>
        <v>1</v>
      </c>
      <c r="AC21" s="1260">
        <f t="shared" si="5"/>
        <v>1</v>
      </c>
    </row>
    <row r="22" spans="1:29" ht="15">
      <c r="A22" s="348"/>
      <c r="B22" s="401"/>
      <c r="C22" s="386"/>
      <c r="D22" s="387"/>
      <c r="E22" s="1753"/>
      <c r="F22" s="387"/>
      <c r="G22" s="1753"/>
      <c r="H22" s="387"/>
      <c r="I22" s="386"/>
      <c r="J22" s="387"/>
      <c r="K22" s="592"/>
      <c r="L22" s="2488"/>
      <c r="M22" s="2483"/>
      <c r="N22" s="2483"/>
      <c r="O22" s="2538"/>
      <c r="P22" s="3410"/>
      <c r="Q22" s="1259"/>
      <c r="R22" s="667"/>
      <c r="S22" s="668"/>
      <c r="T22" s="667"/>
      <c r="U22" s="668"/>
      <c r="V22" s="667"/>
      <c r="W22" s="668"/>
      <c r="X22" s="1261"/>
      <c r="Y22" s="3410"/>
      <c r="Z22" s="1260"/>
      <c r="AA22" s="1260">
        <v>1</v>
      </c>
      <c r="AB22" s="1260">
        <v>1</v>
      </c>
      <c r="AC22" s="1260">
        <v>1</v>
      </c>
    </row>
    <row r="23" spans="1:29" s="102" customFormat="1" ht="15">
      <c r="A23" s="443"/>
      <c r="B23" s="557" t="s">
        <v>1770</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0">
        <f>D23/F23</f>
        <v>1</v>
      </c>
      <c r="AB23" s="1260">
        <f>D23/H23</f>
        <v>1</v>
      </c>
      <c r="AC23" s="1260">
        <f>D23/J23</f>
        <v>1</v>
      </c>
    </row>
    <row r="24" spans="1:29" s="102" customFormat="1" ht="15">
      <c r="A24" s="443"/>
      <c r="B24" s="401"/>
      <c r="C24" s="1821"/>
      <c r="D24" s="387"/>
      <c r="E24" s="1753"/>
      <c r="F24" s="387"/>
      <c r="G24" s="1753"/>
      <c r="H24" s="387"/>
      <c r="I24" s="386"/>
      <c r="J24" s="387"/>
      <c r="K24" s="592"/>
      <c r="L24" s="2484"/>
      <c r="M24" s="2435"/>
      <c r="N24" s="2435"/>
      <c r="O24" s="2536"/>
      <c r="P24" s="3410"/>
      <c r="Q24" s="530"/>
      <c r="R24" s="664"/>
      <c r="S24" s="665"/>
      <c r="T24" s="664"/>
      <c r="U24" s="665"/>
      <c r="V24" s="664"/>
      <c r="W24" s="665"/>
      <c r="X24" s="666"/>
      <c r="Y24" s="3410"/>
      <c r="Z24" s="50"/>
      <c r="AA24" s="50">
        <v>1</v>
      </c>
      <c r="AB24" s="50">
        <v>1</v>
      </c>
      <c r="AC24" s="50">
        <v>1</v>
      </c>
    </row>
    <row r="25" spans="1:29" s="102" customFormat="1" ht="15">
      <c r="A25" s="443"/>
      <c r="B25" s="557" t="s">
        <v>1771</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0">
        <f>D25/F25</f>
        <v>1</v>
      </c>
      <c r="AB25" s="1260">
        <f>D25/H25</f>
        <v>1</v>
      </c>
      <c r="AC25" s="1260">
        <f>D25/J25</f>
        <v>1</v>
      </c>
    </row>
    <row r="26" spans="1:29" s="102" customFormat="1" ht="15">
      <c r="A26" s="443"/>
      <c r="B26" s="401"/>
      <c r="C26" s="1821"/>
      <c r="D26" s="387"/>
      <c r="E26" s="1822"/>
      <c r="F26" s="387"/>
      <c r="G26" s="1822"/>
      <c r="H26" s="387"/>
      <c r="I26" s="1822"/>
      <c r="J26" s="387"/>
      <c r="K26" s="592"/>
      <c r="L26" s="2484"/>
      <c r="M26" s="2435"/>
      <c r="N26" s="2435"/>
      <c r="O26" s="2536"/>
      <c r="P26" s="3410"/>
      <c r="Q26" s="530"/>
      <c r="R26" s="664"/>
      <c r="S26" s="665"/>
      <c r="T26" s="664"/>
      <c r="U26" s="665"/>
      <c r="V26" s="664"/>
      <c r="W26" s="665"/>
      <c r="X26" s="666"/>
      <c r="Y26" s="3410"/>
      <c r="Z26" s="50"/>
      <c r="AA26" s="50">
        <v>1</v>
      </c>
      <c r="AB26" s="50">
        <v>1</v>
      </c>
      <c r="AC26" s="50">
        <v>1</v>
      </c>
    </row>
    <row r="27" spans="1:29" ht="15">
      <c r="A27" s="367"/>
      <c r="B27" s="401" t="s">
        <v>1772</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10"/>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10"/>
      <c r="Z27" s="1260" t="str">
        <f t="shared" ref="Z27:Z40" si="13">Q27</f>
        <v>临街状况</v>
      </c>
      <c r="AA27" s="1260">
        <f t="shared" si="3"/>
        <v>1</v>
      </c>
      <c r="AB27" s="1260">
        <f t="shared" si="4"/>
        <v>1</v>
      </c>
      <c r="AC27" s="1260">
        <f t="shared" si="5"/>
        <v>1</v>
      </c>
    </row>
    <row r="28" spans="1:29" ht="27">
      <c r="A28" s="367"/>
      <c r="B28" s="557" t="s">
        <v>1807</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10"/>
      <c r="Q28" s="1259" t="str">
        <f t="shared" si="8"/>
        <v>毗邻道路的类型与等级</v>
      </c>
      <c r="R28" s="667" t="s">
        <v>14</v>
      </c>
      <c r="S28" s="668">
        <f t="shared" si="10"/>
        <v>100</v>
      </c>
      <c r="T28" s="667" t="s">
        <v>14</v>
      </c>
      <c r="U28" s="668">
        <f t="shared" si="11"/>
        <v>100</v>
      </c>
      <c r="V28" s="667" t="s">
        <v>14</v>
      </c>
      <c r="W28" s="668">
        <f t="shared" si="12"/>
        <v>100</v>
      </c>
      <c r="X28" s="1261"/>
      <c r="Y28" s="3410"/>
      <c r="Z28" s="1260" t="str">
        <f t="shared" si="13"/>
        <v>毗邻道路的类型与等级</v>
      </c>
      <c r="AA28" s="1260">
        <f t="shared" si="3"/>
        <v>1</v>
      </c>
      <c r="AB28" s="1260">
        <f t="shared" si="4"/>
        <v>1</v>
      </c>
      <c r="AC28" s="1260">
        <f t="shared" si="5"/>
        <v>1</v>
      </c>
    </row>
    <row r="29" spans="1:29" ht="15">
      <c r="A29" s="367"/>
      <c r="B29" s="401"/>
      <c r="C29" s="386"/>
      <c r="D29" s="387"/>
      <c r="E29" s="1753"/>
      <c r="F29" s="387"/>
      <c r="G29" s="1753"/>
      <c r="H29" s="387"/>
      <c r="I29" s="1753"/>
      <c r="J29" s="387"/>
      <c r="K29" s="539"/>
      <c r="L29" s="2488"/>
      <c r="M29" s="2483"/>
      <c r="N29" s="2483"/>
      <c r="O29" s="2538"/>
      <c r="P29" s="3410"/>
      <c r="Q29" s="1259"/>
      <c r="R29" s="667"/>
      <c r="S29" s="668"/>
      <c r="T29" s="667"/>
      <c r="U29" s="668"/>
      <c r="V29" s="667"/>
      <c r="W29" s="668"/>
      <c r="X29" s="1261"/>
      <c r="Y29" s="3410"/>
      <c r="Z29" s="1260"/>
      <c r="AA29" s="1260">
        <v>1</v>
      </c>
      <c r="AB29" s="1260">
        <v>1</v>
      </c>
      <c r="AC29" s="1260">
        <v>1</v>
      </c>
    </row>
    <row r="30" spans="1:29" ht="15">
      <c r="A30" s="367"/>
      <c r="B30" s="119" t="s">
        <v>1865</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10"/>
      <c r="Q30" s="1259" t="str">
        <f t="shared" si="8"/>
        <v>土地级别</v>
      </c>
      <c r="R30" s="667" t="s">
        <v>14</v>
      </c>
      <c r="S30" s="668">
        <f t="shared" si="10"/>
        <v>100</v>
      </c>
      <c r="T30" s="667" t="s">
        <v>14</v>
      </c>
      <c r="U30" s="668">
        <f t="shared" si="11"/>
        <v>100</v>
      </c>
      <c r="V30" s="667" t="s">
        <v>14</v>
      </c>
      <c r="W30" s="668">
        <f t="shared" si="12"/>
        <v>100</v>
      </c>
      <c r="X30" s="1261"/>
      <c r="Y30" s="3410"/>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10"/>
      <c r="Q31" s="1259">
        <f t="shared" si="8"/>
        <v>111</v>
      </c>
      <c r="R31" s="667" t="s">
        <v>14</v>
      </c>
      <c r="S31" s="668">
        <f t="shared" si="10"/>
        <v>100</v>
      </c>
      <c r="T31" s="667" t="s">
        <v>14</v>
      </c>
      <c r="U31" s="668">
        <f t="shared" si="11"/>
        <v>100</v>
      </c>
      <c r="V31" s="667" t="s">
        <v>14</v>
      </c>
      <c r="W31" s="668">
        <f t="shared" si="12"/>
        <v>100</v>
      </c>
      <c r="X31" s="1261"/>
      <c r="Y31" s="3410"/>
      <c r="Z31" s="1260">
        <f t="shared" si="13"/>
        <v>111</v>
      </c>
      <c r="AA31" s="1260">
        <f t="shared" si="3"/>
        <v>1</v>
      </c>
      <c r="AB31" s="1260">
        <f t="shared" si="4"/>
        <v>1</v>
      </c>
      <c r="AC31" s="1260">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3" t="s">
        <v>1688</v>
      </c>
      <c r="Q32" s="1259">
        <f t="shared" si="8"/>
        <v>111</v>
      </c>
      <c r="R32" s="667" t="s">
        <v>14</v>
      </c>
      <c r="S32" s="668">
        <f t="shared" si="10"/>
        <v>100</v>
      </c>
      <c r="T32" s="667" t="s">
        <v>14</v>
      </c>
      <c r="U32" s="668">
        <f t="shared" si="11"/>
        <v>100</v>
      </c>
      <c r="V32" s="667" t="s">
        <v>14</v>
      </c>
      <c r="W32" s="668">
        <f t="shared" si="12"/>
        <v>100</v>
      </c>
      <c r="X32" s="1261"/>
      <c r="Y32" s="3414" t="s">
        <v>1688</v>
      </c>
      <c r="Z32" s="1260">
        <f t="shared" si="13"/>
        <v>111</v>
      </c>
      <c r="AA32" s="1260">
        <f t="shared" si="3"/>
        <v>1</v>
      </c>
      <c r="AB32" s="1260">
        <f t="shared" si="4"/>
        <v>1</v>
      </c>
      <c r="AC32" s="1260">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14"/>
      <c r="Q33" s="1259">
        <f t="shared" si="8"/>
        <v>111</v>
      </c>
      <c r="R33" s="669" t="s">
        <v>14</v>
      </c>
      <c r="S33" s="670">
        <f t="shared" si="10"/>
        <v>100</v>
      </c>
      <c r="T33" s="669" t="s">
        <v>14</v>
      </c>
      <c r="U33" s="670">
        <f t="shared" si="11"/>
        <v>100</v>
      </c>
      <c r="V33" s="669" t="s">
        <v>14</v>
      </c>
      <c r="W33" s="670">
        <f t="shared" si="12"/>
        <v>100</v>
      </c>
      <c r="X33" s="671"/>
      <c r="Y33" s="3414"/>
      <c r="Z33" s="672">
        <f t="shared" si="13"/>
        <v>111</v>
      </c>
      <c r="AA33" s="1260">
        <f t="shared" si="3"/>
        <v>1</v>
      </c>
      <c r="AB33" s="1260">
        <f t="shared" si="4"/>
        <v>1</v>
      </c>
      <c r="AC33" s="1260">
        <f t="shared" si="5"/>
        <v>1</v>
      </c>
    </row>
    <row r="34" spans="1:31" ht="15">
      <c r="A34" s="379" t="s">
        <v>1686</v>
      </c>
      <c r="B34" s="395" t="s">
        <v>1866</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14"/>
      <c r="Q34" s="1259" t="str">
        <f>B34</f>
        <v>宗地面积</v>
      </c>
      <c r="R34" s="667" t="s">
        <v>14</v>
      </c>
      <c r="S34" s="668" t="e">
        <f t="shared" si="10"/>
        <v>#N/A</v>
      </c>
      <c r="T34" s="667" t="s">
        <v>14</v>
      </c>
      <c r="U34" s="668" t="e">
        <f t="shared" si="11"/>
        <v>#N/A</v>
      </c>
      <c r="V34" s="667" t="s">
        <v>14</v>
      </c>
      <c r="W34" s="668" t="e">
        <f t="shared" si="12"/>
        <v>#N/A</v>
      </c>
      <c r="X34" s="1261"/>
      <c r="Y34" s="3414"/>
      <c r="Z34" s="1260" t="str">
        <f t="shared" si="13"/>
        <v>宗地面积</v>
      </c>
      <c r="AA34" s="1260" t="e">
        <f t="shared" si="3"/>
        <v>#N/A</v>
      </c>
      <c r="AB34" s="1260" t="e">
        <f t="shared" si="4"/>
        <v>#N/A</v>
      </c>
      <c r="AC34" s="1260" t="e">
        <f t="shared" si="5"/>
        <v>#N/A</v>
      </c>
    </row>
    <row r="35" spans="1:31" ht="15">
      <c r="A35" s="409"/>
      <c r="B35" s="364" t="s">
        <v>1867</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8"/>
      <c r="M35" s="2483"/>
      <c r="N35" s="2483"/>
      <c r="O35" s="2538"/>
      <c r="P35" s="3414"/>
      <c r="Q35" s="1259" t="str">
        <f t="shared" ref="Q35:Q40" si="14">B35</f>
        <v>宗地形状</v>
      </c>
      <c r="R35" s="667" t="s">
        <v>14</v>
      </c>
      <c r="S35" s="668">
        <f t="shared" si="10"/>
        <v>100</v>
      </c>
      <c r="T35" s="667" t="s">
        <v>14</v>
      </c>
      <c r="U35" s="668">
        <f t="shared" si="11"/>
        <v>100</v>
      </c>
      <c r="V35" s="667" t="s">
        <v>14</v>
      </c>
      <c r="W35" s="668">
        <f t="shared" si="12"/>
        <v>100</v>
      </c>
      <c r="X35" s="1261"/>
      <c r="Y35" s="3414"/>
      <c r="Z35" s="1260" t="str">
        <f t="shared" si="13"/>
        <v>宗地形状</v>
      </c>
      <c r="AA35" s="1260">
        <f t="shared" si="3"/>
        <v>1</v>
      </c>
      <c r="AB35" s="1260">
        <f t="shared" si="4"/>
        <v>1</v>
      </c>
      <c r="AC35" s="1260">
        <f t="shared" si="5"/>
        <v>1</v>
      </c>
    </row>
    <row r="36" spans="1:31" s="102" customFormat="1" ht="15">
      <c r="A36" s="410"/>
      <c r="B36" s="364" t="s">
        <v>1869</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4"/>
      <c r="M36" s="2435"/>
      <c r="N36" s="2435"/>
      <c r="O36" s="2536"/>
      <c r="P36" s="3414"/>
      <c r="Q36" s="1259"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1870</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8"/>
      <c r="M37" s="2483"/>
      <c r="N37" s="2483"/>
      <c r="O37" s="2538"/>
      <c r="P37" s="3414" t="s">
        <v>1688</v>
      </c>
      <c r="Q37" s="1259" t="str">
        <f t="shared" si="14"/>
        <v>工程地质条件</v>
      </c>
      <c r="R37" s="667" t="s">
        <v>14</v>
      </c>
      <c r="S37" s="668">
        <f t="shared" si="10"/>
        <v>100</v>
      </c>
      <c r="T37" s="667" t="s">
        <v>14</v>
      </c>
      <c r="U37" s="668">
        <f t="shared" si="11"/>
        <v>100</v>
      </c>
      <c r="V37" s="667" t="s">
        <v>14</v>
      </c>
      <c r="W37" s="668">
        <f t="shared" si="12"/>
        <v>100</v>
      </c>
      <c r="X37" s="1261"/>
      <c r="Y37" s="3414" t="s">
        <v>1688</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14"/>
      <c r="Q38" s="1259">
        <f t="shared" si="14"/>
        <v>111</v>
      </c>
      <c r="R38" s="667" t="s">
        <v>14</v>
      </c>
      <c r="S38" s="668">
        <f t="shared" si="10"/>
        <v>100</v>
      </c>
      <c r="T38" s="667" t="s">
        <v>14</v>
      </c>
      <c r="U38" s="668">
        <f t="shared" si="11"/>
        <v>100</v>
      </c>
      <c r="V38" s="667" t="s">
        <v>14</v>
      </c>
      <c r="W38" s="668">
        <f t="shared" si="12"/>
        <v>100</v>
      </c>
      <c r="X38" s="1261"/>
      <c r="Y38" s="3414"/>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14"/>
      <c r="Q39" s="1259">
        <f t="shared" si="14"/>
        <v>111</v>
      </c>
      <c r="R39" s="667" t="s">
        <v>14</v>
      </c>
      <c r="S39" s="668">
        <f t="shared" si="10"/>
        <v>100</v>
      </c>
      <c r="T39" s="667" t="s">
        <v>14</v>
      </c>
      <c r="U39" s="668">
        <f t="shared" si="11"/>
        <v>100</v>
      </c>
      <c r="V39" s="667" t="s">
        <v>14</v>
      </c>
      <c r="W39" s="668">
        <f t="shared" si="12"/>
        <v>100</v>
      </c>
      <c r="X39" s="1261"/>
      <c r="Y39" s="3414"/>
      <c r="Z39" s="1260">
        <f t="shared" si="13"/>
        <v>111</v>
      </c>
      <c r="AA39" s="1260">
        <f t="shared" si="3"/>
        <v>1</v>
      </c>
      <c r="AB39" s="1260">
        <f t="shared" si="4"/>
        <v>1</v>
      </c>
      <c r="AC39" s="1260">
        <f t="shared" si="5"/>
        <v>1</v>
      </c>
    </row>
    <row r="40" spans="1:31" s="408" customFormat="1" ht="15.75" thickBot="1">
      <c r="A40" s="406"/>
      <c r="B40" s="1063">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14"/>
      <c r="Q40" s="1259">
        <f t="shared" si="14"/>
        <v>111</v>
      </c>
      <c r="R40" s="669" t="s">
        <v>14</v>
      </c>
      <c r="S40" s="670">
        <f t="shared" si="10"/>
        <v>100</v>
      </c>
      <c r="T40" s="669" t="s">
        <v>14</v>
      </c>
      <c r="U40" s="670">
        <f t="shared" si="11"/>
        <v>100</v>
      </c>
      <c r="V40" s="669" t="s">
        <v>14</v>
      </c>
      <c r="W40" s="670">
        <f t="shared" si="12"/>
        <v>100</v>
      </c>
      <c r="X40" s="671"/>
      <c r="Y40" s="3414"/>
      <c r="Z40" s="672">
        <f t="shared" si="13"/>
        <v>111</v>
      </c>
      <c r="AA40" s="1260">
        <f t="shared" si="3"/>
        <v>1</v>
      </c>
      <c r="AB40" s="1260">
        <f t="shared" si="4"/>
        <v>1</v>
      </c>
      <c r="AC40" s="1260">
        <f t="shared" si="5"/>
        <v>1</v>
      </c>
    </row>
    <row r="41" spans="1:31" ht="15">
      <c r="A41" s="416" t="s">
        <v>1836</v>
      </c>
      <c r="B41" s="1825" t="s">
        <v>1914</v>
      </c>
      <c r="C41" s="602" t="s">
        <v>0</v>
      </c>
      <c r="D41" s="418"/>
      <c r="E41" s="419"/>
      <c r="F41" s="420"/>
      <c r="G41" s="421"/>
      <c r="H41" s="422"/>
      <c r="I41" s="419"/>
      <c r="J41" s="422"/>
      <c r="K41" s="674"/>
      <c r="L41" s="2490"/>
      <c r="M41" s="2483"/>
      <c r="N41" s="2483"/>
      <c r="O41" s="2483"/>
      <c r="P41" s="3416" t="str">
        <f>A41</f>
        <v>成交单价</v>
      </c>
      <c r="Q41" s="3416"/>
      <c r="R41" s="3404">
        <f>E41</f>
        <v>0</v>
      </c>
      <c r="S41" s="3404"/>
      <c r="T41" s="3404">
        <f>G41</f>
        <v>0</v>
      </c>
      <c r="U41" s="3404"/>
      <c r="V41" s="3404">
        <f>I41</f>
        <v>0</v>
      </c>
      <c r="W41" s="3404"/>
      <c r="X41" s="385"/>
      <c r="Y41" s="673"/>
      <c r="Z41" s="385"/>
      <c r="AA41" s="385"/>
      <c r="AB41" s="385"/>
      <c r="AC41" s="385"/>
    </row>
    <row r="42" spans="1:31" ht="15.75" thickBot="1">
      <c r="A42" s="423" t="s">
        <v>1785</v>
      </c>
      <c r="B42" s="603"/>
      <c r="C42" s="426" t="e">
        <f>R43</f>
        <v>#DIV/0!</v>
      </c>
      <c r="D42" s="2136" t="s">
        <v>2129</v>
      </c>
      <c r="E42" s="426" t="e">
        <f>R42</f>
        <v>#DIV/0!</v>
      </c>
      <c r="F42" s="2137"/>
      <c r="G42" s="425" t="e">
        <f>T42</f>
        <v>#DIV/0!</v>
      </c>
      <c r="H42" s="2137"/>
      <c r="I42" s="426" t="e">
        <f>V42</f>
        <v>#DIV/0!</v>
      </c>
      <c r="J42" s="2137"/>
      <c r="K42" s="2139">
        <f>F42+H42+J42</f>
        <v>0</v>
      </c>
      <c r="L42" s="2490"/>
      <c r="M42" s="2483"/>
      <c r="N42" s="2483"/>
      <c r="O42" s="2483"/>
      <c r="P42" s="3416" t="str">
        <f>A42</f>
        <v>比较价值（元/平方米）</v>
      </c>
      <c r="Q42" s="3416"/>
      <c r="R42" s="3479" t="e">
        <f>ROUND(PRODUCT(R41,AA7:AA40),0)</f>
        <v>#DIV/0!</v>
      </c>
      <c r="S42" s="3479"/>
      <c r="T42" s="3479" t="e">
        <f>ROUND(PRODUCT(T41,AB7:AB40),0)</f>
        <v>#DIV/0!</v>
      </c>
      <c r="U42" s="3479"/>
      <c r="V42" s="3479" t="e">
        <f>ROUND(PRODUCT(V41,AC7:AC40),0)</f>
        <v>#DIV/0!</v>
      </c>
      <c r="W42" s="3479"/>
      <c r="X42" s="385"/>
      <c r="Y42" s="385"/>
      <c r="Z42" s="385"/>
      <c r="AA42" s="385"/>
      <c r="AB42" s="385"/>
      <c r="AC42" s="385"/>
    </row>
    <row r="43" spans="1:31" ht="15.75" thickBot="1">
      <c r="A43" s="427" t="s">
        <v>1786</v>
      </c>
      <c r="B43" s="428"/>
      <c r="C43" s="429" t="e">
        <f>R43</f>
        <v>#DIV/0!</v>
      </c>
      <c r="D43" s="429"/>
      <c r="E43" s="429"/>
      <c r="F43" s="429"/>
      <c r="G43" s="429"/>
      <c r="H43" s="429"/>
      <c r="I43" s="429"/>
      <c r="J43" s="429"/>
      <c r="K43" s="675"/>
      <c r="L43" s="2490"/>
      <c r="M43" s="2483"/>
      <c r="N43" s="2483"/>
      <c r="O43" s="2483"/>
      <c r="P43" s="3434" t="str">
        <f>A43</f>
        <v>估价对象XX用房的比较价值（楼面单价，元/平方米）</v>
      </c>
      <c r="Q43" s="3435"/>
      <c r="R43" s="3480" t="e">
        <f>ROUND(IF(D42="简单平均",AVERAGE(R42:W42),R42*F42+T42*H42+V42*J42),0)</f>
        <v>#DIV/0!</v>
      </c>
      <c r="S43" s="3480"/>
      <c r="T43" s="3480"/>
      <c r="U43" s="3480"/>
      <c r="V43" s="3480"/>
      <c r="W43" s="3480"/>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1873</v>
      </c>
      <c r="B50" s="605" t="s">
        <v>1874</v>
      </c>
      <c r="C50" s="1826" t="s">
        <v>1875</v>
      </c>
      <c r="D50" s="1827" t="s">
        <v>1876</v>
      </c>
      <c r="E50" s="606" t="s">
        <v>1877</v>
      </c>
      <c r="F50" s="607" t="s">
        <v>1878</v>
      </c>
      <c r="G50" s="3391" t="s">
        <v>1879</v>
      </c>
      <c r="H50" s="3481"/>
      <c r="I50" s="1260" t="s">
        <v>1915</v>
      </c>
      <c r="J50" s="1260">
        <f>项目基本情况!F35</f>
        <v>0</v>
      </c>
      <c r="K50" s="1829" t="s">
        <v>1881</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1882</v>
      </c>
      <c r="B51" s="609" t="e">
        <f>C43</f>
        <v>#DIV/0!</v>
      </c>
      <c r="C51" s="610">
        <v>1</v>
      </c>
      <c r="D51" s="887">
        <v>1</v>
      </c>
      <c r="E51" s="610">
        <f>'数据-汇总表'!E8+'数据-汇总表'!E9</f>
        <v>1965.41</v>
      </c>
      <c r="F51" s="611" t="e">
        <f t="shared" ref="F51:F60" si="15">ROUND(B51*E51/10000,0)</f>
        <v>#DIV/0!</v>
      </c>
      <c r="G51" s="3387"/>
      <c r="H51" s="3416"/>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1883</v>
      </c>
      <c r="B52" s="210" t="e">
        <f>ROUND($C$43*C52*D52,0)</f>
        <v>#DIV/0!</v>
      </c>
      <c r="C52" s="163">
        <f t="shared" ref="C52:C60" si="16">IF($C$50="北京市系数",I52,J52)</f>
        <v>0</v>
      </c>
      <c r="D52" s="888">
        <v>0.25</v>
      </c>
      <c r="E52" s="614"/>
      <c r="F52" s="611" t="e">
        <f t="shared" si="15"/>
        <v>#DIV/0!</v>
      </c>
      <c r="G52" s="2746" t="s">
        <v>1884</v>
      </c>
      <c r="H52" s="831">
        <f>项目基本情况!B37</f>
        <v>0</v>
      </c>
      <c r="I52" s="724">
        <f>SUMIF(修正!A59:A70,H52,修正!B59:B70)</f>
        <v>0</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1885</v>
      </c>
      <c r="B53" s="210" t="e">
        <f t="shared" ref="B53:B60" si="17">ROUND($C$43*C53*D53,0)</f>
        <v>#DIV/0!</v>
      </c>
      <c r="C53" s="163">
        <f t="shared" si="16"/>
        <v>0</v>
      </c>
      <c r="D53" s="888">
        <v>0.25</v>
      </c>
      <c r="E53" s="614"/>
      <c r="F53" s="611" t="e">
        <f t="shared" si="15"/>
        <v>#DIV/0!</v>
      </c>
      <c r="G53" s="2747"/>
      <c r="H53" s="831">
        <f>项目基本情况!B37</f>
        <v>0</v>
      </c>
      <c r="I53" s="724">
        <f>SUMIF(修正!A59:A70,H53,修正!C59:C70)</f>
        <v>0</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1886</v>
      </c>
      <c r="B54" s="210" t="e">
        <f t="shared" si="17"/>
        <v>#DIV/0!</v>
      </c>
      <c r="C54" s="163">
        <f t="shared" si="16"/>
        <v>0</v>
      </c>
      <c r="D54" s="888">
        <v>0.25</v>
      </c>
      <c r="E54" s="614"/>
      <c r="F54" s="611" t="e">
        <f t="shared" si="15"/>
        <v>#DIV/0!</v>
      </c>
      <c r="G54" s="2747"/>
      <c r="H54" s="831">
        <f>项目基本情况!B37</f>
        <v>0</v>
      </c>
      <c r="I54" s="724">
        <f>SUMIF(修正!A59:A70,H54,修正!D59:D70)</f>
        <v>0</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8"/>
      <c r="E55" s="614"/>
      <c r="F55" s="611"/>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1887</v>
      </c>
      <c r="B56" s="210" t="e">
        <f t="shared" si="17"/>
        <v>#DIV/0!</v>
      </c>
      <c r="C56" s="163">
        <f t="shared" si="16"/>
        <v>0.3</v>
      </c>
      <c r="D56" s="888">
        <v>0.25</v>
      </c>
      <c r="E56" s="209">
        <f>'数据-汇总表'!E11</f>
        <v>0</v>
      </c>
      <c r="F56" s="611" t="e">
        <f t="shared" si="15"/>
        <v>#DIV/0!</v>
      </c>
      <c r="G56" s="1830" t="s">
        <v>1888</v>
      </c>
      <c r="H56" s="831" t="str">
        <f>项目基本情况!C37</f>
        <v>二级</v>
      </c>
      <c r="I56" s="724">
        <f>SUMIF(修正!A59:A70,H56,修正!E59:E70)</f>
        <v>0.3</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1889</v>
      </c>
      <c r="B57" s="210" t="e">
        <f t="shared" si="17"/>
        <v>#DIV/0!</v>
      </c>
      <c r="C57" s="163">
        <f t="shared" si="16"/>
        <v>0.3</v>
      </c>
      <c r="D57" s="888">
        <v>0.25</v>
      </c>
      <c r="E57" s="209">
        <f>'数据-汇总表'!E12</f>
        <v>0</v>
      </c>
      <c r="F57" s="611" t="e">
        <f t="shared" si="15"/>
        <v>#DIV/0!</v>
      </c>
      <c r="G57" s="836" t="s">
        <v>1890</v>
      </c>
      <c r="H57" s="831" t="str">
        <f>IF(G57="商业",项目基本情况!B37,IF(G57="办公",项目基本情况!C37,IF(G57="住宅",项目基本情况!D37,项目基本情况!E37)))</f>
        <v>二级</v>
      </c>
      <c r="I57" s="724">
        <f>SUMIF(修正!A59:A70,H57,修正!F59:F70)</f>
        <v>0.3</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1891</v>
      </c>
      <c r="B58" s="210" t="e">
        <f t="shared" si="17"/>
        <v>#DIV/0!</v>
      </c>
      <c r="C58" s="163">
        <f t="shared" si="16"/>
        <v>0</v>
      </c>
      <c r="D58" s="888">
        <v>0.25</v>
      </c>
      <c r="E58" s="209">
        <f>'数据-汇总表'!E13</f>
        <v>213.22</v>
      </c>
      <c r="F58" s="611" t="e">
        <f t="shared" si="15"/>
        <v>#DIV/0!</v>
      </c>
      <c r="G58" s="836" t="s">
        <v>1892</v>
      </c>
      <c r="H58" s="831">
        <f>IF(G58="商业",项目基本情况!B37,IF(G58="办公",项目基本情况!C37,IF(G58="住宅",项目基本情况!D37,项目基本情况!E37)))</f>
        <v>0</v>
      </c>
      <c r="I58" s="724">
        <f>SUMIF(修正!A59:A70,H58,修正!G59:G70)</f>
        <v>0</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1893</v>
      </c>
      <c r="B59" s="210" t="e">
        <f t="shared" si="17"/>
        <v>#DIV/0!</v>
      </c>
      <c r="C59" s="163">
        <f t="shared" si="16"/>
        <v>0</v>
      </c>
      <c r="D59" s="888">
        <v>0.25</v>
      </c>
      <c r="E59" s="209">
        <f>'数据-汇总表'!E14</f>
        <v>0</v>
      </c>
      <c r="F59" s="611" t="e">
        <f t="shared" si="15"/>
        <v>#DIV/0!</v>
      </c>
      <c r="G59" s="1830" t="s">
        <v>1884</v>
      </c>
      <c r="H59" s="831">
        <f>项目基本情况!B37</f>
        <v>0</v>
      </c>
      <c r="I59" s="724">
        <f>SUMIF(修正!A59:A70,H59,修正!G59:G70)</f>
        <v>0</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1894</v>
      </c>
      <c r="B60" s="210" t="e">
        <f t="shared" si="17"/>
        <v>#DIV/0!</v>
      </c>
      <c r="C60" s="163">
        <f t="shared" si="16"/>
        <v>0.2</v>
      </c>
      <c r="D60" s="888">
        <v>0.25</v>
      </c>
      <c r="E60" s="209">
        <f>'数据-汇总表'!E15</f>
        <v>0</v>
      </c>
      <c r="F60" s="611" t="e">
        <f t="shared" si="15"/>
        <v>#DIV/0!</v>
      </c>
      <c r="G60" s="1831" t="s">
        <v>1888</v>
      </c>
      <c r="H60" s="841" t="str">
        <f>项目基本情况!C37</f>
        <v>二级</v>
      </c>
      <c r="I60" s="724">
        <f>SUMIF(修正!A59:A70,H60,修正!G59:G70)</f>
        <v>0.2</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1895</v>
      </c>
      <c r="B61" s="616" t="s">
        <v>22</v>
      </c>
      <c r="C61" s="616" t="s">
        <v>23</v>
      </c>
      <c r="D61" s="616" t="s">
        <v>392</v>
      </c>
      <c r="E61" s="616">
        <f>IF(B41="楼面地价",SUM(E51:E60),'数据-汇总表'!D3)</f>
        <v>0</v>
      </c>
      <c r="F61" s="617"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3"/>
      <c r="Q63" s="2483"/>
      <c r="R63" s="2483"/>
      <c r="S63" s="2483"/>
      <c r="T63" s="2483"/>
      <c r="U63" s="2483"/>
      <c r="V63" s="2483"/>
      <c r="W63" s="2483"/>
      <c r="X63" s="2483"/>
      <c r="Y63" s="2483"/>
      <c r="Z63" s="2483"/>
      <c r="AA63" s="2483"/>
      <c r="AB63" s="2483"/>
      <c r="AC63" s="2483"/>
      <c r="AD63" s="2483"/>
      <c r="AE63" s="2483"/>
    </row>
    <row r="64" spans="1:31" ht="21.75" thickBot="1">
      <c r="A64" s="658" t="s">
        <v>1790</v>
      </c>
      <c r="B64" s="385"/>
      <c r="C64" s="659"/>
      <c r="D64" s="659"/>
      <c r="E64" s="659"/>
      <c r="F64" s="660"/>
      <c r="G64" s="660"/>
      <c r="H64" s="659"/>
      <c r="I64" s="659"/>
      <c r="J64" s="659"/>
      <c r="K64" s="661"/>
      <c r="L64" s="662"/>
      <c r="M64" s="659"/>
      <c r="N64" s="659"/>
      <c r="O64" s="883"/>
      <c r="P64" s="2533"/>
      <c r="Q64" s="2504"/>
      <c r="R64" s="2483"/>
      <c r="S64" s="2483"/>
      <c r="T64" s="2483"/>
      <c r="U64" s="2483"/>
      <c r="V64" s="2483"/>
      <c r="W64" s="2483"/>
      <c r="X64" s="2483"/>
      <c r="Y64" s="2483"/>
      <c r="Z64" s="2483"/>
      <c r="AA64" s="2483"/>
      <c r="AB64" s="2483"/>
      <c r="AC64" s="2483"/>
      <c r="AD64" s="2483"/>
      <c r="AE64" s="2483"/>
    </row>
    <row r="65" spans="1:31" s="442" customFormat="1" ht="15">
      <c r="A65" s="1625" t="s">
        <v>1896</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1916</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1708</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1673</v>
      </c>
      <c r="B68" s="444"/>
      <c r="C68" s="456" t="s">
        <v>1768</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1711</v>
      </c>
      <c r="B70" s="460" t="s">
        <v>1677</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1680</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1681</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1682</v>
      </c>
      <c r="B83" s="460" t="s">
        <v>1821</v>
      </c>
      <c r="C83" s="504" t="s">
        <v>1713</v>
      </c>
      <c r="D83" s="504" t="s">
        <v>1714</v>
      </c>
      <c r="E83" s="504" t="s">
        <v>1715</v>
      </c>
      <c r="F83" s="504" t="s">
        <v>1716</v>
      </c>
      <c r="G83" s="504" t="s">
        <v>1717</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1718</v>
      </c>
      <c r="C85" s="509" t="s">
        <v>1713</v>
      </c>
      <c r="D85" s="509" t="s">
        <v>1714</v>
      </c>
      <c r="E85" s="509" t="s">
        <v>1715</v>
      </c>
      <c r="F85" s="509" t="s">
        <v>1716</v>
      </c>
      <c r="G85" s="509" t="s">
        <v>1717</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1899</v>
      </c>
      <c r="C87" s="504" t="s">
        <v>1713</v>
      </c>
      <c r="D87" s="504" t="s">
        <v>1714</v>
      </c>
      <c r="E87" s="504" t="s">
        <v>1715</v>
      </c>
      <c r="F87" s="504" t="s">
        <v>1716</v>
      </c>
      <c r="G87" s="504" t="s">
        <v>1717</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1900</v>
      </c>
      <c r="C89" s="504" t="s">
        <v>1713</v>
      </c>
      <c r="D89" s="504" t="s">
        <v>1714</v>
      </c>
      <c r="E89" s="504" t="s">
        <v>1715</v>
      </c>
      <c r="F89" s="504" t="s">
        <v>1716</v>
      </c>
      <c r="G89" s="504" t="s">
        <v>1717</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1770</v>
      </c>
      <c r="C91" s="504" t="s">
        <v>1713</v>
      </c>
      <c r="D91" s="504" t="s">
        <v>1714</v>
      </c>
      <c r="E91" s="504" t="s">
        <v>1715</v>
      </c>
      <c r="F91" s="504" t="s">
        <v>1716</v>
      </c>
      <c r="G91" s="504" t="s">
        <v>1717</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1917</v>
      </c>
      <c r="C93" s="581" t="s">
        <v>1791</v>
      </c>
      <c r="D93" s="581" t="s">
        <v>1792</v>
      </c>
      <c r="E93" s="581" t="s">
        <v>1793</v>
      </c>
      <c r="F93" s="581" t="s">
        <v>1794</v>
      </c>
      <c r="G93" s="581" t="s">
        <v>1795</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1901</v>
      </c>
      <c r="D95" s="470" t="s">
        <v>1902</v>
      </c>
      <c r="E95" s="470" t="s">
        <v>1903</v>
      </c>
      <c r="F95" s="470" t="s">
        <v>1904</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1807</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1865</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1686</v>
      </c>
      <c r="B107" s="460" t="s">
        <v>1905</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1906</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1908</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1909</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0" t="s">
        <v>2073</v>
      </c>
      <c r="B1" s="4"/>
      <c r="C1" s="4"/>
      <c r="D1" s="4"/>
      <c r="E1" s="4"/>
      <c r="F1" s="2540"/>
      <c r="G1" s="2540"/>
      <c r="H1" s="2540"/>
      <c r="I1" s="2540"/>
      <c r="J1" s="2540"/>
      <c r="K1" s="2540"/>
      <c r="L1" s="2540"/>
      <c r="M1" s="2540"/>
      <c r="N1" s="2540"/>
      <c r="O1" s="2540"/>
      <c r="P1" s="2540"/>
    </row>
    <row r="2" spans="1:16" ht="15.75">
      <c r="A2" s="1979" t="s">
        <v>2065</v>
      </c>
      <c r="B2" s="2383">
        <f ca="1">SUMIF(B6:B13,"&lt;&gt;#ref!",B6:B13)</f>
        <v>26</v>
      </c>
      <c r="C2" s="1979" t="s">
        <v>2066</v>
      </c>
      <c r="D2" s="1979" t="s">
        <v>2067</v>
      </c>
      <c r="E2" s="2393">
        <f ca="1">SUMIF(E6:E13,"&lt;&gt;#ref!",E6:E13)</f>
        <v>53.53</v>
      </c>
      <c r="F2" s="2540"/>
      <c r="G2" s="2540"/>
      <c r="H2" s="2540"/>
      <c r="I2" s="2540"/>
      <c r="J2" s="2540"/>
      <c r="K2" s="2540"/>
      <c r="L2" s="2540"/>
      <c r="M2" s="2540"/>
      <c r="N2" s="2540"/>
      <c r="O2" s="2540"/>
      <c r="P2" s="2540"/>
    </row>
    <row r="3" spans="1:16" ht="15.75">
      <c r="A3" s="1979" t="s">
        <v>2068</v>
      </c>
      <c r="B3" s="2383">
        <f ca="1">ROUND(B2*10000/E2,0)</f>
        <v>4857</v>
      </c>
      <c r="C3" s="1979" t="s">
        <v>2074</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2069</v>
      </c>
      <c r="B5" s="2391" t="s">
        <v>2070</v>
      </c>
      <c r="C5" s="1980"/>
      <c r="D5" s="2540"/>
      <c r="E5" s="2392" t="s">
        <v>2071</v>
      </c>
      <c r="F5" s="2540"/>
      <c r="G5" s="2540"/>
      <c r="H5" s="2540"/>
      <c r="I5" s="2540"/>
      <c r="J5" s="2540"/>
      <c r="K5" s="2540"/>
      <c r="L5" s="2540"/>
      <c r="M5" s="2540"/>
      <c r="N5" s="2540"/>
      <c r="O5" s="2540"/>
      <c r="P5" s="2540"/>
    </row>
    <row r="6" spans="1:16" ht="15.75">
      <c r="A6" s="2390" t="s">
        <v>2072</v>
      </c>
      <c r="B6" s="2383">
        <f ca="1">SUMIF(INDIRECT("'"&amp;A6&amp;"'"&amp;"!A:A"),"总价",INDIRECT("'"&amp;A6&amp;"'"&amp;"!B:B"))</f>
        <v>26</v>
      </c>
      <c r="C6" s="1979" t="s">
        <v>2066</v>
      </c>
      <c r="D6" s="2540"/>
      <c r="E6" s="2393">
        <f ca="1">SUMIF(INDIRECT("'"&amp;A6&amp;"'"&amp;"!C:C"),"建筑面积",INDIRECT("'"&amp;A6&amp;"'"&amp;"!D:D"))</f>
        <v>53.53</v>
      </c>
      <c r="F6" s="2540"/>
      <c r="G6" s="2540"/>
      <c r="H6" s="2540"/>
      <c r="I6" s="2540"/>
      <c r="J6" s="2540"/>
      <c r="K6" s="2540"/>
      <c r="L6" s="2540"/>
      <c r="M6" s="2540"/>
      <c r="N6" s="2540"/>
      <c r="O6" s="2540"/>
      <c r="P6" s="2540"/>
    </row>
    <row r="7" spans="1:16" ht="15.75">
      <c r="A7" s="2390"/>
      <c r="B7" s="2383" t="e">
        <f ca="1">SUMIF(INDIRECT("'"&amp;A7&amp;"'"&amp;"!A:A"),"总价",INDIRECT("'"&amp;A7&amp;"'"&amp;"!B:B"))</f>
        <v>#REF!</v>
      </c>
      <c r="C7" s="1979" t="s">
        <v>2066</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2066</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2066</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2066</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2066</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2066</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2066</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2576</v>
      </c>
      <c r="B1" s="2807" t="s">
        <v>2577</v>
      </c>
      <c r="C1" s="2807" t="s">
        <v>2578</v>
      </c>
      <c r="D1" s="2807" t="s">
        <v>2579</v>
      </c>
      <c r="E1" s="2807" t="s">
        <v>2580</v>
      </c>
      <c r="F1" s="2807" t="s">
        <v>2581</v>
      </c>
      <c r="G1" s="2807" t="s">
        <v>2582</v>
      </c>
      <c r="H1" s="2807" t="s">
        <v>2583</v>
      </c>
      <c r="I1" s="2807" t="s">
        <v>2584</v>
      </c>
      <c r="J1" s="2807" t="s">
        <v>2585</v>
      </c>
      <c r="K1" s="2807" t="s">
        <v>2586</v>
      </c>
      <c r="L1" s="2807" t="s">
        <v>2587</v>
      </c>
      <c r="M1" s="2808" t="s">
        <v>2588</v>
      </c>
    </row>
    <row r="2" spans="1:13" ht="19.5" customHeight="1">
      <c r="A2" s="2810" t="s">
        <v>2589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2592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2593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2594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2595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2596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2597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2598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2599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2602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2603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2604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2605</v>
      </c>
      <c r="B18" s="2832"/>
      <c r="C18" s="2833"/>
      <c r="D18" s="2833"/>
      <c r="E18" s="2832"/>
      <c r="F18" s="2833"/>
      <c r="G18" s="2833"/>
    </row>
    <row r="19" spans="1:13" ht="19.5" customHeight="1" thickBot="1">
      <c r="A19" s="2830" t="s">
        <v>2606</v>
      </c>
      <c r="B19" s="2835" t="s">
        <v>2607</v>
      </c>
      <c r="C19" s="2835" t="s">
        <v>2608</v>
      </c>
      <c r="D19" s="2836"/>
      <c r="E19" s="2830" t="s">
        <v>2609</v>
      </c>
      <c r="F19" s="2837"/>
      <c r="G19" s="2837"/>
    </row>
    <row r="20" spans="1:13" ht="19.5" customHeight="1">
      <c r="A20" s="3496" t="s">
        <v>2589</v>
      </c>
      <c r="B20" s="3486" t="s">
        <v>2610</v>
      </c>
      <c r="C20" s="3163" t="s">
        <v>2421</v>
      </c>
      <c r="D20" s="3163"/>
      <c r="E20" s="2840">
        <v>1</v>
      </c>
      <c r="F20" s="2841" t="s">
        <v>2422</v>
      </c>
      <c r="G20" s="2841"/>
    </row>
    <row r="21" spans="1:13" ht="19.5" customHeight="1">
      <c r="A21" s="3497"/>
      <c r="B21" s="3487"/>
      <c r="C21" s="2853" t="s">
        <v>2423</v>
      </c>
      <c r="D21" s="2853"/>
      <c r="E21" s="2844">
        <v>1</v>
      </c>
      <c r="F21" s="2841" t="s">
        <v>2424</v>
      </c>
      <c r="G21" s="2841"/>
    </row>
    <row r="22" spans="1:13" ht="19.5" customHeight="1">
      <c r="A22" s="3497"/>
      <c r="B22" s="3487"/>
      <c r="C22" s="2853" t="s">
        <v>2425</v>
      </c>
      <c r="D22" s="2853"/>
      <c r="E22" s="2844">
        <v>0.9</v>
      </c>
      <c r="F22" s="2841" t="s">
        <v>2426</v>
      </c>
      <c r="G22" s="2841"/>
    </row>
    <row r="23" spans="1:13" ht="19.5" customHeight="1">
      <c r="A23" s="3497"/>
      <c r="B23" s="3487"/>
      <c r="C23" s="2853" t="s">
        <v>2427</v>
      </c>
      <c r="D23" s="2853"/>
      <c r="E23" s="2844">
        <v>0.9</v>
      </c>
      <c r="F23" s="2841" t="s">
        <v>2428</v>
      </c>
      <c r="G23" s="2841"/>
    </row>
    <row r="24" spans="1:13" ht="19.5" customHeight="1">
      <c r="A24" s="3497"/>
      <c r="B24" s="3487"/>
      <c r="C24" s="2853" t="s">
        <v>2429</v>
      </c>
      <c r="D24" s="2853"/>
      <c r="E24" s="2844">
        <v>0.8</v>
      </c>
      <c r="F24" s="2841" t="s">
        <v>2430</v>
      </c>
      <c r="G24" s="2841"/>
    </row>
    <row r="25" spans="1:13" ht="19.5" customHeight="1">
      <c r="A25" s="3497"/>
      <c r="B25" s="3487"/>
      <c r="C25" s="2853" t="s">
        <v>2431</v>
      </c>
      <c r="D25" s="2853"/>
      <c r="E25" s="2844">
        <v>0.8</v>
      </c>
      <c r="F25" s="2841"/>
      <c r="G25" s="2841"/>
    </row>
    <row r="26" spans="1:13" ht="19.5" customHeight="1">
      <c r="A26" s="3497"/>
      <c r="B26" s="3487"/>
      <c r="C26" s="2853" t="s">
        <v>3391</v>
      </c>
      <c r="D26" s="2853"/>
      <c r="E26" s="2844">
        <v>0.43</v>
      </c>
      <c r="F26" s="2841"/>
      <c r="G26" s="2841"/>
    </row>
    <row r="27" spans="1:13" ht="19.5" customHeight="1" thickBot="1">
      <c r="A27" s="3498"/>
      <c r="B27" s="3488"/>
      <c r="C27" s="3159" t="s">
        <v>3392</v>
      </c>
      <c r="D27" s="3159"/>
      <c r="E27" s="2847">
        <f>E26*0.9</f>
        <v>0.38700000000000001</v>
      </c>
      <c r="F27" s="2841" t="s">
        <v>2432</v>
      </c>
      <c r="G27" s="2841"/>
    </row>
    <row r="28" spans="1:13" ht="19.5" customHeight="1" thickBot="1">
      <c r="A28" s="3158" t="s">
        <v>2611</v>
      </c>
      <c r="B28" s="3157" t="s">
        <v>2610</v>
      </c>
      <c r="C28" s="3160" t="s">
        <v>2612</v>
      </c>
      <c r="D28" s="3161"/>
      <c r="E28" s="3162">
        <v>1</v>
      </c>
      <c r="F28" s="2841" t="s">
        <v>2433</v>
      </c>
      <c r="G28" s="2841"/>
    </row>
    <row r="29" spans="1:13" ht="19.5" customHeight="1">
      <c r="A29" s="3489" t="s">
        <v>2613</v>
      </c>
      <c r="B29" s="3492" t="s">
        <v>2594</v>
      </c>
      <c r="C29" s="2838" t="s">
        <v>2434</v>
      </c>
      <c r="D29" s="2839"/>
      <c r="E29" s="2840">
        <v>1</v>
      </c>
      <c r="F29" s="2841" t="s">
        <v>2435</v>
      </c>
      <c r="G29" s="2841"/>
    </row>
    <row r="30" spans="1:13" ht="19.5" customHeight="1">
      <c r="A30" s="3490"/>
      <c r="B30" s="3493"/>
      <c r="C30" s="2842" t="s">
        <v>2436</v>
      </c>
      <c r="D30" s="2843"/>
      <c r="E30" s="2844">
        <v>1</v>
      </c>
      <c r="F30" s="2841" t="s">
        <v>2437</v>
      </c>
      <c r="G30" s="2841"/>
    </row>
    <row r="31" spans="1:13" ht="19.5" customHeight="1">
      <c r="A31" s="3490"/>
      <c r="B31" s="3493"/>
      <c r="C31" s="2842" t="s">
        <v>2438</v>
      </c>
      <c r="D31" s="2843"/>
      <c r="E31" s="2844">
        <v>0.8</v>
      </c>
      <c r="F31" s="2841" t="s">
        <v>2439</v>
      </c>
      <c r="G31" s="2841"/>
    </row>
    <row r="32" spans="1:13" ht="19.5" customHeight="1">
      <c r="A32" s="3490"/>
      <c r="B32" s="3493"/>
      <c r="C32" s="2842" t="s">
        <v>2440</v>
      </c>
      <c r="D32" s="2843"/>
      <c r="E32" s="2844">
        <v>0.8</v>
      </c>
      <c r="F32" s="2841" t="s">
        <v>2441</v>
      </c>
      <c r="G32" s="2841"/>
    </row>
    <row r="33" spans="1:7" ht="19.5" customHeight="1">
      <c r="A33" s="3490"/>
      <c r="B33" s="3493"/>
      <c r="C33" s="2842" t="s">
        <v>2442</v>
      </c>
      <c r="D33" s="2843"/>
      <c r="E33" s="2844">
        <v>0.8</v>
      </c>
      <c r="F33" s="2841" t="s">
        <v>2443</v>
      </c>
      <c r="G33" s="2841"/>
    </row>
    <row r="34" spans="1:7" ht="19.5" customHeight="1">
      <c r="A34" s="3490"/>
      <c r="B34" s="3493"/>
      <c r="C34" s="2842" t="s">
        <v>2444</v>
      </c>
      <c r="D34" s="2843"/>
      <c r="E34" s="2844">
        <v>0.7</v>
      </c>
      <c r="F34" s="2841" t="s">
        <v>2445</v>
      </c>
      <c r="G34" s="2841"/>
    </row>
    <row r="35" spans="1:7" ht="19.5" customHeight="1">
      <c r="A35" s="3490"/>
      <c r="B35" s="3493"/>
      <c r="C35" s="2842" t="s">
        <v>2446</v>
      </c>
      <c r="D35" s="2843"/>
      <c r="E35" s="2844">
        <v>0.8</v>
      </c>
      <c r="F35" s="2841" t="s">
        <v>2447</v>
      </c>
      <c r="G35" s="2841"/>
    </row>
    <row r="36" spans="1:7" ht="19.5" customHeight="1">
      <c r="A36" s="3490"/>
      <c r="B36" s="3493"/>
      <c r="C36" s="2842" t="s">
        <v>2448</v>
      </c>
      <c r="D36" s="2843"/>
      <c r="E36" s="2844">
        <v>0.6</v>
      </c>
      <c r="F36" s="2841" t="s">
        <v>2449</v>
      </c>
      <c r="G36" s="2841"/>
    </row>
    <row r="37" spans="1:7" ht="19.5" customHeight="1">
      <c r="A37" s="3490"/>
      <c r="B37" s="3493"/>
      <c r="C37" s="2842" t="s">
        <v>2450</v>
      </c>
      <c r="D37" s="2843"/>
      <c r="E37" s="2844">
        <v>0.2</v>
      </c>
      <c r="F37" s="2841" t="s">
        <v>2451</v>
      </c>
      <c r="G37" s="2841"/>
    </row>
    <row r="38" spans="1:7" ht="19.5" customHeight="1">
      <c r="A38" s="3490"/>
      <c r="B38" s="3493"/>
      <c r="C38" s="2842" t="s">
        <v>2452</v>
      </c>
      <c r="D38" s="2843"/>
      <c r="E38" s="2844">
        <v>0.2</v>
      </c>
      <c r="F38" s="2841" t="s">
        <v>2453</v>
      </c>
      <c r="G38" s="2841"/>
    </row>
    <row r="39" spans="1:7" ht="19.5" customHeight="1">
      <c r="A39" s="3490"/>
      <c r="B39" s="3494" t="s">
        <v>2614</v>
      </c>
      <c r="C39" s="2842" t="s">
        <v>2454</v>
      </c>
      <c r="D39" s="2843"/>
      <c r="E39" s="2844">
        <v>0.6</v>
      </c>
      <c r="F39" s="2841" t="s">
        <v>2455</v>
      </c>
      <c r="G39" s="2841"/>
    </row>
    <row r="40" spans="1:7" ht="19.5" customHeight="1">
      <c r="A40" s="3490"/>
      <c r="B40" s="3493"/>
      <c r="C40" s="2842" t="s">
        <v>2456</v>
      </c>
      <c r="D40" s="2843"/>
      <c r="E40" s="2844">
        <v>0.6</v>
      </c>
      <c r="F40" s="2841" t="s">
        <v>2457</v>
      </c>
      <c r="G40" s="2841"/>
    </row>
    <row r="41" spans="1:7" ht="19.5" customHeight="1" thickBot="1">
      <c r="A41" s="3491"/>
      <c r="B41" s="3495"/>
      <c r="C41" s="2845" t="s">
        <v>2458</v>
      </c>
      <c r="D41" s="2846"/>
      <c r="E41" s="2847">
        <v>0.6</v>
      </c>
      <c r="F41" s="2841" t="s">
        <v>2459</v>
      </c>
      <c r="G41" s="2841"/>
    </row>
    <row r="42" spans="1:7" ht="19.5" customHeight="1" thickBot="1">
      <c r="A42" s="2848" t="s">
        <v>2591</v>
      </c>
      <c r="B42" s="2849" t="s">
        <v>2591</v>
      </c>
      <c r="C42" s="2850" t="s">
        <v>2615</v>
      </c>
      <c r="D42" s="2851"/>
      <c r="E42" s="2852">
        <v>1</v>
      </c>
      <c r="F42" s="2841" t="s">
        <v>2460</v>
      </c>
      <c r="G42" s="2841"/>
    </row>
    <row r="43" spans="1:7" ht="19.5" customHeight="1">
      <c r="A43" s="3496" t="s">
        <v>2592</v>
      </c>
      <c r="B43" s="3492" t="s">
        <v>2616</v>
      </c>
      <c r="C43" s="2838" t="s">
        <v>2461</v>
      </c>
      <c r="D43" s="2839"/>
      <c r="E43" s="2840">
        <v>1</v>
      </c>
      <c r="F43" s="2841" t="s">
        <v>2462</v>
      </c>
      <c r="G43" s="2841"/>
    </row>
    <row r="44" spans="1:7" ht="19.5" customHeight="1">
      <c r="A44" s="3497"/>
      <c r="B44" s="3493"/>
      <c r="C44" s="2842" t="s">
        <v>2463</v>
      </c>
      <c r="D44" s="2843"/>
      <c r="E44" s="2844">
        <v>1</v>
      </c>
      <c r="F44" s="2841" t="s">
        <v>2464</v>
      </c>
      <c r="G44" s="2841"/>
    </row>
    <row r="45" spans="1:7" ht="19.5" customHeight="1">
      <c r="A45" s="3497"/>
      <c r="B45" s="3499"/>
      <c r="C45" s="2842" t="s">
        <v>2465</v>
      </c>
      <c r="D45" s="2843"/>
      <c r="E45" s="2844">
        <v>1.5</v>
      </c>
      <c r="F45" s="2841" t="s">
        <v>2466</v>
      </c>
      <c r="G45" s="2841"/>
    </row>
    <row r="46" spans="1:7" ht="19.5" customHeight="1">
      <c r="A46" s="3497"/>
      <c r="B46" s="2853" t="s">
        <v>2617</v>
      </c>
      <c r="C46" s="2842" t="s">
        <v>2618</v>
      </c>
      <c r="D46" s="2843"/>
      <c r="E46" s="2844">
        <v>2</v>
      </c>
      <c r="F46" s="2841" t="s">
        <v>2467</v>
      </c>
      <c r="G46" s="2841"/>
    </row>
    <row r="47" spans="1:7" ht="19.5" customHeight="1">
      <c r="A47" s="3497"/>
      <c r="B47" s="3494" t="s">
        <v>2619</v>
      </c>
      <c r="C47" s="2842" t="s">
        <v>2468</v>
      </c>
      <c r="D47" s="2843"/>
      <c r="E47" s="2844">
        <v>1</v>
      </c>
      <c r="F47" s="2841" t="s">
        <v>2469</v>
      </c>
      <c r="G47" s="2841"/>
    </row>
    <row r="48" spans="1:7" ht="19.5" customHeight="1">
      <c r="A48" s="3497"/>
      <c r="B48" s="3493"/>
      <c r="C48" s="2842" t="s">
        <v>2470</v>
      </c>
      <c r="D48" s="2843"/>
      <c r="E48" s="2844">
        <v>1</v>
      </c>
      <c r="F48" s="2841" t="s">
        <v>2471</v>
      </c>
      <c r="G48" s="2841"/>
    </row>
    <row r="49" spans="1:7" ht="19.5" customHeight="1">
      <c r="A49" s="3497"/>
      <c r="B49" s="3493"/>
      <c r="C49" s="2842" t="s">
        <v>2472</v>
      </c>
      <c r="D49" s="2843"/>
      <c r="E49" s="2844">
        <v>1</v>
      </c>
      <c r="F49" s="2841" t="s">
        <v>2473</v>
      </c>
      <c r="G49" s="2841"/>
    </row>
    <row r="50" spans="1:7" ht="19.5" customHeight="1">
      <c r="A50" s="3497"/>
      <c r="B50" s="3493"/>
      <c r="C50" s="2842" t="s">
        <v>2474</v>
      </c>
      <c r="D50" s="2843"/>
      <c r="E50" s="2844">
        <v>1</v>
      </c>
      <c r="F50" s="2841" t="s">
        <v>2475</v>
      </c>
      <c r="G50" s="2841"/>
    </row>
    <row r="51" spans="1:7" ht="19.5" customHeight="1">
      <c r="A51" s="3497"/>
      <c r="B51" s="3493"/>
      <c r="C51" s="2842" t="s">
        <v>2476</v>
      </c>
      <c r="D51" s="2843"/>
      <c r="E51" s="2844">
        <v>1</v>
      </c>
      <c r="F51" s="2841" t="s">
        <v>2477</v>
      </c>
      <c r="G51" s="2841"/>
    </row>
    <row r="52" spans="1:7" ht="19.5" customHeight="1">
      <c r="A52" s="3497"/>
      <c r="B52" s="3493"/>
      <c r="C52" s="2842" t="s">
        <v>2478</v>
      </c>
      <c r="D52" s="2843"/>
      <c r="E52" s="2844">
        <v>1</v>
      </c>
      <c r="F52" s="2841" t="s">
        <v>2479</v>
      </c>
      <c r="G52" s="2841"/>
    </row>
    <row r="53" spans="1:7" ht="19.5" customHeight="1" thickBot="1">
      <c r="A53" s="3498"/>
      <c r="B53" s="3495"/>
      <c r="C53" s="2845" t="s">
        <v>2480</v>
      </c>
      <c r="D53" s="2846"/>
      <c r="E53" s="2847">
        <v>1</v>
      </c>
      <c r="F53" s="2841" t="s">
        <v>2481</v>
      </c>
      <c r="G53" s="2841"/>
    </row>
    <row r="54" spans="1:7" ht="19.5" customHeight="1">
      <c r="A54" s="2854"/>
      <c r="B54" s="2854"/>
      <c r="C54" s="2854"/>
      <c r="D54" s="2854"/>
      <c r="E54" s="2854"/>
      <c r="F54" s="2854"/>
      <c r="G54" s="2854"/>
    </row>
    <row r="56" spans="1:7" ht="19.5" customHeight="1">
      <c r="A56" s="2855"/>
      <c r="B56" s="2827" t="s">
        <v>2620</v>
      </c>
      <c r="C56" s="2827" t="s">
        <v>2620</v>
      </c>
      <c r="D56" s="2827" t="s">
        <v>2620</v>
      </c>
      <c r="E56" s="2830" t="s">
        <v>2620</v>
      </c>
      <c r="F56" s="2830" t="s">
        <v>2621</v>
      </c>
      <c r="G56" s="2830" t="s">
        <v>2622</v>
      </c>
    </row>
    <row r="57" spans="1:7" ht="19.5" customHeight="1">
      <c r="A57" s="2856"/>
      <c r="B57" s="2830" t="s">
        <v>2589</v>
      </c>
      <c r="C57" s="2830" t="s">
        <v>2589</v>
      </c>
      <c r="D57" s="2830" t="s">
        <v>2589</v>
      </c>
      <c r="E57" s="2827" t="s">
        <v>2590</v>
      </c>
      <c r="F57" s="2827" t="s">
        <v>2592</v>
      </c>
      <c r="G57" s="2827" t="s">
        <v>2623</v>
      </c>
    </row>
    <row r="58" spans="1:7" ht="19.5" customHeight="1">
      <c r="A58" s="2857"/>
      <c r="B58" s="2827">
        <v>1</v>
      </c>
      <c r="C58" s="2827">
        <v>2</v>
      </c>
      <c r="D58" s="2827">
        <v>3</v>
      </c>
      <c r="E58" s="2858" t="s">
        <v>2624</v>
      </c>
      <c r="F58" s="2858" t="s">
        <v>2624</v>
      </c>
      <c r="G58" s="2858" t="s">
        <v>2624</v>
      </c>
    </row>
    <row r="59" spans="1:7" ht="19.5" customHeight="1">
      <c r="A59" s="2859" t="s">
        <v>2577</v>
      </c>
      <c r="B59" s="2827">
        <v>0.7</v>
      </c>
      <c r="C59" s="2827">
        <v>0.4</v>
      </c>
      <c r="D59" s="2827">
        <v>0.3</v>
      </c>
      <c r="E59" s="2858">
        <v>0.3</v>
      </c>
      <c r="F59" s="2827">
        <v>0.3</v>
      </c>
      <c r="G59" s="2827">
        <v>0.2</v>
      </c>
    </row>
    <row r="60" spans="1:7" ht="19.5" customHeight="1">
      <c r="A60" s="2859" t="s">
        <v>2578</v>
      </c>
      <c r="B60" s="2827">
        <v>0.7</v>
      </c>
      <c r="C60" s="2827">
        <v>0.4</v>
      </c>
      <c r="D60" s="2827">
        <v>0.3</v>
      </c>
      <c r="E60" s="2827">
        <v>0.3</v>
      </c>
      <c r="F60" s="2827">
        <v>0.3</v>
      </c>
      <c r="G60" s="2827">
        <v>0.2</v>
      </c>
    </row>
    <row r="61" spans="1:7" ht="19.5" customHeight="1">
      <c r="A61" s="2859" t="s">
        <v>2579</v>
      </c>
      <c r="B61" s="2827">
        <v>0.6</v>
      </c>
      <c r="C61" s="2827">
        <v>0.3</v>
      </c>
      <c r="D61" s="2827">
        <v>0.25</v>
      </c>
      <c r="E61" s="2827">
        <v>0.25</v>
      </c>
      <c r="F61" s="2827">
        <v>0.25</v>
      </c>
      <c r="G61" s="2827">
        <v>0.15</v>
      </c>
    </row>
    <row r="62" spans="1:7" ht="19.5" customHeight="1">
      <c r="A62" s="2859" t="s">
        <v>2580</v>
      </c>
      <c r="B62" s="2827">
        <v>0.6</v>
      </c>
      <c r="C62" s="2827">
        <v>0.3</v>
      </c>
      <c r="D62" s="2827">
        <v>0.25</v>
      </c>
      <c r="E62" s="2827">
        <v>0.25</v>
      </c>
      <c r="F62" s="2827">
        <v>0.25</v>
      </c>
      <c r="G62" s="2827">
        <v>0.15</v>
      </c>
    </row>
    <row r="63" spans="1:7" ht="19.5" customHeight="1">
      <c r="A63" s="2859" t="s">
        <v>2581</v>
      </c>
      <c r="B63" s="2827">
        <v>0.6</v>
      </c>
      <c r="C63" s="2827">
        <v>0.3</v>
      </c>
      <c r="D63" s="2827">
        <v>0.25</v>
      </c>
      <c r="E63" s="2827">
        <v>0.25</v>
      </c>
      <c r="F63" s="2827">
        <v>0.25</v>
      </c>
      <c r="G63" s="2827">
        <v>0.15</v>
      </c>
    </row>
    <row r="64" spans="1:7" ht="19.5" customHeight="1">
      <c r="A64" s="2859" t="s">
        <v>2582</v>
      </c>
      <c r="B64" s="2827">
        <v>0.6</v>
      </c>
      <c r="C64" s="2827">
        <v>0.3</v>
      </c>
      <c r="D64" s="2827">
        <v>0.25</v>
      </c>
      <c r="E64" s="2827">
        <v>0.25</v>
      </c>
      <c r="F64" s="2827">
        <v>0.25</v>
      </c>
      <c r="G64" s="2827">
        <v>0.15</v>
      </c>
    </row>
    <row r="65" spans="1:7" ht="19.5" customHeight="1">
      <c r="A65" s="2859" t="s">
        <v>2583</v>
      </c>
      <c r="B65" s="2827">
        <v>0.6</v>
      </c>
      <c r="C65" s="2827">
        <v>0.3</v>
      </c>
      <c r="D65" s="2827">
        <v>0.25</v>
      </c>
      <c r="E65" s="2827">
        <v>0.25</v>
      </c>
      <c r="F65" s="2827">
        <v>0.25</v>
      </c>
      <c r="G65" s="2827">
        <v>0.15</v>
      </c>
    </row>
    <row r="66" spans="1:7" ht="19.5" customHeight="1">
      <c r="A66" s="2859" t="s">
        <v>2584</v>
      </c>
      <c r="B66" s="2827">
        <v>0.5</v>
      </c>
      <c r="C66" s="2827">
        <v>0.2</v>
      </c>
      <c r="D66" s="2827">
        <v>0.2</v>
      </c>
      <c r="E66" s="2827">
        <v>0.2</v>
      </c>
      <c r="F66" s="2827">
        <v>0.2</v>
      </c>
      <c r="G66" s="2827">
        <v>0.1</v>
      </c>
    </row>
    <row r="67" spans="1:7" ht="19.5" customHeight="1">
      <c r="A67" s="2859" t="s">
        <v>2585</v>
      </c>
      <c r="B67" s="2827">
        <v>0.5</v>
      </c>
      <c r="C67" s="2827">
        <v>0.2</v>
      </c>
      <c r="D67" s="2827">
        <v>0.2</v>
      </c>
      <c r="E67" s="2827">
        <v>0.2</v>
      </c>
      <c r="F67" s="2827">
        <v>0.2</v>
      </c>
      <c r="G67" s="2827">
        <v>0.1</v>
      </c>
    </row>
    <row r="68" spans="1:7" ht="19.5" customHeight="1">
      <c r="A68" s="2859" t="s">
        <v>2586</v>
      </c>
      <c r="B68" s="2827">
        <v>0.5</v>
      </c>
      <c r="C68" s="2827">
        <v>0.2</v>
      </c>
      <c r="D68" s="2827">
        <v>0.2</v>
      </c>
      <c r="E68" s="2827">
        <v>0.2</v>
      </c>
      <c r="F68" s="2827">
        <v>0.2</v>
      </c>
      <c r="G68" s="2827">
        <v>0.1</v>
      </c>
    </row>
    <row r="69" spans="1:7" ht="19.5" customHeight="1">
      <c r="A69" s="2859" t="s">
        <v>2587</v>
      </c>
      <c r="B69" s="2827">
        <v>0.5</v>
      </c>
      <c r="C69" s="2827">
        <v>0.2</v>
      </c>
      <c r="D69" s="2827">
        <v>0.2</v>
      </c>
      <c r="E69" s="2827">
        <v>0.2</v>
      </c>
      <c r="F69" s="2827">
        <v>0.2</v>
      </c>
      <c r="G69" s="2827">
        <v>0.1</v>
      </c>
    </row>
    <row r="70" spans="1:7" ht="19.5" customHeight="1">
      <c r="A70" s="2859" t="s">
        <v>2588</v>
      </c>
      <c r="B70" s="2827">
        <v>0.5</v>
      </c>
      <c r="C70" s="2827">
        <v>0.2</v>
      </c>
      <c r="D70" s="2827">
        <v>0.2</v>
      </c>
      <c r="E70" s="2827">
        <v>0.2</v>
      </c>
      <c r="F70" s="2827">
        <v>0.2</v>
      </c>
      <c r="G70" s="2827">
        <v>0.1</v>
      </c>
    </row>
    <row r="72" spans="1:7" ht="19.5" customHeight="1">
      <c r="A72" s="2841"/>
      <c r="B72" s="2860"/>
      <c r="C72" s="2860"/>
      <c r="D72" s="2860" t="s">
        <v>2625</v>
      </c>
      <c r="E72" s="2860"/>
      <c r="F72" s="2860"/>
    </row>
    <row r="73" spans="1:7" ht="19.5" customHeight="1">
      <c r="A73" s="2853" t="s">
        <v>2626</v>
      </c>
      <c r="B73" s="2853" t="s">
        <v>2627</v>
      </c>
      <c r="C73" s="2853" t="s">
        <v>2628</v>
      </c>
      <c r="D73" s="2853" t="s">
        <v>2629</v>
      </c>
      <c r="E73" s="2853" t="s">
        <v>2630</v>
      </c>
      <c r="F73" s="2853" t="s">
        <v>2631</v>
      </c>
    </row>
    <row r="74" spans="1:7" ht="13.5">
      <c r="A74" s="2853"/>
      <c r="B74" s="2853"/>
      <c r="C74" s="2853" t="s">
        <v>2632</v>
      </c>
      <c r="D74" s="2853"/>
      <c r="E74" s="2853" t="s">
        <v>2603</v>
      </c>
      <c r="F74" s="2853" t="s">
        <v>2603</v>
      </c>
    </row>
    <row r="75" spans="1:7" ht="13.5">
      <c r="A75" s="2853">
        <v>1</v>
      </c>
      <c r="B75" s="3494" t="s">
        <v>2633</v>
      </c>
      <c r="C75" s="2827" t="s">
        <v>2634</v>
      </c>
      <c r="D75" s="2827" t="s">
        <v>2635</v>
      </c>
      <c r="E75" s="2853">
        <v>0.2</v>
      </c>
      <c r="F75" s="2853">
        <v>25</v>
      </c>
    </row>
    <row r="76" spans="1:7" ht="24">
      <c r="A76" s="2853">
        <v>2</v>
      </c>
      <c r="B76" s="3493"/>
      <c r="C76" s="2827" t="s">
        <v>2636</v>
      </c>
      <c r="D76" s="2827" t="s">
        <v>2637</v>
      </c>
      <c r="E76" s="2853">
        <v>0.2</v>
      </c>
      <c r="F76" s="2853">
        <v>25</v>
      </c>
    </row>
    <row r="77" spans="1:7" ht="24">
      <c r="A77" s="2853">
        <v>3</v>
      </c>
      <c r="B77" s="3493"/>
      <c r="C77" s="2827" t="s">
        <v>2638</v>
      </c>
      <c r="D77" s="2827" t="s">
        <v>2639</v>
      </c>
      <c r="E77" s="2853">
        <v>0.2</v>
      </c>
      <c r="F77" s="2853">
        <v>25</v>
      </c>
    </row>
    <row r="78" spans="1:7" ht="13.5">
      <c r="A78" s="2853">
        <v>4</v>
      </c>
      <c r="B78" s="3493"/>
      <c r="C78" s="2827" t="s">
        <v>2640</v>
      </c>
      <c r="D78" s="2827" t="s">
        <v>2641</v>
      </c>
      <c r="E78" s="2853">
        <v>0.15</v>
      </c>
      <c r="F78" s="2853">
        <v>20</v>
      </c>
    </row>
    <row r="79" spans="1:7" ht="24">
      <c r="A79" s="2853">
        <v>5</v>
      </c>
      <c r="B79" s="3493"/>
      <c r="C79" s="2827" t="s">
        <v>2642</v>
      </c>
      <c r="D79" s="2827" t="s">
        <v>2643</v>
      </c>
      <c r="E79" s="2853">
        <v>0.15</v>
      </c>
      <c r="F79" s="2853">
        <v>20</v>
      </c>
    </row>
    <row r="80" spans="1:7" ht="24">
      <c r="A80" s="2853">
        <v>6</v>
      </c>
      <c r="B80" s="3493"/>
      <c r="C80" s="2827" t="s">
        <v>2644</v>
      </c>
      <c r="D80" s="2827" t="s">
        <v>2645</v>
      </c>
      <c r="E80" s="2853">
        <v>0.15</v>
      </c>
      <c r="F80" s="2853">
        <v>20</v>
      </c>
    </row>
    <row r="81" spans="1:6" ht="24">
      <c r="A81" s="2853">
        <v>7</v>
      </c>
      <c r="B81" s="3493"/>
      <c r="C81" s="2827" t="s">
        <v>2646</v>
      </c>
      <c r="D81" s="2827" t="s">
        <v>2647</v>
      </c>
      <c r="E81" s="2853">
        <v>0.15</v>
      </c>
      <c r="F81" s="2853">
        <v>20</v>
      </c>
    </row>
    <row r="82" spans="1:6" ht="24">
      <c r="A82" s="2853">
        <v>8</v>
      </c>
      <c r="B82" s="3493"/>
      <c r="C82" s="2827" t="s">
        <v>2648</v>
      </c>
      <c r="D82" s="2827" t="s">
        <v>2649</v>
      </c>
      <c r="E82" s="2853">
        <v>0.1</v>
      </c>
      <c r="F82" s="2853">
        <v>15</v>
      </c>
    </row>
    <row r="83" spans="1:6" ht="24">
      <c r="A83" s="2853">
        <v>9</v>
      </c>
      <c r="B83" s="3493"/>
      <c r="C83" s="2827" t="s">
        <v>2650</v>
      </c>
      <c r="D83" s="2827" t="s">
        <v>2651</v>
      </c>
      <c r="E83" s="2853">
        <v>0.1</v>
      </c>
      <c r="F83" s="2853">
        <v>15</v>
      </c>
    </row>
    <row r="84" spans="1:6" ht="24">
      <c r="A84" s="2853">
        <v>10</v>
      </c>
      <c r="B84" s="3493"/>
      <c r="C84" s="2827" t="s">
        <v>2652</v>
      </c>
      <c r="D84" s="2827" t="s">
        <v>2653</v>
      </c>
      <c r="E84" s="2853">
        <v>0.1</v>
      </c>
      <c r="F84" s="2853">
        <v>15</v>
      </c>
    </row>
    <row r="85" spans="1:6" ht="24">
      <c r="A85" s="2853">
        <v>11</v>
      </c>
      <c r="B85" s="3493"/>
      <c r="C85" s="2827" t="s">
        <v>2654</v>
      </c>
      <c r="D85" s="2827" t="s">
        <v>2655</v>
      </c>
      <c r="E85" s="2853">
        <v>0.1</v>
      </c>
      <c r="F85" s="2853">
        <v>15</v>
      </c>
    </row>
    <row r="86" spans="1:6" ht="24">
      <c r="A86" s="2853">
        <v>12</v>
      </c>
      <c r="B86" s="3493"/>
      <c r="C86" s="2827" t="s">
        <v>2656</v>
      </c>
      <c r="D86" s="2827" t="s">
        <v>2657</v>
      </c>
      <c r="E86" s="2853">
        <v>0.1</v>
      </c>
      <c r="F86" s="2853">
        <v>15</v>
      </c>
    </row>
    <row r="87" spans="1:6" ht="13.5">
      <c r="A87" s="2853">
        <v>13</v>
      </c>
      <c r="B87" s="3493"/>
      <c r="C87" s="2827" t="s">
        <v>2658</v>
      </c>
      <c r="D87" s="2827" t="s">
        <v>2659</v>
      </c>
      <c r="E87" s="2853">
        <v>0.1</v>
      </c>
      <c r="F87" s="2853">
        <v>15</v>
      </c>
    </row>
    <row r="88" spans="1:6" ht="13.5">
      <c r="A88" s="2853">
        <v>14</v>
      </c>
      <c r="B88" s="3493"/>
      <c r="C88" s="2827" t="s">
        <v>2660</v>
      </c>
      <c r="D88" s="2827" t="s">
        <v>2661</v>
      </c>
      <c r="E88" s="2853">
        <v>0.1</v>
      </c>
      <c r="F88" s="2853">
        <v>15</v>
      </c>
    </row>
    <row r="89" spans="1:6" ht="13.5">
      <c r="A89" s="2853">
        <v>15</v>
      </c>
      <c r="B89" s="3493"/>
      <c r="C89" s="2827" t="s">
        <v>2662</v>
      </c>
      <c r="D89" s="2827" t="s">
        <v>2663</v>
      </c>
      <c r="E89" s="2853">
        <v>0.1</v>
      </c>
      <c r="F89" s="2853">
        <v>15</v>
      </c>
    </row>
    <row r="90" spans="1:6" ht="24">
      <c r="A90" s="2853">
        <v>16</v>
      </c>
      <c r="B90" s="3493"/>
      <c r="C90" s="2827" t="s">
        <v>2664</v>
      </c>
      <c r="D90" s="2827" t="s">
        <v>2665</v>
      </c>
      <c r="E90" s="2853">
        <v>0.1</v>
      </c>
      <c r="F90" s="2853">
        <v>15</v>
      </c>
    </row>
    <row r="91" spans="1:6" ht="24">
      <c r="A91" s="2853">
        <v>17</v>
      </c>
      <c r="B91" s="3499"/>
      <c r="C91" s="2827" t="s">
        <v>2666</v>
      </c>
      <c r="D91" s="2827" t="s">
        <v>2667</v>
      </c>
      <c r="E91" s="2853">
        <v>0.1</v>
      </c>
      <c r="F91" s="2853">
        <v>15</v>
      </c>
    </row>
    <row r="92" spans="1:6" ht="13.5">
      <c r="A92" s="2853">
        <v>18</v>
      </c>
      <c r="B92" s="3494" t="s">
        <v>2668</v>
      </c>
      <c r="C92" s="2827" t="s">
        <v>2669</v>
      </c>
      <c r="D92" s="2827" t="s">
        <v>2670</v>
      </c>
      <c r="E92" s="2853">
        <v>0.2</v>
      </c>
      <c r="F92" s="2853">
        <v>25</v>
      </c>
    </row>
    <row r="93" spans="1:6" ht="24">
      <c r="A93" s="2853">
        <v>19</v>
      </c>
      <c r="B93" s="3493"/>
      <c r="C93" s="2827" t="s">
        <v>2671</v>
      </c>
      <c r="D93" s="2827" t="s">
        <v>2672</v>
      </c>
      <c r="E93" s="2853">
        <v>0.2</v>
      </c>
      <c r="F93" s="2853">
        <v>25</v>
      </c>
    </row>
    <row r="94" spans="1:6" ht="13.5">
      <c r="A94" s="2853">
        <v>20</v>
      </c>
      <c r="B94" s="3493"/>
      <c r="C94" s="2827" t="s">
        <v>2673</v>
      </c>
      <c r="D94" s="2827" t="s">
        <v>2674</v>
      </c>
      <c r="E94" s="2853">
        <v>0.15</v>
      </c>
      <c r="F94" s="2853">
        <v>20</v>
      </c>
    </row>
    <row r="95" spans="1:6" ht="13.5">
      <c r="A95" s="2853">
        <v>21</v>
      </c>
      <c r="B95" s="3493"/>
      <c r="C95" s="2827" t="s">
        <v>2675</v>
      </c>
      <c r="D95" s="2827" t="s">
        <v>2676</v>
      </c>
      <c r="E95" s="2853">
        <v>0.15</v>
      </c>
      <c r="F95" s="2853">
        <v>20</v>
      </c>
    </row>
    <row r="96" spans="1:6" ht="13.5">
      <c r="A96" s="2853">
        <v>22</v>
      </c>
      <c r="B96" s="3493"/>
      <c r="C96" s="2827" t="s">
        <v>2677</v>
      </c>
      <c r="D96" s="2827" t="s">
        <v>2678</v>
      </c>
      <c r="E96" s="2853">
        <v>0.15</v>
      </c>
      <c r="F96" s="2853">
        <v>20</v>
      </c>
    </row>
    <row r="97" spans="1:6" ht="36">
      <c r="A97" s="2853">
        <v>23</v>
      </c>
      <c r="B97" s="3493"/>
      <c r="C97" s="2827" t="s">
        <v>2679</v>
      </c>
      <c r="D97" s="2827" t="s">
        <v>2680</v>
      </c>
      <c r="E97" s="2853">
        <v>0.15</v>
      </c>
      <c r="F97" s="2853">
        <v>20</v>
      </c>
    </row>
    <row r="98" spans="1:6" ht="13.5">
      <c r="A98" s="2853">
        <v>24</v>
      </c>
      <c r="B98" s="3493"/>
      <c r="C98" s="2827" t="s">
        <v>2681</v>
      </c>
      <c r="D98" s="2827" t="s">
        <v>2682</v>
      </c>
      <c r="E98" s="2853">
        <v>0.1</v>
      </c>
      <c r="F98" s="2853">
        <v>15</v>
      </c>
    </row>
    <row r="99" spans="1:6" ht="13.5">
      <c r="A99" s="2853">
        <v>25</v>
      </c>
      <c r="B99" s="3493"/>
      <c r="C99" s="2827" t="s">
        <v>2683</v>
      </c>
      <c r="D99" s="2827" t="s">
        <v>2684</v>
      </c>
      <c r="E99" s="2853">
        <v>0.1</v>
      </c>
      <c r="F99" s="2853">
        <v>15</v>
      </c>
    </row>
    <row r="100" spans="1:6" ht="24">
      <c r="A100" s="2853">
        <v>26</v>
      </c>
      <c r="B100" s="3493"/>
      <c r="C100" s="2827" t="s">
        <v>2685</v>
      </c>
      <c r="D100" s="2827" t="s">
        <v>2686</v>
      </c>
      <c r="E100" s="2853">
        <v>0.1</v>
      </c>
      <c r="F100" s="2853">
        <v>15</v>
      </c>
    </row>
    <row r="101" spans="1:6" ht="24">
      <c r="A101" s="2853">
        <v>27</v>
      </c>
      <c r="B101" s="3493"/>
      <c r="C101" s="2827" t="s">
        <v>2687</v>
      </c>
      <c r="D101" s="2827" t="s">
        <v>2688</v>
      </c>
      <c r="E101" s="2853">
        <v>0.1</v>
      </c>
      <c r="F101" s="2853">
        <v>15</v>
      </c>
    </row>
    <row r="102" spans="1:6" ht="13.5">
      <c r="A102" s="2853">
        <v>28</v>
      </c>
      <c r="B102" s="3493"/>
      <c r="C102" s="2827" t="s">
        <v>2689</v>
      </c>
      <c r="D102" s="2827" t="s">
        <v>2690</v>
      </c>
      <c r="E102" s="2853">
        <v>0.1</v>
      </c>
      <c r="F102" s="2853">
        <v>15</v>
      </c>
    </row>
    <row r="103" spans="1:6" ht="13.5">
      <c r="A103" s="2853">
        <v>29</v>
      </c>
      <c r="B103" s="3493"/>
      <c r="C103" s="2827" t="s">
        <v>2691</v>
      </c>
      <c r="D103" s="2827" t="s">
        <v>2692</v>
      </c>
      <c r="E103" s="2853">
        <v>0.1</v>
      </c>
      <c r="F103" s="2853">
        <v>15</v>
      </c>
    </row>
    <row r="104" spans="1:6" ht="13.5">
      <c r="A104" s="2853">
        <v>30</v>
      </c>
      <c r="B104" s="3493"/>
      <c r="C104" s="2827" t="s">
        <v>2693</v>
      </c>
      <c r="D104" s="2827" t="s">
        <v>2694</v>
      </c>
      <c r="E104" s="2853">
        <v>0.1</v>
      </c>
      <c r="F104" s="2853">
        <v>15</v>
      </c>
    </row>
    <row r="105" spans="1:6" ht="24">
      <c r="A105" s="2853">
        <v>31</v>
      </c>
      <c r="B105" s="3493"/>
      <c r="C105" s="2827" t="s">
        <v>2695</v>
      </c>
      <c r="D105" s="2827" t="s">
        <v>2696</v>
      </c>
      <c r="E105" s="2853">
        <v>0.1</v>
      </c>
      <c r="F105" s="2853">
        <v>15</v>
      </c>
    </row>
    <row r="106" spans="1:6" ht="24">
      <c r="A106" s="2853">
        <v>32</v>
      </c>
      <c r="B106" s="3493"/>
      <c r="C106" s="2827" t="s">
        <v>2697</v>
      </c>
      <c r="D106" s="2827" t="s">
        <v>2698</v>
      </c>
      <c r="E106" s="2853">
        <v>0.1</v>
      </c>
      <c r="F106" s="2853">
        <v>15</v>
      </c>
    </row>
    <row r="107" spans="1:6" ht="24">
      <c r="A107" s="2853">
        <v>33</v>
      </c>
      <c r="B107" s="3493"/>
      <c r="C107" s="2827" t="s">
        <v>2699</v>
      </c>
      <c r="D107" s="2827" t="s">
        <v>2700</v>
      </c>
      <c r="E107" s="2853">
        <v>0.1</v>
      </c>
      <c r="F107" s="2853">
        <v>15</v>
      </c>
    </row>
    <row r="108" spans="1:6" ht="24">
      <c r="A108" s="2853">
        <v>34</v>
      </c>
      <c r="B108" s="3499"/>
      <c r="C108" s="2827" t="s">
        <v>2701</v>
      </c>
      <c r="D108" s="2827" t="s">
        <v>2702</v>
      </c>
      <c r="E108" s="2853">
        <v>0.1</v>
      </c>
      <c r="F108" s="2853">
        <v>15</v>
      </c>
    </row>
    <row r="109" spans="1:6" ht="24">
      <c r="A109" s="2853">
        <v>35</v>
      </c>
      <c r="B109" s="3494" t="s">
        <v>2703</v>
      </c>
      <c r="C109" s="2853" t="s">
        <v>2704</v>
      </c>
      <c r="D109" s="2827" t="s">
        <v>2705</v>
      </c>
      <c r="E109" s="2853">
        <v>0.15</v>
      </c>
      <c r="F109" s="2853">
        <v>20</v>
      </c>
    </row>
    <row r="110" spans="1:6" ht="13.5">
      <c r="A110" s="2853">
        <v>36</v>
      </c>
      <c r="B110" s="3493"/>
      <c r="C110" s="2853" t="s">
        <v>2706</v>
      </c>
      <c r="D110" s="2827" t="s">
        <v>2707</v>
      </c>
      <c r="E110" s="2853">
        <v>0.15</v>
      </c>
      <c r="F110" s="2853">
        <v>20</v>
      </c>
    </row>
    <row r="111" spans="1:6" ht="13.5">
      <c r="A111" s="2853">
        <v>37</v>
      </c>
      <c r="B111" s="3493"/>
      <c r="C111" s="2853" t="s">
        <v>2708</v>
      </c>
      <c r="D111" s="2827" t="s">
        <v>2709</v>
      </c>
      <c r="E111" s="2853">
        <v>0.15</v>
      </c>
      <c r="F111" s="2853">
        <v>20</v>
      </c>
    </row>
    <row r="112" spans="1:6" ht="13.5">
      <c r="A112" s="2853">
        <v>38</v>
      </c>
      <c r="B112" s="3493"/>
      <c r="C112" s="2853" t="s">
        <v>2710</v>
      </c>
      <c r="D112" s="2827" t="s">
        <v>2711</v>
      </c>
      <c r="E112" s="2853">
        <v>0.1</v>
      </c>
      <c r="F112" s="2853">
        <v>15</v>
      </c>
    </row>
    <row r="113" spans="1:6" ht="24">
      <c r="A113" s="2853">
        <v>39</v>
      </c>
      <c r="B113" s="3493"/>
      <c r="C113" s="2853" t="s">
        <v>2712</v>
      </c>
      <c r="D113" s="2827" t="s">
        <v>2713</v>
      </c>
      <c r="E113" s="2853">
        <v>0.1</v>
      </c>
      <c r="F113" s="2853">
        <v>15</v>
      </c>
    </row>
    <row r="114" spans="1:6" ht="24">
      <c r="A114" s="2853">
        <v>40</v>
      </c>
      <c r="B114" s="3499"/>
      <c r="C114" s="2853" t="s">
        <v>2714</v>
      </c>
      <c r="D114" s="2827" t="s">
        <v>2715</v>
      </c>
      <c r="E114" s="2853">
        <v>0.1</v>
      </c>
      <c r="F114" s="2853">
        <v>15</v>
      </c>
    </row>
    <row r="115" spans="1:6" ht="13.5">
      <c r="A115" s="2853">
        <v>41</v>
      </c>
      <c r="B115" s="3487" t="s">
        <v>2716</v>
      </c>
      <c r="C115" s="2853" t="s">
        <v>2717</v>
      </c>
      <c r="D115" s="2827" t="s">
        <v>2718</v>
      </c>
      <c r="E115" s="2853">
        <v>0.1</v>
      </c>
      <c r="F115" s="2853">
        <v>15</v>
      </c>
    </row>
    <row r="116" spans="1:6" ht="13.5">
      <c r="A116" s="2853">
        <v>42</v>
      </c>
      <c r="B116" s="3487"/>
      <c r="C116" s="2853" t="s">
        <v>2719</v>
      </c>
      <c r="D116" s="2827" t="s">
        <v>2720</v>
      </c>
      <c r="E116" s="2853">
        <v>0.1</v>
      </c>
      <c r="F116" s="2853">
        <v>15</v>
      </c>
    </row>
    <row r="117" spans="1:6" ht="24">
      <c r="A117" s="2853">
        <v>43</v>
      </c>
      <c r="B117" s="3487"/>
      <c r="C117" s="2853" t="s">
        <v>2721</v>
      </c>
      <c r="D117" s="2827" t="s">
        <v>2722</v>
      </c>
      <c r="E117" s="2853">
        <v>0.1</v>
      </c>
      <c r="F117" s="2853">
        <v>15</v>
      </c>
    </row>
    <row r="118" spans="1:6" ht="13.5">
      <c r="A118" s="2853">
        <v>44</v>
      </c>
      <c r="B118" s="3494" t="s">
        <v>2723</v>
      </c>
      <c r="C118" s="2853" t="s">
        <v>2724</v>
      </c>
      <c r="D118" s="2827" t="s">
        <v>2725</v>
      </c>
      <c r="E118" s="2853">
        <v>0.1</v>
      </c>
      <c r="F118" s="2853">
        <v>15</v>
      </c>
    </row>
    <row r="119" spans="1:6" ht="24">
      <c r="A119" s="2853">
        <v>45</v>
      </c>
      <c r="B119" s="3499"/>
      <c r="C119" s="2827" t="s">
        <v>2726</v>
      </c>
      <c r="D119" s="2827" t="s">
        <v>2727</v>
      </c>
      <c r="E119" s="2853">
        <v>0.1</v>
      </c>
      <c r="F119" s="2853">
        <v>15</v>
      </c>
    </row>
    <row r="120" spans="1:6" ht="24">
      <c r="A120" s="2853">
        <v>46</v>
      </c>
      <c r="B120" s="3494" t="s">
        <v>2728</v>
      </c>
      <c r="C120" s="2853" t="s">
        <v>2729</v>
      </c>
      <c r="D120" s="2827" t="s">
        <v>2730</v>
      </c>
      <c r="E120" s="2853">
        <v>0.1</v>
      </c>
      <c r="F120" s="2853">
        <v>15</v>
      </c>
    </row>
    <row r="121" spans="1:6" ht="24">
      <c r="A121" s="2853">
        <v>47</v>
      </c>
      <c r="B121" s="3499"/>
      <c r="C121" s="2853" t="s">
        <v>2731</v>
      </c>
      <c r="D121" s="2827" t="s">
        <v>2732</v>
      </c>
      <c r="E121" s="2853">
        <v>0.1</v>
      </c>
      <c r="F121" s="2853">
        <v>15</v>
      </c>
    </row>
    <row r="122" spans="1:6" ht="13.5">
      <c r="A122" s="2853">
        <v>48</v>
      </c>
      <c r="B122" s="3494" t="s">
        <v>2733</v>
      </c>
      <c r="C122" s="2853" t="s">
        <v>2734</v>
      </c>
      <c r="D122" s="2827" t="s">
        <v>2735</v>
      </c>
      <c r="E122" s="2853">
        <v>0.1</v>
      </c>
      <c r="F122" s="2853">
        <v>15</v>
      </c>
    </row>
    <row r="123" spans="1:6" ht="13.5">
      <c r="A123" s="2853">
        <v>49</v>
      </c>
      <c r="B123" s="3499"/>
      <c r="C123" s="2853" t="s">
        <v>2736</v>
      </c>
      <c r="D123" s="2827" t="s">
        <v>2737</v>
      </c>
      <c r="E123" s="2853">
        <v>0.1</v>
      </c>
      <c r="F123" s="2853">
        <v>15</v>
      </c>
    </row>
    <row r="124" spans="1:6" ht="24">
      <c r="A124" s="2853">
        <v>50</v>
      </c>
      <c r="B124" s="3487" t="s">
        <v>2738</v>
      </c>
      <c r="C124" s="2853" t="s">
        <v>2739</v>
      </c>
      <c r="D124" s="2827" t="s">
        <v>2740</v>
      </c>
      <c r="E124" s="2853">
        <v>0.1</v>
      </c>
      <c r="F124" s="2853">
        <v>15</v>
      </c>
    </row>
    <row r="125" spans="1:6" ht="24">
      <c r="A125" s="2853">
        <v>51</v>
      </c>
      <c r="B125" s="3487"/>
      <c r="C125" s="2853" t="s">
        <v>2741</v>
      </c>
      <c r="D125" s="2827" t="s">
        <v>2742</v>
      </c>
      <c r="E125" s="2853">
        <v>0.1</v>
      </c>
      <c r="F125" s="2853">
        <v>15</v>
      </c>
    </row>
    <row r="126" spans="1:6" ht="24">
      <c r="A126" s="2853">
        <v>52</v>
      </c>
      <c r="B126" s="3487" t="s">
        <v>2743</v>
      </c>
      <c r="C126" s="2853" t="s">
        <v>2744</v>
      </c>
      <c r="D126" s="2827" t="s">
        <v>2745</v>
      </c>
      <c r="E126" s="2853">
        <v>0.1</v>
      </c>
      <c r="F126" s="2853">
        <v>15</v>
      </c>
    </row>
    <row r="127" spans="1:6" ht="24">
      <c r="A127" s="2853">
        <v>53</v>
      </c>
      <c r="B127" s="3487"/>
      <c r="C127" s="2853" t="s">
        <v>2746</v>
      </c>
      <c r="D127" s="2827" t="s">
        <v>2747</v>
      </c>
      <c r="E127" s="2853">
        <v>0.1</v>
      </c>
      <c r="F127" s="2853">
        <v>15</v>
      </c>
    </row>
    <row r="128" spans="1:6" ht="13.5">
      <c r="A128" s="2853">
        <v>54</v>
      </c>
      <c r="B128" s="2853" t="s">
        <v>2748</v>
      </c>
      <c r="C128" s="2853" t="s">
        <v>2749</v>
      </c>
      <c r="D128" s="2827" t="s">
        <v>2750</v>
      </c>
      <c r="E128" s="2853">
        <v>0.1</v>
      </c>
      <c r="F128" s="2853">
        <v>15</v>
      </c>
    </row>
    <row r="129" spans="1:6" ht="13.5">
      <c r="A129" s="2853">
        <v>55</v>
      </c>
      <c r="B129" s="3487" t="s">
        <v>2751</v>
      </c>
      <c r="C129" s="2853" t="s">
        <v>2752</v>
      </c>
      <c r="D129" s="2827" t="s">
        <v>2753</v>
      </c>
      <c r="E129" s="2853">
        <v>0.1</v>
      </c>
      <c r="F129" s="2853">
        <v>15</v>
      </c>
    </row>
    <row r="130" spans="1:6" ht="13.5">
      <c r="A130" s="2853">
        <v>56</v>
      </c>
      <c r="B130" s="3487"/>
      <c r="C130" s="2853" t="s">
        <v>2754</v>
      </c>
      <c r="D130" s="2827" t="s">
        <v>2755</v>
      </c>
      <c r="E130" s="2853">
        <v>0.1</v>
      </c>
      <c r="F130" s="2853">
        <v>15</v>
      </c>
    </row>
    <row r="131" spans="1:6" ht="24">
      <c r="A131" s="2853">
        <v>57</v>
      </c>
      <c r="B131" s="3487"/>
      <c r="C131" s="2853" t="s">
        <v>2756</v>
      </c>
      <c r="D131" s="2827" t="s">
        <v>2757</v>
      </c>
      <c r="E131" s="2853">
        <v>0.1</v>
      </c>
      <c r="F131" s="2853">
        <v>15</v>
      </c>
    </row>
    <row r="132" spans="1:6" ht="24">
      <c r="A132" s="2853">
        <v>58</v>
      </c>
      <c r="B132" s="3487" t="s">
        <v>2758</v>
      </c>
      <c r="C132" s="2853" t="s">
        <v>2759</v>
      </c>
      <c r="D132" s="2827" t="s">
        <v>2760</v>
      </c>
      <c r="E132" s="2853">
        <v>0.1</v>
      </c>
      <c r="F132" s="2853">
        <v>15</v>
      </c>
    </row>
    <row r="133" spans="1:6" ht="13.5">
      <c r="A133" s="2853">
        <v>59</v>
      </c>
      <c r="B133" s="3487"/>
      <c r="C133" s="2853" t="s">
        <v>2761</v>
      </c>
      <c r="D133" s="2827" t="s">
        <v>2762</v>
      </c>
      <c r="E133" s="2853">
        <v>0.1</v>
      </c>
      <c r="F133" s="2853">
        <v>15</v>
      </c>
    </row>
    <row r="134" spans="1:6" ht="13.5">
      <c r="A134" s="2853">
        <v>60</v>
      </c>
      <c r="B134" s="3494" t="s">
        <v>2763</v>
      </c>
      <c r="C134" s="2853" t="s">
        <v>2764</v>
      </c>
      <c r="D134" s="2827" t="s">
        <v>2765</v>
      </c>
      <c r="E134" s="2853">
        <v>0.1</v>
      </c>
      <c r="F134" s="2853">
        <v>15</v>
      </c>
    </row>
    <row r="135" spans="1:6" ht="13.5">
      <c r="A135" s="2853">
        <v>61</v>
      </c>
      <c r="B135" s="3499"/>
      <c r="C135" s="2853" t="s">
        <v>2766</v>
      </c>
      <c r="D135" s="2827" t="s">
        <v>2767</v>
      </c>
      <c r="E135" s="2853">
        <v>0.1</v>
      </c>
      <c r="F135" s="2853">
        <v>15</v>
      </c>
    </row>
    <row r="136" spans="1:6" ht="24">
      <c r="A136" s="2853">
        <v>62</v>
      </c>
      <c r="B136" s="2853" t="s">
        <v>2768</v>
      </c>
      <c r="C136" s="2853" t="s">
        <v>2769</v>
      </c>
      <c r="D136" s="2827" t="s">
        <v>2770</v>
      </c>
      <c r="E136" s="2853">
        <v>0.1</v>
      </c>
      <c r="F136" s="2853">
        <v>15</v>
      </c>
    </row>
    <row r="137" spans="1:6" ht="13.5">
      <c r="A137" s="2853">
        <v>63</v>
      </c>
      <c r="B137" s="3487" t="s">
        <v>2771</v>
      </c>
      <c r="C137" s="2853" t="s">
        <v>2772</v>
      </c>
      <c r="D137" s="2827" t="s">
        <v>2773</v>
      </c>
      <c r="E137" s="2853">
        <v>0.1</v>
      </c>
      <c r="F137" s="2853">
        <v>15</v>
      </c>
    </row>
    <row r="138" spans="1:6" ht="13.5">
      <c r="A138" s="2853">
        <v>64</v>
      </c>
      <c r="B138" s="3487"/>
      <c r="C138" s="2853" t="s">
        <v>2774</v>
      </c>
      <c r="D138" s="2827" t="s">
        <v>2775</v>
      </c>
      <c r="E138" s="2853">
        <v>0.1</v>
      </c>
      <c r="F138" s="2853">
        <v>15</v>
      </c>
    </row>
    <row r="139" spans="1:6" ht="13.5">
      <c r="A139" s="2853">
        <v>65</v>
      </c>
      <c r="B139" s="2853" t="s">
        <v>2776</v>
      </c>
      <c r="C139" s="2853" t="s">
        <v>2777</v>
      </c>
      <c r="D139" s="2827" t="s">
        <v>2778</v>
      </c>
      <c r="E139" s="2853">
        <v>0.1</v>
      </c>
      <c r="F139" s="2853">
        <v>15</v>
      </c>
    </row>
    <row r="140" spans="1:6" ht="13.5">
      <c r="A140" s="2853"/>
      <c r="B140" s="2853"/>
      <c r="C140" s="2853"/>
      <c r="D140" s="2853"/>
      <c r="E140" s="2853" t="s">
        <v>2779</v>
      </c>
      <c r="F140" s="2853" t="s">
        <v>2779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2780</v>
      </c>
      <c r="B1" s="2861"/>
      <c r="C1" s="2861"/>
      <c r="D1" s="2861"/>
      <c r="E1" s="2861"/>
      <c r="F1" s="2861"/>
      <c r="G1" s="2861"/>
      <c r="H1" s="2861"/>
      <c r="I1" s="2861"/>
      <c r="J1" s="2861"/>
      <c r="K1" s="2861"/>
      <c r="L1" s="2861"/>
      <c r="M1" s="2861"/>
      <c r="N1" s="704"/>
    </row>
    <row r="2" spans="1:20">
      <c r="A2" s="2862" t="s">
        <v>2781</v>
      </c>
      <c r="B2" s="2863" t="s">
        <v>2577</v>
      </c>
      <c r="C2" s="2863" t="s">
        <v>2578</v>
      </c>
      <c r="D2" s="2863" t="s">
        <v>2579</v>
      </c>
      <c r="E2" s="2863" t="s">
        <v>2580</v>
      </c>
      <c r="F2" s="2863" t="s">
        <v>2581</v>
      </c>
      <c r="G2" s="2863" t="s">
        <v>2582</v>
      </c>
      <c r="H2" s="2864" t="s">
        <v>2583</v>
      </c>
      <c r="I2" s="2864" t="s">
        <v>2584</v>
      </c>
      <c r="J2" s="2865" t="s">
        <v>2585</v>
      </c>
      <c r="K2" s="2865" t="s">
        <v>2586</v>
      </c>
      <c r="L2" s="2865" t="s">
        <v>2587</v>
      </c>
      <c r="M2" s="2866" t="s">
        <v>2588</v>
      </c>
      <c r="Q2" s="2876" t="s">
        <v>2786</v>
      </c>
      <c r="R2" s="2876" t="s">
        <v>2787</v>
      </c>
      <c r="S2" s="2876" t="s">
        <v>2788</v>
      </c>
      <c r="T2" s="2876" t="s">
        <v>2789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2782</v>
      </c>
      <c r="B93" s="2861"/>
      <c r="C93" s="2861"/>
      <c r="D93" s="2861"/>
      <c r="E93" s="2861"/>
      <c r="F93" s="2861"/>
      <c r="G93" s="2861"/>
      <c r="H93" s="2861"/>
      <c r="I93" s="2861"/>
      <c r="J93" s="2861"/>
      <c r="K93" s="2861"/>
      <c r="L93" s="2861"/>
      <c r="M93" s="2861"/>
    </row>
    <row r="94" spans="1:20">
      <c r="A94" s="2862" t="s">
        <v>2781</v>
      </c>
      <c r="B94" s="2863" t="s">
        <v>2577</v>
      </c>
      <c r="C94" s="2863" t="s">
        <v>2578</v>
      </c>
      <c r="D94" s="2863" t="s">
        <v>2579</v>
      </c>
      <c r="E94" s="2863" t="s">
        <v>2580</v>
      </c>
      <c r="F94" s="2863" t="s">
        <v>2581</v>
      </c>
      <c r="G94" s="2863" t="s">
        <v>2582</v>
      </c>
      <c r="H94" s="2864" t="s">
        <v>2583</v>
      </c>
      <c r="I94" s="2864" t="s">
        <v>2584</v>
      </c>
      <c r="J94" s="2865" t="s">
        <v>2585</v>
      </c>
      <c r="K94" s="2865" t="s">
        <v>2586</v>
      </c>
      <c r="L94" s="2865" t="s">
        <v>2587</v>
      </c>
      <c r="M94" s="2866" t="s">
        <v>2588</v>
      </c>
      <c r="N94">
        <f>SUMPRODUCT((A95:A184=ROUNDDOWN(基准地价修正!G3,1))*(B94:M94=基准地价修正!G2)*(B95:M184))</f>
        <v>1</v>
      </c>
      <c r="Q94" s="2876" t="s">
        <v>2786</v>
      </c>
      <c r="R94" s="2876" t="s">
        <v>2787</v>
      </c>
      <c r="S94" s="2876" t="s">
        <v>2788</v>
      </c>
      <c r="T94" s="2876" t="s">
        <v>2789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2783</v>
      </c>
      <c r="B185" s="2861"/>
      <c r="C185" s="2861"/>
      <c r="D185" s="2861"/>
      <c r="E185" s="2861"/>
      <c r="F185" s="2861"/>
      <c r="G185" s="2861"/>
      <c r="H185" s="2861"/>
      <c r="I185" s="2861"/>
      <c r="J185" s="2861"/>
      <c r="K185" s="2861"/>
      <c r="L185" s="2861"/>
      <c r="M185" s="2861"/>
    </row>
    <row r="186" spans="1:20">
      <c r="A186" s="2862" t="s">
        <v>2781</v>
      </c>
      <c r="B186" s="2863" t="s">
        <v>2577</v>
      </c>
      <c r="C186" s="2863" t="s">
        <v>2578</v>
      </c>
      <c r="D186" s="2863" t="s">
        <v>2579</v>
      </c>
      <c r="E186" s="2863" t="s">
        <v>2580</v>
      </c>
      <c r="F186" s="2863" t="s">
        <v>2581</v>
      </c>
      <c r="G186" s="2863" t="s">
        <v>2582</v>
      </c>
      <c r="H186" s="2864" t="s">
        <v>2583</v>
      </c>
      <c r="I186" s="2864" t="s">
        <v>2584</v>
      </c>
      <c r="J186" s="2865" t="s">
        <v>2585</v>
      </c>
      <c r="K186" s="2865" t="s">
        <v>2586</v>
      </c>
      <c r="L186" s="2865" t="s">
        <v>2587</v>
      </c>
      <c r="M186" s="2866" t="s">
        <v>2588</v>
      </c>
      <c r="Q186" s="2876" t="s">
        <v>2786</v>
      </c>
      <c r="R186" s="2876" t="s">
        <v>2787</v>
      </c>
      <c r="S186" s="2876" t="s">
        <v>2788</v>
      </c>
      <c r="T186" s="2876" t="s">
        <v>2789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2784</v>
      </c>
      <c r="B277" s="2861"/>
      <c r="C277" s="2861"/>
      <c r="D277" s="2861"/>
      <c r="E277" s="2861"/>
      <c r="F277" s="2861"/>
      <c r="G277" s="2861"/>
      <c r="H277" s="2861"/>
      <c r="I277" s="2861"/>
      <c r="J277" s="2861"/>
      <c r="K277" s="2861"/>
      <c r="L277" s="2861"/>
      <c r="M277" s="2861"/>
    </row>
    <row r="278" spans="1:21">
      <c r="A278" s="2862" t="s">
        <v>2781</v>
      </c>
      <c r="B278" s="2863" t="s">
        <v>2577</v>
      </c>
      <c r="C278" s="2863" t="s">
        <v>2578</v>
      </c>
      <c r="D278" s="2863" t="s">
        <v>2579</v>
      </c>
      <c r="E278" s="2863" t="s">
        <v>2580</v>
      </c>
      <c r="F278" s="2863" t="s">
        <v>2581</v>
      </c>
      <c r="G278" s="2863" t="s">
        <v>2582</v>
      </c>
      <c r="H278" s="2864" t="s">
        <v>2583</v>
      </c>
      <c r="I278" s="2864" t="s">
        <v>2584</v>
      </c>
      <c r="J278" s="2865" t="s">
        <v>2585</v>
      </c>
      <c r="K278" s="2865" t="s">
        <v>2586</v>
      </c>
      <c r="L278" s="2865" t="s">
        <v>2587</v>
      </c>
      <c r="M278" s="2866" t="s">
        <v>2588</v>
      </c>
      <c r="Q278" s="2876" t="s">
        <v>2786</v>
      </c>
      <c r="R278" s="2876" t="s">
        <v>2787</v>
      </c>
      <c r="S278" s="2876" t="s">
        <v>2790</v>
      </c>
      <c r="T278" s="2876" t="s">
        <v>2791</v>
      </c>
      <c r="U278" s="2876" t="s">
        <v>2789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2785</v>
      </c>
      <c r="B369" s="2874"/>
      <c r="C369" s="2874"/>
      <c r="D369" s="2874"/>
      <c r="E369" s="2874"/>
      <c r="F369" s="2874"/>
      <c r="G369" s="2874"/>
      <c r="H369" s="2874"/>
      <c r="I369" s="2874"/>
      <c r="J369" s="2874"/>
      <c r="K369" s="2874"/>
      <c r="L369" s="2874"/>
      <c r="M369" s="2874"/>
    </row>
    <row r="370" spans="1:20">
      <c r="A370" s="2862" t="s">
        <v>2781</v>
      </c>
      <c r="B370" s="2863" t="s">
        <v>2577</v>
      </c>
      <c r="C370" s="2863" t="s">
        <v>2578</v>
      </c>
      <c r="D370" s="2863" t="s">
        <v>2579</v>
      </c>
      <c r="E370" s="2863" t="s">
        <v>2580</v>
      </c>
      <c r="F370" s="2863" t="s">
        <v>2581</v>
      </c>
      <c r="G370" s="2863" t="s">
        <v>2582</v>
      </c>
      <c r="H370" s="2864" t="s">
        <v>2583</v>
      </c>
      <c r="I370" s="2864" t="s">
        <v>2584</v>
      </c>
      <c r="J370" s="2865" t="s">
        <v>2585</v>
      </c>
      <c r="K370" s="2865" t="s">
        <v>2586</v>
      </c>
      <c r="L370" s="2865" t="s">
        <v>2587</v>
      </c>
      <c r="M370" s="2866" t="s">
        <v>2588</v>
      </c>
      <c r="N370">
        <f>SUMPRODUCT((A371:A460=ROUNDDOWN(基准地价修正!G3,1))*(B370:M370=基准地价修正!G2)*(B371:M460))</f>
        <v>0.94710000000000005</v>
      </c>
      <c r="Q370" s="2876" t="s">
        <v>2786</v>
      </c>
      <c r="R370" s="2876" t="s">
        <v>2787</v>
      </c>
      <c r="S370" s="2876" t="s">
        <v>2788</v>
      </c>
      <c r="T370" s="2876" t="s">
        <v>2789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29806</v>
      </c>
      <c r="C2" s="2" t="s">
        <v>106</v>
      </c>
      <c r="D2" s="191"/>
      <c r="E2" s="191"/>
      <c r="F2" s="191"/>
      <c r="G2" s="191"/>
    </row>
    <row r="3" spans="1:7" s="192" customFormat="1" ht="18" customHeight="1" thickBot="1">
      <c r="A3" s="195" t="s">
        <v>58</v>
      </c>
      <c r="B3" s="196">
        <f ca="1">ROUND(B2*10000/'数据-汇总表'!E3,0)</f>
        <v>136811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44</v>
      </c>
      <c r="D10" s="792">
        <f>'数据-汇总表'!E6</f>
        <v>2178.63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44</v>
      </c>
      <c r="D19" s="204">
        <f>'数据-汇总表'!E3</f>
        <v>2178.63</v>
      </c>
      <c r="E19" s="203">
        <f>'数据-取费表'!B31</f>
        <v>200</v>
      </c>
      <c r="F19" s="223"/>
      <c r="G19" s="1" t="s">
        <v>436</v>
      </c>
    </row>
    <row r="20" spans="1:7" s="206" customFormat="1" ht="13.5" customHeight="1">
      <c r="A20" s="728" t="s">
        <v>419</v>
      </c>
      <c r="B20" s="202" t="s">
        <v>77</v>
      </c>
      <c r="C20" s="224">
        <f>ROUND((C5+C19)*F20,0)</f>
        <v>413</v>
      </c>
      <c r="D20" s="224"/>
      <c r="E20" s="224"/>
      <c r="F20" s="225">
        <f>'数据-取费表'!B37</f>
        <v>0.02</v>
      </c>
      <c r="G20" s="1000"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7">
        <f ca="1">ROUND(SUM(C23:C25),0)</f>
        <v>1326</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1" t="s">
        <v>349</v>
      </c>
      <c r="B23" s="207" t="s">
        <v>423</v>
      </c>
      <c r="C23" s="1038">
        <f ca="1">ROUND(IF('数据-取费表'!B22&lt;=1,C5*F22*'数据-取费表'!B23,C5*(POWER((1+F22),'数据-取费表'!B23)-1)),0)</f>
        <v>1310</v>
      </c>
      <c r="D23" s="230"/>
      <c r="E23" s="230"/>
      <c r="F23" s="231"/>
      <c r="G23" s="232" t="s">
        <v>81</v>
      </c>
    </row>
    <row r="24" spans="1:7" s="206" customFormat="1" ht="13.5" customHeight="1">
      <c r="A24" s="731" t="s">
        <v>347</v>
      </c>
      <c r="B24" s="207" t="s">
        <v>418</v>
      </c>
      <c r="C24" s="1038">
        <f ca="1">ROUND(IF('数据-取费表'!B22&lt;=1,C19*F22*('数据-取费表'!B19/2+'数据-取费表'!B21),C19*(POWER((1+F22),('数据-取费表'!B19/2+'数据-取费表'!B21))-1)),0)</f>
        <v>3</v>
      </c>
      <c r="D24" s="230"/>
      <c r="E24" s="230"/>
      <c r="F24" s="231"/>
      <c r="G24" s="232" t="s">
        <v>82</v>
      </c>
    </row>
    <row r="25" spans="1:7" s="206" customFormat="1" ht="24">
      <c r="A25" s="731" t="s">
        <v>348</v>
      </c>
      <c r="B25" s="207" t="s">
        <v>420</v>
      </c>
      <c r="C25" s="1038">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4.75">
      <c r="A27" s="728" t="s">
        <v>342</v>
      </c>
      <c r="B27" s="236" t="s">
        <v>85</v>
      </c>
      <c r="C27" s="237">
        <f>C28</f>
        <v>4003</v>
      </c>
      <c r="D27" s="227">
        <f>C29</f>
        <v>3.8E-3</v>
      </c>
      <c r="E27" s="228" t="s">
        <v>99</v>
      </c>
      <c r="F27" s="238">
        <f>'数据-取费表'!Q16</f>
        <v>0.19</v>
      </c>
      <c r="G27" s="239" t="s">
        <v>431</v>
      </c>
    </row>
    <row r="28" spans="1:7" s="206" customFormat="1" ht="13.5" customHeight="1">
      <c r="A28" s="731" t="s">
        <v>349</v>
      </c>
      <c r="B28" s="240" t="s">
        <v>424</v>
      </c>
      <c r="C28" s="241">
        <f>ROUND((C5+C19+C20)*F27*'数据-取费表'!B21/'数据-取费表'!B20,0)</f>
        <v>4003</v>
      </c>
      <c r="D28" s="227"/>
      <c r="E28" s="228"/>
      <c r="F28" s="238"/>
      <c r="G28" s="239"/>
    </row>
    <row r="29" spans="1:7" s="206" customFormat="1" ht="13.5" customHeight="1">
      <c r="A29" s="731" t="s">
        <v>347</v>
      </c>
      <c r="B29" s="240" t="s">
        <v>425</v>
      </c>
      <c r="C29" s="230">
        <f>ROUND(C21*F27*'数据-取费表'!B21/'数据-取费表'!B20,4)</f>
        <v>3.8E-3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1082</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970</v>
      </c>
      <c r="D34" s="209"/>
      <c r="E34" s="212"/>
      <c r="F34" s="249">
        <f>IF('数据-取费表'!B24=0,1,'数据-取费表'!N16)</f>
        <v>1</v>
      </c>
      <c r="G34" s="211" t="s">
        <v>89</v>
      </c>
    </row>
    <row r="35" spans="1:7" ht="13.5" customHeight="1">
      <c r="A35" s="731" t="s">
        <v>351</v>
      </c>
      <c r="B35" s="207" t="s">
        <v>33</v>
      </c>
      <c r="C35" s="212">
        <f>ROUND(C34*F35,0)</f>
        <v>49</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44</v>
      </c>
      <c r="D37" s="209">
        <f>'数据-汇总表'!E3</f>
        <v>2178.63</v>
      </c>
      <c r="E37" s="241">
        <f>'数据-取费表'!B35</f>
        <v>200</v>
      </c>
      <c r="F37" s="251"/>
      <c r="G37" s="253" t="s">
        <v>92</v>
      </c>
    </row>
    <row r="38" spans="1:7" ht="13.5" customHeight="1">
      <c r="A38" s="731" t="s">
        <v>354</v>
      </c>
      <c r="B38" s="207" t="s">
        <v>36</v>
      </c>
      <c r="C38" s="212">
        <f>ROUND(C34*F38,0)</f>
        <v>19</v>
      </c>
      <c r="D38" s="212"/>
      <c r="E38" s="212"/>
      <c r="F38" s="251">
        <f>'数据-取费表'!B36</f>
        <v>0.02</v>
      </c>
      <c r="G38" s="211" t="s">
        <v>90</v>
      </c>
    </row>
    <row r="39" spans="1:7" s="206" customFormat="1" ht="13.5" customHeight="1">
      <c r="A39" s="728" t="s">
        <v>338</v>
      </c>
      <c r="B39" s="202" t="s">
        <v>77</v>
      </c>
      <c r="C39" s="224">
        <f>ROUND(C33*F20,0)</f>
        <v>22</v>
      </c>
      <c r="D39" s="224"/>
      <c r="E39" s="224"/>
      <c r="F39" s="225"/>
      <c r="G39" s="1000"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35</v>
      </c>
      <c r="D41" s="227">
        <f ca="1">C44</f>
        <v>5.9999999999999995E-4</v>
      </c>
      <c r="E41" s="228" t="s">
        <v>102</v>
      </c>
      <c r="F41" s="229"/>
      <c r="G41" s="1000" t="str">
        <f>IF('数据-取费表'!B22&lt;=1,"单利计息","复利计息")</f>
        <v>复利计息</v>
      </c>
    </row>
    <row r="42" spans="1:7" ht="13.5" customHeight="1">
      <c r="A42" s="731" t="s">
        <v>349</v>
      </c>
      <c r="B42" s="207" t="s">
        <v>423</v>
      </c>
      <c r="C42" s="230">
        <f ca="1">ROUND(IF('数据-取费表'!B22&lt;=1,C33*F22*'数据-取费表'!B21/2,C33*(POWER((1+F22),'数据-取费表'!B21/2)-1)),0)</f>
        <v>34</v>
      </c>
      <c r="D42" s="230"/>
      <c r="E42" s="230"/>
      <c r="F42" s="231"/>
      <c r="G42" s="3267" t="s">
        <v>94</v>
      </c>
    </row>
    <row r="43" spans="1:7" ht="13.5" customHeight="1">
      <c r="A43" s="731" t="s">
        <v>347</v>
      </c>
      <c r="B43" s="207" t="s">
        <v>426</v>
      </c>
      <c r="C43" s="230">
        <f ca="1">ROUND(IF('数据-取费表'!B22&lt;=1,C39*F22*'数据-取费表'!B21/2,C39*(POWER((1+F22),'数据-取费表'!B21/2)-1)),0)</f>
        <v>1</v>
      </c>
      <c r="D43" s="230"/>
      <c r="E43" s="230"/>
      <c r="F43" s="231"/>
      <c r="G43" s="3268"/>
    </row>
    <row r="44" spans="1:7" ht="13.5" customHeight="1">
      <c r="A44" s="731" t="s">
        <v>348</v>
      </c>
      <c r="B44" s="207" t="s">
        <v>428</v>
      </c>
      <c r="C44" s="230">
        <f ca="1">ROUND(IF('数据-取费表'!B22&lt;=1,C40*F22*'数据-取费表'!B21/2,C40*(POWER((1+F22),'数据-取费表'!B21/2)-1)),4)</f>
        <v>5.9999999999999995E-4</v>
      </c>
      <c r="D44" s="230"/>
      <c r="E44" s="230"/>
      <c r="F44" s="231"/>
      <c r="G44" s="3269"/>
    </row>
    <row r="45" spans="1:7" s="206" customFormat="1" ht="13.5" customHeight="1">
      <c r="A45" s="728" t="s">
        <v>341</v>
      </c>
      <c r="B45" s="236" t="s">
        <v>85</v>
      </c>
      <c r="C45" s="237">
        <f>C46</f>
        <v>210</v>
      </c>
      <c r="D45" s="227">
        <f>C47</f>
        <v>3.8E-3</v>
      </c>
      <c r="E45" s="228" t="s">
        <v>102</v>
      </c>
      <c r="F45" s="238"/>
      <c r="G45" s="239" t="s">
        <v>434</v>
      </c>
    </row>
    <row r="46" spans="1:7" s="206" customFormat="1" ht="13.5" customHeight="1">
      <c r="A46" s="731" t="s">
        <v>349</v>
      </c>
      <c r="B46" s="240" t="s">
        <v>427</v>
      </c>
      <c r="C46" s="241">
        <f>ROUND((C33+C39)*F27,0)</f>
        <v>210</v>
      </c>
      <c r="D46" s="255"/>
      <c r="E46" s="228"/>
      <c r="F46" s="238"/>
      <c r="G46" s="239"/>
    </row>
    <row r="47" spans="1:7" s="206" customFormat="1" ht="13.5" customHeight="1">
      <c r="A47" s="731" t="s">
        <v>347</v>
      </c>
      <c r="B47" s="240" t="s">
        <v>429</v>
      </c>
      <c r="C47" s="230">
        <f>ROUND(C40*F27,4)</f>
        <v>3.8E-3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1463</v>
      </c>
      <c r="D49" s="224"/>
      <c r="E49" s="224"/>
      <c r="F49" s="256"/>
      <c r="G49" s="226" t="s">
        <v>435</v>
      </c>
    </row>
    <row r="50" spans="1:7" s="250" customFormat="1" ht="24">
      <c r="A50" s="728" t="s">
        <v>344</v>
      </c>
      <c r="B50" s="202" t="s">
        <v>97</v>
      </c>
      <c r="C50" s="224"/>
      <c r="D50" s="224"/>
      <c r="E50" s="224"/>
      <c r="F50" s="256">
        <f>IF('数据-取费表'!B24=0,'数据-取费表'!N16,1)</f>
        <v>0.81</v>
      </c>
      <c r="G50" s="239" t="s">
        <v>98</v>
      </c>
    </row>
    <row r="51" spans="1:7" ht="16.5" customHeight="1">
      <c r="A51" s="728" t="s">
        <v>345</v>
      </c>
      <c r="B51" s="202" t="s">
        <v>105</v>
      </c>
      <c r="C51" s="224">
        <f ca="1">ROUND(C49*F50,0)</f>
        <v>1185</v>
      </c>
      <c r="D51" s="224"/>
      <c r="E51" s="224"/>
      <c r="F51" s="256"/>
      <c r="G51" s="226" t="s">
        <v>37</v>
      </c>
    </row>
    <row r="52" spans="1:7" s="200" customFormat="1" ht="16.5" thickBot="1">
      <c r="A52" s="257" t="s">
        <v>38</v>
      </c>
      <c r="B52" s="258"/>
      <c r="C52" s="259">
        <f ca="1">C31+C51</f>
        <v>29806</v>
      </c>
      <c r="D52" s="258"/>
      <c r="E52" s="258"/>
      <c r="F52" s="258"/>
      <c r="G52" s="260"/>
    </row>
    <row r="55" spans="1:7" ht="15">
      <c r="B55" s="262" t="s">
        <v>39</v>
      </c>
      <c r="C55" s="263"/>
    </row>
    <row r="56" spans="1:7">
      <c r="B56" s="265" t="s">
        <v>40</v>
      </c>
      <c r="C56" s="266">
        <f ca="1">ROUND(C51/C52,3)</f>
        <v>0.04</v>
      </c>
    </row>
    <row r="57" spans="1:7">
      <c r="B57" s="265" t="s">
        <v>41</v>
      </c>
      <c r="C57" s="267">
        <f ca="1">1-C56</f>
        <v>0.96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0" t="s">
        <v>3163</v>
      </c>
      <c r="B1" s="3500"/>
    </row>
    <row r="2" spans="1:7" ht="14.25" thickBot="1">
      <c r="A2" s="2964"/>
      <c r="B2" s="2964"/>
    </row>
    <row r="3" spans="1:7" ht="14.25" thickBot="1">
      <c r="A3" s="2964"/>
      <c r="B3" s="2964"/>
      <c r="C3" s="2965" t="s">
        <v>2793</v>
      </c>
      <c r="D3" s="2965" t="s">
        <v>2849</v>
      </c>
      <c r="E3" s="2965" t="s">
        <v>2795</v>
      </c>
      <c r="F3" s="2965" t="s">
        <v>2850</v>
      </c>
      <c r="G3" s="2965" t="s">
        <v>2613</v>
      </c>
    </row>
    <row r="4" spans="1:7" ht="14.25" thickBot="1">
      <c r="A4" s="2966" t="s">
        <v>2848</v>
      </c>
      <c r="B4" s="2967" t="s">
        <v>2854</v>
      </c>
      <c r="C4" s="2965"/>
      <c r="D4" s="2965"/>
      <c r="E4" s="2965"/>
      <c r="F4" s="2965"/>
      <c r="G4" s="2965"/>
    </row>
    <row r="5" spans="1:7">
      <c r="A5" s="2968" t="s">
        <v>2822</v>
      </c>
      <c r="B5" s="2969" t="s">
        <v>2836</v>
      </c>
      <c r="C5" s="2970">
        <v>9.8000000000000004E-2</v>
      </c>
      <c r="D5" s="2970">
        <v>8.6999999999999994E-2</v>
      </c>
      <c r="E5" s="2970">
        <v>8.6999999999999994E-2</v>
      </c>
      <c r="F5" s="2970">
        <v>9.8000000000000004E-2</v>
      </c>
      <c r="G5" s="2971">
        <v>9.5000000000000001E-2</v>
      </c>
    </row>
    <row r="6" spans="1:7">
      <c r="A6" s="2972" t="s">
        <v>144</v>
      </c>
      <c r="B6" s="2973" t="s">
        <v>2851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2837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2887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2905</v>
      </c>
      <c r="C29" s="2982"/>
      <c r="D29" s="2978">
        <v>5.1999999999999998E-2</v>
      </c>
      <c r="E29" s="2978">
        <v>7.0000000000000007E-2</v>
      </c>
      <c r="F29" s="2982"/>
      <c r="G29" s="2980">
        <v>7.0999999999999994E-2</v>
      </c>
    </row>
    <row r="30" spans="1:7">
      <c r="A30" s="2983" t="s">
        <v>296</v>
      </c>
      <c r="B30" s="2969" t="s">
        <v>2838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2824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2908</v>
      </c>
      <c r="C50" s="2974">
        <v>9.8000000000000004E-2</v>
      </c>
      <c r="D50" s="2974">
        <v>7.2999999999999995E-2</v>
      </c>
      <c r="E50" s="2974">
        <v>7.0999999999999994E-2</v>
      </c>
      <c r="F50" s="2985"/>
      <c r="G50" s="2975">
        <v>7.2999999999999995E-2</v>
      </c>
    </row>
    <row r="51" spans="1:7">
      <c r="A51" s="2984" t="s">
        <v>296</v>
      </c>
      <c r="B51" s="2973" t="s">
        <v>2910</v>
      </c>
      <c r="C51" s="2974">
        <v>9.9000000000000005E-2</v>
      </c>
      <c r="D51" s="2974">
        <v>8.5000000000000006E-2</v>
      </c>
      <c r="E51" s="2974">
        <v>6.3E-2</v>
      </c>
      <c r="F51" s="2985"/>
      <c r="G51" s="2975">
        <v>9.6000000000000002E-2</v>
      </c>
    </row>
    <row r="52" spans="1:7">
      <c r="A52" s="2984" t="s">
        <v>296</v>
      </c>
      <c r="B52" s="2973" t="s">
        <v>2914</v>
      </c>
      <c r="C52" s="2974">
        <v>7.3999999999999996E-2</v>
      </c>
      <c r="D52" s="2974">
        <v>9.6000000000000002E-2</v>
      </c>
      <c r="E52" s="2974">
        <v>0.05</v>
      </c>
      <c r="F52" s="2985"/>
      <c r="G52" s="2975">
        <v>9.8000000000000004E-2</v>
      </c>
    </row>
    <row r="53" spans="1:7">
      <c r="A53" s="2984" t="s">
        <v>296</v>
      </c>
      <c r="B53" s="2973" t="s">
        <v>2919</v>
      </c>
      <c r="C53" s="2974">
        <v>8.5999999999999993E-2</v>
      </c>
      <c r="D53" s="2985"/>
      <c r="E53" s="2974">
        <v>9.1999999999999998E-2</v>
      </c>
      <c r="F53" s="2985"/>
      <c r="G53" s="2986"/>
    </row>
    <row r="54" spans="1:7" ht="14.25" thickBot="1">
      <c r="A54" s="2987" t="s">
        <v>296</v>
      </c>
      <c r="B54" s="2977" t="s">
        <v>2922</v>
      </c>
      <c r="C54" s="2978">
        <v>9.6000000000000002E-2</v>
      </c>
      <c r="D54" s="2979"/>
      <c r="E54" s="2988"/>
      <c r="F54" s="2979"/>
      <c r="G54" s="2989"/>
    </row>
    <row r="55" spans="1:7">
      <c r="A55" s="2983" t="s">
        <v>110</v>
      </c>
      <c r="B55" s="2969" t="s">
        <v>2839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2920</v>
      </c>
      <c r="C78" s="2974">
        <v>0.1</v>
      </c>
      <c r="D78" s="2974">
        <v>8.5000000000000006E-2</v>
      </c>
      <c r="E78" s="2974">
        <v>9.6000000000000002E-2</v>
      </c>
      <c r="F78" s="2985"/>
      <c r="G78" s="2975">
        <v>9.6000000000000002E-2</v>
      </c>
    </row>
    <row r="79" spans="1:7">
      <c r="A79" s="2984" t="s">
        <v>110</v>
      </c>
      <c r="B79" s="2973" t="s">
        <v>2923</v>
      </c>
      <c r="C79" s="2974">
        <v>0.05</v>
      </c>
      <c r="D79" s="2974">
        <v>9.6000000000000002E-2</v>
      </c>
      <c r="E79" s="2974">
        <v>9.5000000000000001E-2</v>
      </c>
      <c r="F79" s="2985"/>
      <c r="G79" s="2975">
        <v>9.8000000000000004E-2</v>
      </c>
    </row>
    <row r="80" spans="1:7">
      <c r="A80" s="2984" t="s">
        <v>110</v>
      </c>
      <c r="B80" s="2973" t="s">
        <v>2927</v>
      </c>
      <c r="C80" s="2974">
        <v>8.5999999999999993E-2</v>
      </c>
      <c r="D80" s="2990"/>
      <c r="E80" s="2974">
        <v>0.1</v>
      </c>
      <c r="F80" s="2985"/>
      <c r="G80" s="2986"/>
    </row>
    <row r="81" spans="1:7">
      <c r="A81" s="2984" t="s">
        <v>110</v>
      </c>
      <c r="B81" s="2973" t="s">
        <v>2932</v>
      </c>
      <c r="C81" s="2974">
        <v>9.6000000000000002E-2</v>
      </c>
      <c r="D81" s="2985"/>
      <c r="E81" s="2974">
        <v>9.8000000000000004E-2</v>
      </c>
      <c r="F81" s="2985"/>
      <c r="G81" s="2986"/>
    </row>
    <row r="82" spans="1:7">
      <c r="A82" s="2984" t="s">
        <v>110</v>
      </c>
      <c r="B82" s="2973" t="s">
        <v>2939</v>
      </c>
      <c r="C82" s="2990"/>
      <c r="D82" s="2985"/>
      <c r="E82" s="2974">
        <v>7.6999999999999999E-2</v>
      </c>
      <c r="F82" s="2985"/>
      <c r="G82" s="2986"/>
    </row>
    <row r="83" spans="1:7">
      <c r="A83" s="2984" t="s">
        <v>110</v>
      </c>
      <c r="B83" s="2973" t="s">
        <v>2945</v>
      </c>
      <c r="C83" s="2985"/>
      <c r="D83" s="2985"/>
      <c r="E83" s="2985"/>
      <c r="F83" s="2974">
        <v>0.1</v>
      </c>
      <c r="G83" s="2991"/>
    </row>
    <row r="84" spans="1:7">
      <c r="A84" s="2984" t="s">
        <v>110</v>
      </c>
      <c r="B84" s="2973" t="s">
        <v>2952</v>
      </c>
      <c r="C84" s="2985"/>
      <c r="D84" s="2985"/>
      <c r="E84" s="2985"/>
      <c r="F84" s="2974">
        <v>0.1</v>
      </c>
      <c r="G84" s="2991"/>
    </row>
    <row r="85" spans="1:7">
      <c r="A85" s="2984" t="s">
        <v>110</v>
      </c>
      <c r="B85" s="2973" t="s">
        <v>2959</v>
      </c>
      <c r="C85" s="2985"/>
      <c r="D85" s="2985"/>
      <c r="E85" s="2985"/>
      <c r="F85" s="2974">
        <v>0.1</v>
      </c>
      <c r="G85" s="2991"/>
    </row>
    <row r="86" spans="1:7" ht="14.25" thickBot="1">
      <c r="A86" s="2987" t="s">
        <v>110</v>
      </c>
      <c r="B86" s="2977" t="s">
        <v>2964</v>
      </c>
      <c r="C86" s="2978">
        <v>9.8000000000000004E-2</v>
      </c>
      <c r="D86" s="2978">
        <v>9.8000000000000004E-2</v>
      </c>
      <c r="E86" s="2978">
        <v>9.6000000000000002E-2</v>
      </c>
      <c r="F86" s="2988"/>
      <c r="G86" s="2980">
        <v>0.1</v>
      </c>
    </row>
    <row r="87" spans="1:7">
      <c r="A87" s="2983" t="s">
        <v>303</v>
      </c>
      <c r="B87" s="2969" t="s">
        <v>2840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2933</v>
      </c>
      <c r="C113" s="2974">
        <v>0.1</v>
      </c>
      <c r="D113" s="2974">
        <v>0.1</v>
      </c>
      <c r="E113" s="2985"/>
      <c r="F113" s="2985"/>
      <c r="G113" s="2975">
        <v>0.1</v>
      </c>
    </row>
    <row r="114" spans="1:7">
      <c r="A114" s="2984" t="s">
        <v>303</v>
      </c>
      <c r="B114" s="2973" t="s">
        <v>2940</v>
      </c>
      <c r="C114" s="2974">
        <v>9.7000000000000003E-2</v>
      </c>
      <c r="D114" s="2974">
        <v>9.7000000000000003E-2</v>
      </c>
      <c r="E114" s="2985"/>
      <c r="F114" s="2985"/>
      <c r="G114" s="2975">
        <v>9.9000000000000005E-2</v>
      </c>
    </row>
    <row r="115" spans="1:7">
      <c r="A115" s="2984" t="s">
        <v>303</v>
      </c>
      <c r="B115" s="2973" t="s">
        <v>2946</v>
      </c>
      <c r="C115" s="2974">
        <v>0.1</v>
      </c>
      <c r="D115" s="2974">
        <v>0.1</v>
      </c>
      <c r="E115" s="2985"/>
      <c r="F115" s="2985"/>
      <c r="G115" s="2975">
        <v>0.1</v>
      </c>
    </row>
    <row r="116" spans="1:7">
      <c r="A116" s="2984" t="s">
        <v>303</v>
      </c>
      <c r="B116" s="2973" t="s">
        <v>2953</v>
      </c>
      <c r="C116" s="2974">
        <v>0.1</v>
      </c>
      <c r="D116" s="2974">
        <v>0.1</v>
      </c>
      <c r="E116" s="2985"/>
      <c r="F116" s="2985"/>
      <c r="G116" s="2975">
        <v>0.1</v>
      </c>
    </row>
    <row r="117" spans="1:7">
      <c r="A117" s="2984" t="s">
        <v>303</v>
      </c>
      <c r="B117" s="2973" t="s">
        <v>2960</v>
      </c>
      <c r="C117" s="2974">
        <v>9.7000000000000003E-2</v>
      </c>
      <c r="D117" s="2974">
        <v>9.7000000000000003E-2</v>
      </c>
      <c r="E117" s="2985"/>
      <c r="F117" s="2985"/>
      <c r="G117" s="2975">
        <v>9.7000000000000003E-2</v>
      </c>
    </row>
    <row r="118" spans="1:7">
      <c r="A118" s="2984" t="s">
        <v>303</v>
      </c>
      <c r="B118" s="2973" t="s">
        <v>2965</v>
      </c>
      <c r="C118" s="2974">
        <v>0.1</v>
      </c>
      <c r="D118" s="2974">
        <v>0.1</v>
      </c>
      <c r="E118" s="2985"/>
      <c r="F118" s="2985"/>
      <c r="G118" s="2975">
        <v>0.1</v>
      </c>
    </row>
    <row r="119" spans="1:7">
      <c r="A119" s="2984" t="s">
        <v>303</v>
      </c>
      <c r="B119" s="2973" t="s">
        <v>2969</v>
      </c>
      <c r="C119" s="2974">
        <v>5.0999999999999997E-2</v>
      </c>
      <c r="D119" s="2974">
        <v>5.1999999999999998E-2</v>
      </c>
      <c r="E119" s="2985"/>
      <c r="F119" s="2990"/>
      <c r="G119" s="2975">
        <v>0.06</v>
      </c>
    </row>
    <row r="120" spans="1:7">
      <c r="A120" s="2984" t="s">
        <v>303</v>
      </c>
      <c r="B120" s="2973" t="s">
        <v>2973</v>
      </c>
      <c r="C120" s="2985"/>
      <c r="D120" s="2985"/>
      <c r="E120" s="2985"/>
      <c r="F120" s="2974">
        <v>0.1</v>
      </c>
      <c r="G120" s="2991"/>
    </row>
    <row r="121" spans="1:7">
      <c r="A121" s="2984" t="s">
        <v>303</v>
      </c>
      <c r="B121" s="2973" t="s">
        <v>2978</v>
      </c>
      <c r="C121" s="2985"/>
      <c r="D121" s="2985"/>
      <c r="E121" s="2985"/>
      <c r="F121" s="2974">
        <v>0.1</v>
      </c>
      <c r="G121" s="2991"/>
    </row>
    <row r="122" spans="1:7">
      <c r="A122" s="2984" t="s">
        <v>303</v>
      </c>
      <c r="B122" s="2973" t="s">
        <v>2983</v>
      </c>
      <c r="C122" s="2974">
        <v>0.1</v>
      </c>
      <c r="D122" s="2974">
        <v>0.1</v>
      </c>
      <c r="E122" s="2974">
        <v>9.8000000000000004E-2</v>
      </c>
      <c r="F122" s="2974">
        <v>0.1</v>
      </c>
      <c r="G122" s="2975">
        <v>0.1</v>
      </c>
    </row>
    <row r="123" spans="1:7">
      <c r="A123" s="2984" t="s">
        <v>303</v>
      </c>
      <c r="B123" s="2973" t="s">
        <v>2988</v>
      </c>
      <c r="C123" s="2974">
        <v>0.1</v>
      </c>
      <c r="D123" s="2974">
        <v>0.1</v>
      </c>
      <c r="E123" s="2974">
        <v>9.8000000000000004E-2</v>
      </c>
      <c r="F123" s="2974">
        <v>0.1</v>
      </c>
      <c r="G123" s="2975">
        <v>0.1</v>
      </c>
    </row>
    <row r="124" spans="1:7">
      <c r="A124" s="2984" t="s">
        <v>303</v>
      </c>
      <c r="B124" s="2973" t="s">
        <v>2993</v>
      </c>
      <c r="C124" s="2974">
        <v>0.1</v>
      </c>
      <c r="D124" s="2974">
        <v>0.1</v>
      </c>
      <c r="E124" s="2974">
        <v>9.8000000000000004E-2</v>
      </c>
      <c r="F124" s="2990"/>
      <c r="G124" s="2975">
        <v>0.1</v>
      </c>
    </row>
    <row r="125" spans="1:7">
      <c r="A125" s="2984" t="s">
        <v>303</v>
      </c>
      <c r="B125" s="2973" t="s">
        <v>2998</v>
      </c>
      <c r="C125" s="2974">
        <v>9.8000000000000004E-2</v>
      </c>
      <c r="D125" s="2974">
        <v>9.8000000000000004E-2</v>
      </c>
      <c r="E125" s="2974">
        <v>9.6000000000000002E-2</v>
      </c>
      <c r="F125" s="2990"/>
      <c r="G125" s="2975">
        <v>0.1</v>
      </c>
    </row>
    <row r="126" spans="1:7" ht="14.25" thickBot="1">
      <c r="A126" s="2987" t="s">
        <v>303</v>
      </c>
      <c r="B126" s="2977" t="s">
        <v>3164</v>
      </c>
      <c r="C126" s="2978">
        <v>0.1</v>
      </c>
      <c r="D126" s="2978">
        <v>0.1</v>
      </c>
      <c r="E126" s="2978">
        <v>9.8000000000000004E-2</v>
      </c>
      <c r="F126" s="2978">
        <v>0.1</v>
      </c>
      <c r="G126" s="2980">
        <v>0.1</v>
      </c>
    </row>
    <row r="127" spans="1:7">
      <c r="A127" s="2983" t="s">
        <v>29</v>
      </c>
      <c r="B127" s="2969" t="s">
        <v>2841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2911</v>
      </c>
      <c r="C148" s="2974">
        <v>0.13</v>
      </c>
      <c r="D148" s="2974">
        <v>0.13</v>
      </c>
      <c r="E148" s="2974">
        <v>0.13</v>
      </c>
      <c r="F148" s="2985"/>
      <c r="G148" s="2975">
        <v>0.13</v>
      </c>
    </row>
    <row r="149" spans="1:7">
      <c r="A149" s="2984" t="s">
        <v>29</v>
      </c>
      <c r="B149" s="2973" t="s">
        <v>2915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2934</v>
      </c>
      <c r="C153" s="2974">
        <v>0.13</v>
      </c>
      <c r="D153" s="2974">
        <v>0.13</v>
      </c>
      <c r="E153" s="2974">
        <v>0.13</v>
      </c>
      <c r="F153" s="2974">
        <v>0.13</v>
      </c>
      <c r="G153" s="2975">
        <v>0.13</v>
      </c>
    </row>
    <row r="154" spans="1:7">
      <c r="A154" s="2984" t="s">
        <v>29</v>
      </c>
      <c r="B154" s="2973" t="s">
        <v>2941</v>
      </c>
      <c r="C154" s="2974">
        <v>0.121</v>
      </c>
      <c r="D154" s="2974">
        <v>0.121</v>
      </c>
      <c r="E154" s="2974">
        <v>0.105</v>
      </c>
      <c r="F154" s="2974">
        <v>0.121</v>
      </c>
      <c r="G154" s="2975">
        <v>0.123</v>
      </c>
    </row>
    <row r="155" spans="1:7">
      <c r="A155" s="2984" t="s">
        <v>29</v>
      </c>
      <c r="B155" s="2973" t="s">
        <v>2947</v>
      </c>
      <c r="C155" s="2974">
        <v>0.1</v>
      </c>
      <c r="D155" s="2974">
        <v>0.1</v>
      </c>
      <c r="E155" s="2974">
        <v>0.1</v>
      </c>
      <c r="F155" s="2974">
        <v>0.1</v>
      </c>
      <c r="G155" s="2975">
        <v>0.1</v>
      </c>
    </row>
    <row r="156" spans="1:7">
      <c r="A156" s="2984" t="s">
        <v>29</v>
      </c>
      <c r="B156" s="2973" t="s">
        <v>2954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2974</v>
      </c>
      <c r="C160" s="2974">
        <v>0.13</v>
      </c>
      <c r="D160" s="2974">
        <v>0.13</v>
      </c>
      <c r="E160" s="2974">
        <v>0.124</v>
      </c>
      <c r="F160" s="2974">
        <v>0.126</v>
      </c>
      <c r="G160" s="2975">
        <v>0.13</v>
      </c>
    </row>
    <row r="161" spans="1:7">
      <c r="A161" s="2984" t="s">
        <v>29</v>
      </c>
      <c r="B161" s="2973" t="s">
        <v>2979</v>
      </c>
      <c r="C161" s="2974">
        <v>0.13</v>
      </c>
      <c r="D161" s="2974">
        <v>0.13</v>
      </c>
      <c r="E161" s="2974">
        <v>0.124</v>
      </c>
      <c r="F161" s="2974">
        <v>0.127</v>
      </c>
      <c r="G161" s="2975">
        <v>0.13</v>
      </c>
    </row>
    <row r="162" spans="1:7">
      <c r="A162" s="2984" t="s">
        <v>29</v>
      </c>
      <c r="B162" s="2973" t="s">
        <v>2984</v>
      </c>
      <c r="C162" s="2974">
        <v>0.1</v>
      </c>
      <c r="D162" s="2974">
        <v>0.1</v>
      </c>
      <c r="E162" s="2974">
        <v>0.1</v>
      </c>
      <c r="F162" s="2974">
        <v>0.121</v>
      </c>
      <c r="G162" s="2975">
        <v>0.105</v>
      </c>
    </row>
    <row r="163" spans="1:7">
      <c r="A163" s="2984" t="s">
        <v>29</v>
      </c>
      <c r="B163" s="2973" t="s">
        <v>2989</v>
      </c>
      <c r="C163" s="2974">
        <v>0.1</v>
      </c>
      <c r="D163" s="2974">
        <v>0.1</v>
      </c>
      <c r="E163" s="2974">
        <v>0.1</v>
      </c>
      <c r="F163" s="2974">
        <v>0.1</v>
      </c>
      <c r="G163" s="2975">
        <v>0.1</v>
      </c>
    </row>
    <row r="164" spans="1:7">
      <c r="A164" s="2984" t="s">
        <v>29</v>
      </c>
      <c r="B164" s="2973" t="s">
        <v>2994</v>
      </c>
      <c r="C164" s="2990"/>
      <c r="D164" s="2990"/>
      <c r="E164" s="2990"/>
      <c r="F164" s="2974">
        <v>0.1</v>
      </c>
      <c r="G164" s="2986"/>
    </row>
    <row r="165" spans="1:7">
      <c r="A165" s="2984" t="s">
        <v>29</v>
      </c>
      <c r="B165" s="2973" t="s">
        <v>3165</v>
      </c>
      <c r="C165" s="2974">
        <v>0.126</v>
      </c>
      <c r="D165" s="2974">
        <v>0.126</v>
      </c>
      <c r="E165" s="2974">
        <v>0.11899999999999999</v>
      </c>
      <c r="F165" s="2974">
        <v>0.13</v>
      </c>
      <c r="G165" s="2975">
        <v>0.128</v>
      </c>
    </row>
    <row r="166" spans="1:7">
      <c r="A166" s="2984" t="s">
        <v>29</v>
      </c>
      <c r="B166" s="2973" t="s">
        <v>3004</v>
      </c>
      <c r="C166" s="2974">
        <v>0.129</v>
      </c>
      <c r="D166" s="2974">
        <v>0.129</v>
      </c>
      <c r="E166" s="2974">
        <v>0.123</v>
      </c>
      <c r="F166" s="2974">
        <v>0.128</v>
      </c>
      <c r="G166" s="2975">
        <v>0.13</v>
      </c>
    </row>
    <row r="167" spans="1:7">
      <c r="A167" s="2984" t="s">
        <v>29</v>
      </c>
      <c r="B167" s="2973" t="s">
        <v>3008</v>
      </c>
      <c r="C167" s="2974">
        <v>0.125</v>
      </c>
      <c r="D167" s="2974">
        <v>0.125</v>
      </c>
      <c r="E167" s="2974">
        <v>0.11700000000000001</v>
      </c>
      <c r="F167" s="2974">
        <v>0.13</v>
      </c>
      <c r="G167" s="2975">
        <v>0.126</v>
      </c>
    </row>
    <row r="168" spans="1:7">
      <c r="A168" s="2984" t="s">
        <v>29</v>
      </c>
      <c r="B168" s="2973" t="s">
        <v>3013</v>
      </c>
      <c r="C168" s="2974">
        <v>0.128</v>
      </c>
      <c r="D168" s="2974">
        <v>0.128</v>
      </c>
      <c r="E168" s="2974">
        <v>0.123</v>
      </c>
      <c r="F168" s="2985"/>
      <c r="G168" s="2975">
        <v>0.13</v>
      </c>
    </row>
    <row r="169" spans="1:7">
      <c r="A169" s="2984" t="s">
        <v>29</v>
      </c>
      <c r="B169" s="2973" t="s">
        <v>3166</v>
      </c>
      <c r="C169" s="2990"/>
      <c r="D169" s="2990"/>
      <c r="E169" s="2990"/>
      <c r="F169" s="2974">
        <v>0.05</v>
      </c>
      <c r="G169" s="2986"/>
    </row>
    <row r="170" spans="1:7">
      <c r="A170" s="2984" t="s">
        <v>29</v>
      </c>
      <c r="B170" s="2973" t="s">
        <v>3167</v>
      </c>
      <c r="C170" s="2990"/>
      <c r="D170" s="2990"/>
      <c r="E170" s="2990"/>
      <c r="F170" s="2974">
        <v>0.05</v>
      </c>
      <c r="G170" s="2986"/>
    </row>
    <row r="171" spans="1:7">
      <c r="A171" s="2984" t="s">
        <v>29</v>
      </c>
      <c r="B171" s="2973" t="s">
        <v>3168</v>
      </c>
      <c r="C171" s="2990"/>
      <c r="D171" s="2990"/>
      <c r="E171" s="2990"/>
      <c r="F171" s="2974">
        <v>0.05</v>
      </c>
      <c r="G171" s="2991"/>
    </row>
    <row r="172" spans="1:7">
      <c r="A172" s="2984" t="s">
        <v>29</v>
      </c>
      <c r="B172" s="2973" t="s">
        <v>3169</v>
      </c>
      <c r="C172" s="2990"/>
      <c r="D172" s="2990"/>
      <c r="E172" s="2990"/>
      <c r="F172" s="2974">
        <v>0.05</v>
      </c>
      <c r="G172" s="2991"/>
    </row>
    <row r="173" spans="1:7">
      <c r="A173" s="2984" t="s">
        <v>29</v>
      </c>
      <c r="B173" s="2973" t="s">
        <v>3170</v>
      </c>
      <c r="C173" s="2990"/>
      <c r="D173" s="2990"/>
      <c r="E173" s="2990"/>
      <c r="F173" s="2974">
        <v>0.05</v>
      </c>
      <c r="G173" s="2986"/>
    </row>
    <row r="174" spans="1:7">
      <c r="A174" s="2984" t="s">
        <v>29</v>
      </c>
      <c r="B174" s="2973" t="s">
        <v>3171</v>
      </c>
      <c r="C174" s="2990"/>
      <c r="D174" s="2990"/>
      <c r="E174" s="2990"/>
      <c r="F174" s="2974">
        <v>0.05</v>
      </c>
      <c r="G174" s="2986"/>
    </row>
    <row r="175" spans="1:7">
      <c r="A175" s="2984" t="s">
        <v>29</v>
      </c>
      <c r="B175" s="2973" t="s">
        <v>3172</v>
      </c>
      <c r="C175" s="2990"/>
      <c r="D175" s="2990"/>
      <c r="E175" s="2990"/>
      <c r="F175" s="2974">
        <v>0.05</v>
      </c>
      <c r="G175" s="2986"/>
    </row>
    <row r="176" spans="1:7">
      <c r="A176" s="2984" t="s">
        <v>29</v>
      </c>
      <c r="B176" s="2973" t="s">
        <v>3173</v>
      </c>
      <c r="C176" s="2990"/>
      <c r="D176" s="2990"/>
      <c r="E176" s="2990"/>
      <c r="F176" s="2974">
        <v>0.05</v>
      </c>
      <c r="G176" s="2986"/>
    </row>
    <row r="177" spans="1:7">
      <c r="A177" s="2984" t="s">
        <v>29</v>
      </c>
      <c r="B177" s="2973" t="s">
        <v>3174</v>
      </c>
      <c r="C177" s="2985"/>
      <c r="D177" s="2985"/>
      <c r="E177" s="2985"/>
      <c r="F177" s="2974">
        <v>0.05</v>
      </c>
      <c r="G177" s="2991"/>
    </row>
    <row r="178" spans="1:7">
      <c r="A178" s="2984" t="s">
        <v>29</v>
      </c>
      <c r="B178" s="2973" t="s">
        <v>3175</v>
      </c>
      <c r="C178" s="2985"/>
      <c r="D178" s="2985"/>
      <c r="E178" s="2985"/>
      <c r="F178" s="2974">
        <v>0.05</v>
      </c>
      <c r="G178" s="2991"/>
    </row>
    <row r="179" spans="1:7">
      <c r="A179" s="2984" t="s">
        <v>29</v>
      </c>
      <c r="B179" s="2973" t="s">
        <v>3176</v>
      </c>
      <c r="C179" s="2985"/>
      <c r="D179" s="2985"/>
      <c r="E179" s="2985"/>
      <c r="F179" s="2974">
        <v>0.05</v>
      </c>
      <c r="G179" s="2991"/>
    </row>
    <row r="180" spans="1:7">
      <c r="A180" s="2984" t="s">
        <v>29</v>
      </c>
      <c r="B180" s="2973" t="s">
        <v>3177</v>
      </c>
      <c r="C180" s="2985"/>
      <c r="D180" s="2985"/>
      <c r="E180" s="2985"/>
      <c r="F180" s="2974">
        <v>0.05</v>
      </c>
      <c r="G180" s="2991"/>
    </row>
    <row r="181" spans="1:7">
      <c r="A181" s="2984" t="s">
        <v>29</v>
      </c>
      <c r="B181" s="2973" t="s">
        <v>3178</v>
      </c>
      <c r="C181" s="2985"/>
      <c r="D181" s="2985"/>
      <c r="E181" s="2985"/>
      <c r="F181" s="2974">
        <v>0.05</v>
      </c>
      <c r="G181" s="2991"/>
    </row>
    <row r="182" spans="1:7">
      <c r="A182" s="2984" t="s">
        <v>29</v>
      </c>
      <c r="B182" s="2973" t="s">
        <v>3179</v>
      </c>
      <c r="C182" s="2985"/>
      <c r="D182" s="2985"/>
      <c r="E182" s="2985"/>
      <c r="F182" s="2974">
        <v>0.05</v>
      </c>
      <c r="G182" s="2991"/>
    </row>
    <row r="183" spans="1:7">
      <c r="A183" s="2984" t="s">
        <v>29</v>
      </c>
      <c r="B183" s="2973" t="s">
        <v>3180</v>
      </c>
      <c r="C183" s="2985"/>
      <c r="D183" s="2985"/>
      <c r="E183" s="2985"/>
      <c r="F183" s="2974">
        <v>0.05</v>
      </c>
      <c r="G183" s="2991"/>
    </row>
    <row r="184" spans="1:7">
      <c r="A184" s="2984" t="s">
        <v>29</v>
      </c>
      <c r="B184" s="2973" t="s">
        <v>3181</v>
      </c>
      <c r="C184" s="2985"/>
      <c r="D184" s="2985"/>
      <c r="E184" s="2985"/>
      <c r="F184" s="2974">
        <v>0.05</v>
      </c>
      <c r="G184" s="2991"/>
    </row>
    <row r="185" spans="1:7">
      <c r="A185" s="2984" t="s">
        <v>29</v>
      </c>
      <c r="B185" s="2973" t="s">
        <v>3182</v>
      </c>
      <c r="C185" s="2985"/>
      <c r="D185" s="2985"/>
      <c r="E185" s="2985"/>
      <c r="F185" s="2974">
        <v>0.05</v>
      </c>
      <c r="G185" s="2991"/>
    </row>
    <row r="186" spans="1:7">
      <c r="A186" s="2984" t="s">
        <v>29</v>
      </c>
      <c r="B186" s="2973" t="s">
        <v>3183</v>
      </c>
      <c r="C186" s="2985"/>
      <c r="D186" s="2985"/>
      <c r="E186" s="2985"/>
      <c r="F186" s="2974">
        <v>0.05</v>
      </c>
      <c r="G186" s="2991"/>
    </row>
    <row r="187" spans="1:7">
      <c r="A187" s="2984" t="s">
        <v>29</v>
      </c>
      <c r="B187" s="2973" t="s">
        <v>3184</v>
      </c>
      <c r="C187" s="2985"/>
      <c r="D187" s="2985"/>
      <c r="E187" s="2985"/>
      <c r="F187" s="2974">
        <v>0.05</v>
      </c>
      <c r="G187" s="2991"/>
    </row>
    <row r="188" spans="1:7">
      <c r="A188" s="2984" t="s">
        <v>29</v>
      </c>
      <c r="B188" s="2973" t="s">
        <v>3185</v>
      </c>
      <c r="C188" s="2985"/>
      <c r="D188" s="2985"/>
      <c r="E188" s="2985"/>
      <c r="F188" s="2974">
        <v>0.05</v>
      </c>
      <c r="G188" s="2991"/>
    </row>
    <row r="189" spans="1:7" ht="14.25" thickBot="1">
      <c r="A189" s="2987" t="s">
        <v>29</v>
      </c>
      <c r="B189" s="2977" t="s">
        <v>3186</v>
      </c>
      <c r="C189" s="2979"/>
      <c r="D189" s="2979"/>
      <c r="E189" s="2979"/>
      <c r="F189" s="2978">
        <v>0.05</v>
      </c>
      <c r="G189" s="2992"/>
    </row>
    <row r="190" spans="1:7">
      <c r="A190" s="2983" t="s">
        <v>304</v>
      </c>
      <c r="B190" s="2969" t="s">
        <v>2842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2878</v>
      </c>
      <c r="C199" s="2974">
        <v>0.13</v>
      </c>
      <c r="D199" s="2974">
        <v>0.13</v>
      </c>
      <c r="E199" s="2974">
        <v>0.13</v>
      </c>
      <c r="F199" s="2974">
        <v>0.13</v>
      </c>
      <c r="G199" s="2975">
        <v>0.13</v>
      </c>
    </row>
    <row r="200" spans="1:7">
      <c r="A200" s="2984" t="s">
        <v>304</v>
      </c>
      <c r="B200" s="2973" t="s">
        <v>2881</v>
      </c>
      <c r="C200" s="2990"/>
      <c r="D200" s="2990"/>
      <c r="E200" s="2990"/>
      <c r="F200" s="2974">
        <v>0.13</v>
      </c>
      <c r="G200" s="2986"/>
    </row>
    <row r="201" spans="1:7">
      <c r="A201" s="2984" t="s">
        <v>304</v>
      </c>
      <c r="B201" s="2973" t="s">
        <v>2886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2889</v>
      </c>
      <c r="C203" s="2974">
        <v>0.129</v>
      </c>
      <c r="D203" s="2974">
        <v>0.129</v>
      </c>
      <c r="E203" s="2974">
        <v>0.13</v>
      </c>
      <c r="F203" s="2974">
        <v>0.13</v>
      </c>
      <c r="G203" s="2975">
        <v>0.13</v>
      </c>
    </row>
    <row r="204" spans="1:7">
      <c r="A204" s="2984" t="s">
        <v>304</v>
      </c>
      <c r="B204" s="2973" t="s">
        <v>2892</v>
      </c>
      <c r="C204" s="2974">
        <v>0.129</v>
      </c>
      <c r="D204" s="2974">
        <v>0.129</v>
      </c>
      <c r="E204" s="2974">
        <v>0.123</v>
      </c>
      <c r="F204" s="2974">
        <v>0.13</v>
      </c>
      <c r="G204" s="2975">
        <v>0.13</v>
      </c>
    </row>
    <row r="205" spans="1:7">
      <c r="A205" s="2984" t="s">
        <v>304</v>
      </c>
      <c r="B205" s="2973" t="s">
        <v>2894</v>
      </c>
      <c r="C205" s="2974">
        <v>0.13</v>
      </c>
      <c r="D205" s="2974">
        <v>0.13</v>
      </c>
      <c r="E205" s="2974">
        <v>0.13</v>
      </c>
      <c r="F205" s="2974">
        <v>0.13</v>
      </c>
      <c r="G205" s="2975">
        <v>0.13</v>
      </c>
    </row>
    <row r="206" spans="1:7">
      <c r="A206" s="2984" t="s">
        <v>304</v>
      </c>
      <c r="B206" s="2973" t="s">
        <v>2897</v>
      </c>
      <c r="C206" s="2974">
        <v>0.13</v>
      </c>
      <c r="D206" s="2974">
        <v>0.13</v>
      </c>
      <c r="E206" s="2974">
        <v>0.13</v>
      </c>
      <c r="F206" s="2974">
        <v>0.128</v>
      </c>
      <c r="G206" s="2975">
        <v>0.13</v>
      </c>
    </row>
    <row r="207" spans="1:7">
      <c r="A207" s="2984" t="s">
        <v>304</v>
      </c>
      <c r="B207" s="2973" t="s">
        <v>2899</v>
      </c>
      <c r="C207" s="2974">
        <v>0.13</v>
      </c>
      <c r="D207" s="2974">
        <v>0.13</v>
      </c>
      <c r="E207" s="2974">
        <v>0.13</v>
      </c>
      <c r="F207" s="2974">
        <v>0.13</v>
      </c>
      <c r="G207" s="2975">
        <v>0.13</v>
      </c>
    </row>
    <row r="208" spans="1:7">
      <c r="A208" s="2984" t="s">
        <v>304</v>
      </c>
      <c r="B208" s="2973" t="s">
        <v>2902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2909</v>
      </c>
      <c r="C210" s="2974">
        <v>0.121</v>
      </c>
      <c r="D210" s="2974">
        <v>0.121</v>
      </c>
      <c r="E210" s="2974">
        <v>0.125</v>
      </c>
      <c r="F210" s="2974">
        <v>0.13</v>
      </c>
      <c r="G210" s="2975">
        <v>0.123</v>
      </c>
    </row>
    <row r="211" spans="1:7">
      <c r="A211" s="2984" t="s">
        <v>304</v>
      </c>
      <c r="B211" s="2973" t="s">
        <v>2912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2924</v>
      </c>
      <c r="C214" s="2974">
        <v>0.128</v>
      </c>
      <c r="D214" s="2974">
        <v>0.128</v>
      </c>
      <c r="E214" s="2974">
        <v>0.13</v>
      </c>
      <c r="F214" s="2974">
        <v>0.13</v>
      </c>
      <c r="G214" s="2975">
        <v>0.13</v>
      </c>
    </row>
    <row r="215" spans="1:7">
      <c r="A215" s="2984" t="s">
        <v>304</v>
      </c>
      <c r="B215" s="2973" t="s">
        <v>2928</v>
      </c>
      <c r="C215" s="2974">
        <v>0.13</v>
      </c>
      <c r="D215" s="2974">
        <v>0.13</v>
      </c>
      <c r="E215" s="2974">
        <v>0.13</v>
      </c>
      <c r="F215" s="2974">
        <v>0.129</v>
      </c>
      <c r="G215" s="2975">
        <v>0.13</v>
      </c>
    </row>
    <row r="216" spans="1:7">
      <c r="A216" s="2984" t="s">
        <v>304</v>
      </c>
      <c r="B216" s="2973" t="s">
        <v>2935</v>
      </c>
      <c r="C216" s="2974">
        <v>0.13</v>
      </c>
      <c r="D216" s="2974">
        <v>0.13</v>
      </c>
      <c r="E216" s="2974">
        <v>0.13</v>
      </c>
      <c r="F216" s="2974">
        <v>0.13</v>
      </c>
      <c r="G216" s="2975">
        <v>0.13</v>
      </c>
    </row>
    <row r="217" spans="1:7">
      <c r="A217" s="2984" t="s">
        <v>304</v>
      </c>
      <c r="B217" s="2973" t="s">
        <v>2942</v>
      </c>
      <c r="C217" s="2974">
        <v>0.129</v>
      </c>
      <c r="D217" s="2974">
        <v>0.129</v>
      </c>
      <c r="E217" s="2974">
        <v>0.13</v>
      </c>
      <c r="F217" s="2974">
        <v>0.13</v>
      </c>
      <c r="G217" s="2975">
        <v>0.13</v>
      </c>
    </row>
    <row r="218" spans="1:7">
      <c r="A218" s="2984" t="s">
        <v>304</v>
      </c>
      <c r="B218" s="2973" t="s">
        <v>2948</v>
      </c>
      <c r="C218" s="2985"/>
      <c r="D218" s="2985"/>
      <c r="E218" s="2985"/>
      <c r="F218" s="2974">
        <v>0.05</v>
      </c>
      <c r="G218" s="2991"/>
    </row>
    <row r="219" spans="1:7">
      <c r="A219" s="2984" t="s">
        <v>304</v>
      </c>
      <c r="B219" s="2973" t="s">
        <v>2955</v>
      </c>
      <c r="C219" s="2985"/>
      <c r="D219" s="2985"/>
      <c r="E219" s="2985"/>
      <c r="F219" s="2974">
        <v>0.05</v>
      </c>
      <c r="G219" s="2991"/>
    </row>
    <row r="220" spans="1:7">
      <c r="A220" s="2984" t="s">
        <v>304</v>
      </c>
      <c r="B220" s="2973" t="s">
        <v>2961</v>
      </c>
      <c r="C220" s="2985"/>
      <c r="D220" s="2985"/>
      <c r="E220" s="2985"/>
      <c r="F220" s="2974">
        <v>0.05</v>
      </c>
      <c r="G220" s="2991"/>
    </row>
    <row r="221" spans="1:7">
      <c r="A221" s="2984" t="s">
        <v>304</v>
      </c>
      <c r="B221" s="2973" t="s">
        <v>2966</v>
      </c>
      <c r="C221" s="2985"/>
      <c r="D221" s="2985"/>
      <c r="E221" s="2985"/>
      <c r="F221" s="2974">
        <v>0.05</v>
      </c>
      <c r="G221" s="2991"/>
    </row>
    <row r="222" spans="1:7">
      <c r="A222" s="2984" t="s">
        <v>304</v>
      </c>
      <c r="B222" s="2973" t="s">
        <v>2970</v>
      </c>
      <c r="C222" s="2985"/>
      <c r="D222" s="2985"/>
      <c r="E222" s="2985"/>
      <c r="F222" s="2974">
        <v>0.05</v>
      </c>
      <c r="G222" s="2991"/>
    </row>
    <row r="223" spans="1:7">
      <c r="A223" s="2984" t="s">
        <v>304</v>
      </c>
      <c r="B223" s="2973" t="s">
        <v>2975</v>
      </c>
      <c r="C223" s="2985"/>
      <c r="D223" s="2985"/>
      <c r="E223" s="2985"/>
      <c r="F223" s="2974">
        <v>0.05</v>
      </c>
      <c r="G223" s="2991"/>
    </row>
    <row r="224" spans="1:7">
      <c r="A224" s="2984" t="s">
        <v>304</v>
      </c>
      <c r="B224" s="2973" t="s">
        <v>2980</v>
      </c>
      <c r="C224" s="2985"/>
      <c r="D224" s="2985"/>
      <c r="E224" s="2985"/>
      <c r="F224" s="2974">
        <v>0.05</v>
      </c>
      <c r="G224" s="2991"/>
    </row>
    <row r="225" spans="1:7">
      <c r="A225" s="2984" t="s">
        <v>304</v>
      </c>
      <c r="B225" s="2973" t="s">
        <v>2985</v>
      </c>
      <c r="C225" s="2985"/>
      <c r="D225" s="2985"/>
      <c r="E225" s="2985"/>
      <c r="F225" s="2974">
        <v>0.05</v>
      </c>
      <c r="G225" s="2991"/>
    </row>
    <row r="226" spans="1:7">
      <c r="A226" s="2984" t="s">
        <v>304</v>
      </c>
      <c r="B226" s="2973" t="s">
        <v>3187</v>
      </c>
      <c r="C226" s="2985"/>
      <c r="D226" s="2985"/>
      <c r="E226" s="2985"/>
      <c r="F226" s="2974">
        <v>0.05</v>
      </c>
      <c r="G226" s="2991"/>
    </row>
    <row r="227" spans="1:7">
      <c r="A227" s="2984" t="s">
        <v>304</v>
      </c>
      <c r="B227" s="2973" t="s">
        <v>3188</v>
      </c>
      <c r="C227" s="2985"/>
      <c r="D227" s="2985"/>
      <c r="E227" s="2985"/>
      <c r="F227" s="2974">
        <v>0.05</v>
      </c>
      <c r="G227" s="2991"/>
    </row>
    <row r="228" spans="1:7">
      <c r="A228" s="2984" t="s">
        <v>304</v>
      </c>
      <c r="B228" s="2973" t="s">
        <v>3189</v>
      </c>
      <c r="C228" s="2985"/>
      <c r="D228" s="2985"/>
      <c r="E228" s="2985"/>
      <c r="F228" s="2974">
        <v>0.05</v>
      </c>
      <c r="G228" s="2991"/>
    </row>
    <row r="229" spans="1:7">
      <c r="A229" s="2984" t="s">
        <v>304</v>
      </c>
      <c r="B229" s="2973" t="s">
        <v>3190</v>
      </c>
      <c r="C229" s="2985"/>
      <c r="D229" s="2985"/>
      <c r="E229" s="2985"/>
      <c r="F229" s="2974">
        <v>0.05</v>
      </c>
      <c r="G229" s="2991"/>
    </row>
    <row r="230" spans="1:7">
      <c r="A230" s="2984" t="s">
        <v>304</v>
      </c>
      <c r="B230" s="2973" t="s">
        <v>3191</v>
      </c>
      <c r="C230" s="2985"/>
      <c r="D230" s="2985"/>
      <c r="E230" s="2985"/>
      <c r="F230" s="2974">
        <v>0.05</v>
      </c>
      <c r="G230" s="2991"/>
    </row>
    <row r="231" spans="1:7">
      <c r="A231" s="2984" t="s">
        <v>304</v>
      </c>
      <c r="B231" s="2973" t="s">
        <v>3192</v>
      </c>
      <c r="C231" s="2985"/>
      <c r="D231" s="2985"/>
      <c r="E231" s="2985"/>
      <c r="F231" s="2974">
        <v>0.05</v>
      </c>
      <c r="G231" s="2991"/>
    </row>
    <row r="232" spans="1:7">
      <c r="A232" s="2984" t="s">
        <v>304</v>
      </c>
      <c r="B232" s="2973" t="s">
        <v>3193</v>
      </c>
      <c r="C232" s="2985"/>
      <c r="D232" s="2985"/>
      <c r="E232" s="2985"/>
      <c r="F232" s="2974">
        <v>0.05</v>
      </c>
      <c r="G232" s="2991"/>
    </row>
    <row r="233" spans="1:7" ht="14.25" thickBot="1">
      <c r="A233" s="2987" t="s">
        <v>304</v>
      </c>
      <c r="B233" s="2977" t="s">
        <v>3194</v>
      </c>
      <c r="C233" s="2979"/>
      <c r="D233" s="2979"/>
      <c r="E233" s="2979"/>
      <c r="F233" s="2978">
        <v>0.05</v>
      </c>
      <c r="G233" s="2992"/>
    </row>
    <row r="234" spans="1:7">
      <c r="A234" s="2983" t="s">
        <v>305</v>
      </c>
      <c r="B234" s="2969" t="s">
        <v>2843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2863</v>
      </c>
      <c r="C238" s="2974">
        <v>0.14899999999999999</v>
      </c>
      <c r="D238" s="2974">
        <v>0.14899999999999999</v>
      </c>
      <c r="E238" s="2974">
        <v>0.15</v>
      </c>
      <c r="F238" s="2974">
        <v>0.15</v>
      </c>
      <c r="G238" s="2975">
        <v>0.15</v>
      </c>
    </row>
    <row r="239" spans="1:7">
      <c r="A239" s="2984" t="s">
        <v>305</v>
      </c>
      <c r="B239" s="2973" t="s">
        <v>2867</v>
      </c>
      <c r="C239" s="2974">
        <v>0.15</v>
      </c>
      <c r="D239" s="2974">
        <v>0.15</v>
      </c>
      <c r="E239" s="2974">
        <v>0.15</v>
      </c>
      <c r="F239" s="2974">
        <v>0.15</v>
      </c>
      <c r="G239" s="2975">
        <v>0.15</v>
      </c>
    </row>
    <row r="240" spans="1:7">
      <c r="A240" s="2984" t="s">
        <v>305</v>
      </c>
      <c r="B240" s="2973" t="s">
        <v>2872</v>
      </c>
      <c r="C240" s="2974">
        <v>0.15</v>
      </c>
      <c r="D240" s="2974">
        <v>0.15</v>
      </c>
      <c r="E240" s="2974">
        <v>0.15</v>
      </c>
      <c r="F240" s="2974">
        <v>0.15</v>
      </c>
      <c r="G240" s="2975">
        <v>0.15</v>
      </c>
    </row>
    <row r="241" spans="1:7">
      <c r="A241" s="2984" t="s">
        <v>305</v>
      </c>
      <c r="B241" s="2973" t="s">
        <v>2876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2882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2895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2903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2916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2925</v>
      </c>
      <c r="C258" s="2974">
        <v>0.14299999999999999</v>
      </c>
      <c r="D258" s="2974">
        <v>0.14299999999999999</v>
      </c>
      <c r="E258" s="2974">
        <v>0.15</v>
      </c>
      <c r="F258" s="2974">
        <v>0.14799999999999999</v>
      </c>
      <c r="G258" s="2975">
        <v>0.14599999999999999</v>
      </c>
    </row>
    <row r="259" spans="1:7">
      <c r="A259" s="2984" t="s">
        <v>305</v>
      </c>
      <c r="B259" s="2973" t="s">
        <v>2929</v>
      </c>
      <c r="C259" s="2974">
        <v>0.14399999999999999</v>
      </c>
      <c r="D259" s="2974">
        <v>0.14399999999999999</v>
      </c>
      <c r="E259" s="2974">
        <v>0.14899999999999999</v>
      </c>
      <c r="F259" s="2974">
        <v>0.14699999999999999</v>
      </c>
      <c r="G259" s="2975">
        <v>0.14599999999999999</v>
      </c>
    </row>
    <row r="260" spans="1:7">
      <c r="A260" s="2984" t="s">
        <v>305</v>
      </c>
      <c r="B260" s="2973" t="s">
        <v>2936</v>
      </c>
      <c r="C260" s="2974">
        <v>0.109</v>
      </c>
      <c r="D260" s="2974">
        <v>0.111</v>
      </c>
      <c r="E260" s="2974">
        <v>0.13100000000000001</v>
      </c>
      <c r="F260" s="2974">
        <v>0.126</v>
      </c>
      <c r="G260" s="2975">
        <v>0.11899999999999999</v>
      </c>
    </row>
    <row r="261" spans="1:7">
      <c r="A261" s="2984" t="s">
        <v>305</v>
      </c>
      <c r="B261" s="2973" t="s">
        <v>2943</v>
      </c>
      <c r="C261" s="2974">
        <v>0.1</v>
      </c>
      <c r="D261" s="2974">
        <v>0.1</v>
      </c>
      <c r="E261" s="2974">
        <v>0.11799999999999999</v>
      </c>
      <c r="F261" s="2974">
        <v>0.108</v>
      </c>
      <c r="G261" s="2975">
        <v>0.107</v>
      </c>
    </row>
    <row r="262" spans="1:7">
      <c r="A262" s="2984" t="s">
        <v>305</v>
      </c>
      <c r="B262" s="2973" t="s">
        <v>2949</v>
      </c>
      <c r="C262" s="2974">
        <v>0.1</v>
      </c>
      <c r="D262" s="2974">
        <v>0.1</v>
      </c>
      <c r="E262" s="2974">
        <v>0.1</v>
      </c>
      <c r="F262" s="2974">
        <v>0.14099999999999999</v>
      </c>
      <c r="G262" s="2975">
        <v>0.1</v>
      </c>
    </row>
    <row r="263" spans="1:7">
      <c r="A263" s="2984" t="s">
        <v>305</v>
      </c>
      <c r="B263" s="2973" t="s">
        <v>2956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2967</v>
      </c>
      <c r="C265" s="2985"/>
      <c r="D265" s="2985"/>
      <c r="E265" s="2985"/>
      <c r="F265" s="2974">
        <v>0.05</v>
      </c>
      <c r="G265" s="2991"/>
    </row>
    <row r="266" spans="1:7">
      <c r="A266" s="2984" t="s">
        <v>305</v>
      </c>
      <c r="B266" s="2973" t="s">
        <v>2971</v>
      </c>
      <c r="C266" s="2985"/>
      <c r="D266" s="2985"/>
      <c r="E266" s="2985"/>
      <c r="F266" s="2974">
        <v>0.05</v>
      </c>
      <c r="G266" s="2991"/>
    </row>
    <row r="267" spans="1:7">
      <c r="A267" s="2984" t="s">
        <v>305</v>
      </c>
      <c r="B267" s="2973" t="s">
        <v>2976</v>
      </c>
      <c r="C267" s="2985"/>
      <c r="D267" s="2985"/>
      <c r="E267" s="2985"/>
      <c r="F267" s="2974">
        <v>0.05</v>
      </c>
      <c r="G267" s="2991"/>
    </row>
    <row r="268" spans="1:7">
      <c r="A268" s="2984" t="s">
        <v>305</v>
      </c>
      <c r="B268" s="2973" t="s">
        <v>2981</v>
      </c>
      <c r="C268" s="2985"/>
      <c r="D268" s="2985"/>
      <c r="E268" s="2985"/>
      <c r="F268" s="2974">
        <v>0.05</v>
      </c>
      <c r="G268" s="2991"/>
    </row>
    <row r="269" spans="1:7">
      <c r="A269" s="2984" t="s">
        <v>305</v>
      </c>
      <c r="B269" s="2973" t="s">
        <v>2986</v>
      </c>
      <c r="C269" s="2985"/>
      <c r="D269" s="2985"/>
      <c r="E269" s="2985"/>
      <c r="F269" s="2974">
        <v>0.05</v>
      </c>
      <c r="G269" s="2991"/>
    </row>
    <row r="270" spans="1:7">
      <c r="A270" s="2984" t="s">
        <v>305</v>
      </c>
      <c r="B270" s="2973" t="s">
        <v>2991</v>
      </c>
      <c r="C270" s="2985"/>
      <c r="D270" s="2985"/>
      <c r="E270" s="2985"/>
      <c r="F270" s="2974">
        <v>0.05</v>
      </c>
      <c r="G270" s="2991"/>
    </row>
    <row r="271" spans="1:7">
      <c r="A271" s="2984" t="s">
        <v>305</v>
      </c>
      <c r="B271" s="2973" t="s">
        <v>3195</v>
      </c>
      <c r="C271" s="2985"/>
      <c r="D271" s="2985"/>
      <c r="E271" s="2985"/>
      <c r="F271" s="2974">
        <v>0.05</v>
      </c>
      <c r="G271" s="2991"/>
    </row>
    <row r="272" spans="1:7">
      <c r="A272" s="2984" t="s">
        <v>305</v>
      </c>
      <c r="B272" s="2973" t="s">
        <v>3196</v>
      </c>
      <c r="C272" s="2985"/>
      <c r="D272" s="2985"/>
      <c r="E272" s="2985"/>
      <c r="F272" s="2974">
        <v>0.05</v>
      </c>
      <c r="G272" s="2991"/>
    </row>
    <row r="273" spans="1:7">
      <c r="A273" s="2984" t="s">
        <v>305</v>
      </c>
      <c r="B273" s="2973" t="s">
        <v>3197</v>
      </c>
      <c r="C273" s="2985"/>
      <c r="D273" s="2985"/>
      <c r="E273" s="2985"/>
      <c r="F273" s="2974">
        <v>0.05</v>
      </c>
      <c r="G273" s="2991"/>
    </row>
    <row r="274" spans="1:7">
      <c r="A274" s="2984" t="s">
        <v>305</v>
      </c>
      <c r="B274" s="2973" t="s">
        <v>3198</v>
      </c>
      <c r="C274" s="2985"/>
      <c r="D274" s="2985"/>
      <c r="E274" s="2985"/>
      <c r="F274" s="2974">
        <v>0.05</v>
      </c>
      <c r="G274" s="2991"/>
    </row>
    <row r="275" spans="1:7">
      <c r="A275" s="2984" t="s">
        <v>305</v>
      </c>
      <c r="B275" s="2973" t="s">
        <v>3199</v>
      </c>
      <c r="C275" s="2985"/>
      <c r="D275" s="2985"/>
      <c r="E275" s="2985"/>
      <c r="F275" s="2974">
        <v>0.05</v>
      </c>
      <c r="G275" s="2991"/>
    </row>
    <row r="276" spans="1:7" ht="14.25" thickBot="1">
      <c r="A276" s="2987" t="s">
        <v>305</v>
      </c>
      <c r="B276" s="2977" t="s">
        <v>3200</v>
      </c>
      <c r="C276" s="2979"/>
      <c r="D276" s="2979"/>
      <c r="E276" s="2979"/>
      <c r="F276" s="2978">
        <v>0.05</v>
      </c>
      <c r="G276" s="2992"/>
    </row>
    <row r="277" spans="1:7">
      <c r="A277" s="2983" t="s">
        <v>306</v>
      </c>
      <c r="B277" s="2969" t="s">
        <v>2844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2856</v>
      </c>
      <c r="C279" s="2974">
        <v>0.15</v>
      </c>
      <c r="D279" s="2974">
        <v>0.15</v>
      </c>
      <c r="E279" s="2974">
        <v>0.15</v>
      </c>
      <c r="F279" s="2974">
        <v>0.15</v>
      </c>
      <c r="G279" s="2975">
        <v>0.15</v>
      </c>
    </row>
    <row r="280" spans="1:7">
      <c r="A280" s="2984" t="s">
        <v>306</v>
      </c>
      <c r="B280" s="2973" t="s">
        <v>2860</v>
      </c>
      <c r="C280" s="2974">
        <v>0.15</v>
      </c>
      <c r="D280" s="2974">
        <v>0.15</v>
      </c>
      <c r="E280" s="2974">
        <v>0.15</v>
      </c>
      <c r="F280" s="2974">
        <v>0.15</v>
      </c>
      <c r="G280" s="2975">
        <v>0.15</v>
      </c>
    </row>
    <row r="281" spans="1:7">
      <c r="A281" s="2984" t="s">
        <v>306</v>
      </c>
      <c r="B281" s="2973" t="s">
        <v>2864</v>
      </c>
      <c r="C281" s="2974">
        <v>0.15</v>
      </c>
      <c r="D281" s="2974">
        <v>0.15</v>
      </c>
      <c r="E281" s="2974">
        <v>0.15</v>
      </c>
      <c r="F281" s="2974">
        <v>0.15</v>
      </c>
      <c r="G281" s="2975">
        <v>0.15</v>
      </c>
    </row>
    <row r="282" spans="1:7">
      <c r="A282" s="2984" t="s">
        <v>306</v>
      </c>
      <c r="B282" s="2973" t="s">
        <v>2868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2883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2888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2898</v>
      </c>
      <c r="C293" s="2974">
        <v>0.15</v>
      </c>
      <c r="D293" s="2974">
        <v>0.15</v>
      </c>
      <c r="E293" s="2974">
        <v>0.15</v>
      </c>
      <c r="F293" s="2974">
        <v>0.14499999999999999</v>
      </c>
      <c r="G293" s="2975">
        <v>0.15</v>
      </c>
    </row>
    <row r="294" spans="1:7">
      <c r="A294" s="2984" t="s">
        <v>306</v>
      </c>
      <c r="B294" s="2973" t="s">
        <v>2900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2917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2930</v>
      </c>
      <c r="C302" s="2974">
        <v>0.15</v>
      </c>
      <c r="D302" s="2974">
        <v>0.15</v>
      </c>
      <c r="E302" s="2974">
        <v>0.15</v>
      </c>
      <c r="F302" s="2974">
        <v>0.14699999999999999</v>
      </c>
      <c r="G302" s="2975">
        <v>0.15</v>
      </c>
    </row>
    <row r="303" spans="1:7">
      <c r="A303" s="2984" t="s">
        <v>306</v>
      </c>
      <c r="B303" s="2973" t="s">
        <v>2937</v>
      </c>
      <c r="C303" s="2974">
        <v>0.15</v>
      </c>
      <c r="D303" s="2974">
        <v>0.15</v>
      </c>
      <c r="E303" s="2974">
        <v>0.15</v>
      </c>
      <c r="F303" s="2974">
        <v>0.14199999999999999</v>
      </c>
      <c r="G303" s="2975">
        <v>0.15</v>
      </c>
    </row>
    <row r="304" spans="1:7">
      <c r="A304" s="2984" t="s">
        <v>306</v>
      </c>
      <c r="B304" s="2973" t="s">
        <v>2944</v>
      </c>
      <c r="C304" s="2974">
        <v>0.15</v>
      </c>
      <c r="D304" s="2974">
        <v>0.15</v>
      </c>
      <c r="E304" s="2974">
        <v>0.15</v>
      </c>
      <c r="F304" s="2974">
        <v>0.14499999999999999</v>
      </c>
      <c r="G304" s="2975">
        <v>0.15</v>
      </c>
    </row>
    <row r="305" spans="1:7">
      <c r="A305" s="2984" t="s">
        <v>306</v>
      </c>
      <c r="B305" s="2973" t="s">
        <v>2950</v>
      </c>
      <c r="C305" s="2974">
        <v>0.15</v>
      </c>
      <c r="D305" s="2974">
        <v>0.15</v>
      </c>
      <c r="E305" s="2974">
        <v>0.15</v>
      </c>
      <c r="F305" s="2974">
        <v>0.111</v>
      </c>
      <c r="G305" s="2975">
        <v>0.15</v>
      </c>
    </row>
    <row r="306" spans="1:7">
      <c r="A306" s="2984" t="s">
        <v>306</v>
      </c>
      <c r="B306" s="2973" t="s">
        <v>2957</v>
      </c>
      <c r="C306" s="2974">
        <v>0.15</v>
      </c>
      <c r="D306" s="2974">
        <v>0.15</v>
      </c>
      <c r="E306" s="2974">
        <v>0.15</v>
      </c>
      <c r="F306" s="2974">
        <v>0.126</v>
      </c>
      <c r="G306" s="2975">
        <v>0.15</v>
      </c>
    </row>
    <row r="307" spans="1:7">
      <c r="A307" s="2984" t="s">
        <v>306</v>
      </c>
      <c r="B307" s="2973" t="s">
        <v>2962</v>
      </c>
      <c r="C307" s="2974">
        <v>0.15</v>
      </c>
      <c r="D307" s="2974">
        <v>0.15</v>
      </c>
      <c r="E307" s="2974">
        <v>0.15</v>
      </c>
      <c r="F307" s="2974">
        <v>0.12</v>
      </c>
      <c r="G307" s="2975">
        <v>0.15</v>
      </c>
    </row>
    <row r="308" spans="1:7">
      <c r="A308" s="2984" t="s">
        <v>306</v>
      </c>
      <c r="B308" s="2973" t="s">
        <v>2968</v>
      </c>
      <c r="C308" s="2974">
        <v>0.15</v>
      </c>
      <c r="D308" s="2974">
        <v>0.15</v>
      </c>
      <c r="E308" s="2974">
        <v>0.15</v>
      </c>
      <c r="F308" s="2974">
        <v>0.13</v>
      </c>
      <c r="G308" s="2975">
        <v>0.15</v>
      </c>
    </row>
    <row r="309" spans="1:7">
      <c r="A309" s="2984" t="s">
        <v>306</v>
      </c>
      <c r="B309" s="2973" t="s">
        <v>2972</v>
      </c>
      <c r="C309" s="2974">
        <v>0.15</v>
      </c>
      <c r="D309" s="2974">
        <v>0.15</v>
      </c>
      <c r="E309" s="2974">
        <v>0.15</v>
      </c>
      <c r="F309" s="2974">
        <v>0.14099999999999999</v>
      </c>
      <c r="G309" s="2975">
        <v>0.15</v>
      </c>
    </row>
    <row r="310" spans="1:7">
      <c r="A310" s="2984" t="s">
        <v>306</v>
      </c>
      <c r="B310" s="2973" t="s">
        <v>2977</v>
      </c>
      <c r="C310" s="2974">
        <v>0.15</v>
      </c>
      <c r="D310" s="2974">
        <v>0.15</v>
      </c>
      <c r="E310" s="2974">
        <v>0.15</v>
      </c>
      <c r="F310" s="2974">
        <v>0.15</v>
      </c>
      <c r="G310" s="2975">
        <v>0.15</v>
      </c>
    </row>
    <row r="311" spans="1:7">
      <c r="A311" s="2984" t="s">
        <v>306</v>
      </c>
      <c r="B311" s="2973" t="s">
        <v>2982</v>
      </c>
      <c r="C311" s="2974">
        <v>0.13200000000000001</v>
      </c>
      <c r="D311" s="2974">
        <v>0.13300000000000001</v>
      </c>
      <c r="E311" s="2974">
        <v>0.14499999999999999</v>
      </c>
      <c r="F311" s="2974">
        <v>0.14199999999999999</v>
      </c>
      <c r="G311" s="2975">
        <v>0.14000000000000001</v>
      </c>
    </row>
    <row r="312" spans="1:7">
      <c r="A312" s="2984" t="s">
        <v>306</v>
      </c>
      <c r="B312" s="2973" t="s">
        <v>2987</v>
      </c>
      <c r="C312" s="2974">
        <v>0.13800000000000001</v>
      </c>
      <c r="D312" s="2974">
        <v>0.14000000000000001</v>
      </c>
      <c r="E312" s="2974">
        <v>0.14599999999999999</v>
      </c>
      <c r="F312" s="2974">
        <v>0.14899999999999999</v>
      </c>
      <c r="G312" s="2975">
        <v>0.14199999999999999</v>
      </c>
    </row>
    <row r="313" spans="1:7">
      <c r="A313" s="2984" t="s">
        <v>306</v>
      </c>
      <c r="B313" s="2973" t="s">
        <v>2992</v>
      </c>
      <c r="C313" s="2974">
        <v>0.125</v>
      </c>
      <c r="D313" s="2974">
        <v>0.127</v>
      </c>
      <c r="E313" s="2974">
        <v>0.14399999999999999</v>
      </c>
      <c r="F313" s="2974">
        <v>0.115</v>
      </c>
      <c r="G313" s="2975">
        <v>0.13600000000000001</v>
      </c>
    </row>
    <row r="314" spans="1:7">
      <c r="A314" s="2984" t="s">
        <v>306</v>
      </c>
      <c r="B314" s="2973" t="s">
        <v>3201</v>
      </c>
      <c r="C314" s="2990"/>
      <c r="D314" s="2990"/>
      <c r="E314" s="2990"/>
      <c r="F314" s="2974">
        <v>0.05</v>
      </c>
      <c r="G314" s="2991"/>
    </row>
    <row r="315" spans="1:7">
      <c r="A315" s="2984" t="s">
        <v>306</v>
      </c>
      <c r="B315" s="2973" t="s">
        <v>3202</v>
      </c>
      <c r="C315" s="2990"/>
      <c r="D315" s="2990"/>
      <c r="E315" s="2990"/>
      <c r="F315" s="2974">
        <v>0.05</v>
      </c>
      <c r="G315" s="2991"/>
    </row>
    <row r="316" spans="1:7">
      <c r="A316" s="2984" t="s">
        <v>306</v>
      </c>
      <c r="B316" s="2973" t="s">
        <v>3203</v>
      </c>
      <c r="C316" s="2985"/>
      <c r="D316" s="2985"/>
      <c r="E316" s="2985"/>
      <c r="F316" s="2974">
        <v>0.05</v>
      </c>
      <c r="G316" s="2991"/>
    </row>
    <row r="317" spans="1:7">
      <c r="A317" s="2984" t="s">
        <v>306</v>
      </c>
      <c r="B317" s="2973" t="s">
        <v>3204</v>
      </c>
      <c r="C317" s="2985"/>
      <c r="D317" s="2985"/>
      <c r="E317" s="2985"/>
      <c r="F317" s="2974">
        <v>0.05</v>
      </c>
      <c r="G317" s="2991"/>
    </row>
    <row r="318" spans="1:7">
      <c r="A318" s="2984" t="s">
        <v>306</v>
      </c>
      <c r="B318" s="2973" t="s">
        <v>3205</v>
      </c>
      <c r="C318" s="2985"/>
      <c r="D318" s="2985"/>
      <c r="E318" s="2985"/>
      <c r="F318" s="2974">
        <v>0.05</v>
      </c>
      <c r="G318" s="2991"/>
    </row>
    <row r="319" spans="1:7">
      <c r="A319" s="2984" t="s">
        <v>306</v>
      </c>
      <c r="B319" s="2973" t="s">
        <v>3206</v>
      </c>
      <c r="C319" s="2985"/>
      <c r="D319" s="2985"/>
      <c r="E319" s="2985"/>
      <c r="F319" s="2974">
        <v>0.05</v>
      </c>
      <c r="G319" s="2991"/>
    </row>
    <row r="320" spans="1:7">
      <c r="A320" s="2984" t="s">
        <v>306</v>
      </c>
      <c r="B320" s="2973" t="s">
        <v>3207</v>
      </c>
      <c r="C320" s="2985"/>
      <c r="D320" s="2985"/>
      <c r="E320" s="2985"/>
      <c r="F320" s="2974">
        <v>0.05</v>
      </c>
      <c r="G320" s="2991"/>
    </row>
    <row r="321" spans="1:7">
      <c r="A321" s="2984" t="s">
        <v>306</v>
      </c>
      <c r="B321" s="2973" t="s">
        <v>3208</v>
      </c>
      <c r="C321" s="2985"/>
      <c r="D321" s="2985"/>
      <c r="E321" s="2985"/>
      <c r="F321" s="2974">
        <v>0.05</v>
      </c>
      <c r="G321" s="2991"/>
    </row>
    <row r="322" spans="1:7">
      <c r="A322" s="2984" t="s">
        <v>306</v>
      </c>
      <c r="B322" s="2973" t="s">
        <v>3209</v>
      </c>
      <c r="C322" s="2985"/>
      <c r="D322" s="2985"/>
      <c r="E322" s="2985"/>
      <c r="F322" s="2974">
        <v>0.05</v>
      </c>
      <c r="G322" s="2991"/>
    </row>
    <row r="323" spans="1:7">
      <c r="A323" s="2984" t="s">
        <v>306</v>
      </c>
      <c r="B323" s="2973" t="s">
        <v>3210</v>
      </c>
      <c r="C323" s="2985"/>
      <c r="D323" s="2985"/>
      <c r="E323" s="2985"/>
      <c r="F323" s="2974">
        <v>0.05</v>
      </c>
      <c r="G323" s="2991"/>
    </row>
    <row r="324" spans="1:7">
      <c r="A324" s="2984" t="s">
        <v>306</v>
      </c>
      <c r="B324" s="2973" t="s">
        <v>3211</v>
      </c>
      <c r="C324" s="2985"/>
      <c r="D324" s="2985"/>
      <c r="E324" s="2985"/>
      <c r="F324" s="2974">
        <v>0.05</v>
      </c>
      <c r="G324" s="2991"/>
    </row>
    <row r="325" spans="1:7">
      <c r="A325" s="2984" t="s">
        <v>306</v>
      </c>
      <c r="B325" s="2973" t="s">
        <v>3212</v>
      </c>
      <c r="C325" s="2985"/>
      <c r="D325" s="2985"/>
      <c r="E325" s="2985"/>
      <c r="F325" s="2974">
        <v>0.05</v>
      </c>
      <c r="G325" s="2991"/>
    </row>
    <row r="326" spans="1:7" ht="14.25" thickBot="1">
      <c r="A326" s="2987" t="s">
        <v>306</v>
      </c>
      <c r="B326" s="2977" t="s">
        <v>3213</v>
      </c>
      <c r="C326" s="2979"/>
      <c r="D326" s="2979"/>
      <c r="E326" s="2979"/>
      <c r="F326" s="2978">
        <v>0.05</v>
      </c>
      <c r="G326" s="2992"/>
    </row>
    <row r="327" spans="1:7">
      <c r="A327" s="2983" t="s">
        <v>307</v>
      </c>
      <c r="B327" s="2969" t="s">
        <v>2845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2857</v>
      </c>
      <c r="C329" s="2974">
        <v>0.15</v>
      </c>
      <c r="D329" s="2974">
        <v>0.15</v>
      </c>
      <c r="E329" s="2974">
        <v>0.15</v>
      </c>
      <c r="F329" s="2974">
        <v>0.15</v>
      </c>
      <c r="G329" s="2975">
        <v>0.15</v>
      </c>
    </row>
    <row r="330" spans="1:7">
      <c r="A330" s="2984" t="s">
        <v>307</v>
      </c>
      <c r="B330" s="2973" t="s">
        <v>2861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2869</v>
      </c>
      <c r="C332" s="2974">
        <v>0.15</v>
      </c>
      <c r="D332" s="2974">
        <v>0.15</v>
      </c>
      <c r="E332" s="2974">
        <v>0.15</v>
      </c>
      <c r="F332" s="2974">
        <v>0.15</v>
      </c>
      <c r="G332" s="2975">
        <v>0.15</v>
      </c>
    </row>
    <row r="333" spans="1:7">
      <c r="A333" s="2984" t="s">
        <v>307</v>
      </c>
      <c r="B333" s="2973" t="s">
        <v>2873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2879</v>
      </c>
      <c r="C336" s="2974">
        <v>0.15</v>
      </c>
      <c r="D336" s="2974">
        <v>0.15</v>
      </c>
      <c r="E336" s="2974">
        <v>0.15</v>
      </c>
      <c r="F336" s="2974">
        <v>0.14199999999999999</v>
      </c>
      <c r="G336" s="2975">
        <v>0.15</v>
      </c>
    </row>
    <row r="337" spans="1:7">
      <c r="A337" s="2984" t="s">
        <v>307</v>
      </c>
      <c r="B337" s="2973" t="s">
        <v>2884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2896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2904</v>
      </c>
      <c r="C345" s="2974">
        <v>0.15</v>
      </c>
      <c r="D345" s="2974">
        <v>0.15</v>
      </c>
      <c r="E345" s="2974">
        <v>0.15</v>
      </c>
      <c r="F345" s="2974">
        <v>0.13800000000000001</v>
      </c>
      <c r="G345" s="2975">
        <v>0.15</v>
      </c>
    </row>
    <row r="346" spans="1:7">
      <c r="A346" s="2984" t="s">
        <v>307</v>
      </c>
      <c r="B346" s="2973" t="s">
        <v>2906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2913</v>
      </c>
      <c r="C348" s="2974">
        <v>0.15</v>
      </c>
      <c r="D348" s="2974">
        <v>0.15</v>
      </c>
      <c r="E348" s="2974">
        <v>0.15</v>
      </c>
      <c r="F348" s="2974">
        <v>0.14399999999999999</v>
      </c>
      <c r="G348" s="2975">
        <v>0.15</v>
      </c>
    </row>
    <row r="349" spans="1:7">
      <c r="A349" s="2984" t="s">
        <v>307</v>
      </c>
      <c r="B349" s="2973" t="s">
        <v>2918</v>
      </c>
      <c r="C349" s="2974">
        <v>0.15</v>
      </c>
      <c r="D349" s="2974">
        <v>0.15</v>
      </c>
      <c r="E349" s="2974">
        <v>0.15</v>
      </c>
      <c r="F349" s="2974">
        <v>0.15</v>
      </c>
      <c r="G349" s="2975">
        <v>0.15</v>
      </c>
    </row>
    <row r="350" spans="1:7">
      <c r="A350" s="2984" t="s">
        <v>307</v>
      </c>
      <c r="B350" s="2973" t="s">
        <v>2921</v>
      </c>
      <c r="C350" s="2974">
        <v>0.15</v>
      </c>
      <c r="D350" s="2974">
        <v>0.15</v>
      </c>
      <c r="E350" s="2974">
        <v>0.15</v>
      </c>
      <c r="F350" s="2974">
        <v>0.14699999999999999</v>
      </c>
      <c r="G350" s="2975">
        <v>0.15</v>
      </c>
    </row>
    <row r="351" spans="1:7">
      <c r="A351" s="2984" t="s">
        <v>307</v>
      </c>
      <c r="B351" s="2973" t="s">
        <v>2926</v>
      </c>
      <c r="C351" s="2974">
        <v>0.15</v>
      </c>
      <c r="D351" s="2974">
        <v>0.15</v>
      </c>
      <c r="E351" s="2974">
        <v>0.15</v>
      </c>
      <c r="F351" s="2974">
        <v>0.13</v>
      </c>
      <c r="G351" s="2975">
        <v>0.15</v>
      </c>
    </row>
    <row r="352" spans="1:7">
      <c r="A352" s="2984" t="s">
        <v>307</v>
      </c>
      <c r="B352" s="2973" t="s">
        <v>2931</v>
      </c>
      <c r="C352" s="2974">
        <v>0.15</v>
      </c>
      <c r="D352" s="2974">
        <v>0.15</v>
      </c>
      <c r="E352" s="2974">
        <v>0.15</v>
      </c>
      <c r="F352" s="2974">
        <v>0.14599999999999999</v>
      </c>
      <c r="G352" s="2975">
        <v>0.15</v>
      </c>
    </row>
    <row r="353" spans="1:7">
      <c r="A353" s="2984" t="s">
        <v>307</v>
      </c>
      <c r="B353" s="2973" t="s">
        <v>2938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2951</v>
      </c>
      <c r="C355" s="2974">
        <v>0.15</v>
      </c>
      <c r="D355" s="2974">
        <v>0.15</v>
      </c>
      <c r="E355" s="2974">
        <v>0.15</v>
      </c>
      <c r="F355" s="2974">
        <v>0.15</v>
      </c>
      <c r="G355" s="2975">
        <v>0.15</v>
      </c>
    </row>
    <row r="356" spans="1:7">
      <c r="A356" s="2984" t="s">
        <v>307</v>
      </c>
      <c r="B356" s="2973" t="s">
        <v>2958</v>
      </c>
      <c r="C356" s="2974">
        <v>0.15</v>
      </c>
      <c r="D356" s="2974">
        <v>0.15</v>
      </c>
      <c r="E356" s="2974">
        <v>0.15</v>
      </c>
      <c r="F356" s="2974">
        <v>0.15</v>
      </c>
      <c r="G356" s="2975">
        <v>0.15</v>
      </c>
    </row>
    <row r="357" spans="1:7" ht="14.25" thickBot="1">
      <c r="A357" s="2987" t="s">
        <v>307</v>
      </c>
      <c r="B357" s="2977" t="s">
        <v>2963</v>
      </c>
      <c r="C357" s="2978">
        <v>0.126</v>
      </c>
      <c r="D357" s="2978">
        <v>0.127</v>
      </c>
      <c r="E357" s="2978">
        <v>0.14299999999999999</v>
      </c>
      <c r="F357" s="2978">
        <v>0.125</v>
      </c>
      <c r="G357" s="2980">
        <v>0.129</v>
      </c>
    </row>
    <row r="358" spans="1:7">
      <c r="A358" s="2983" t="s">
        <v>2832</v>
      </c>
      <c r="B358" s="2969" t="s">
        <v>2846</v>
      </c>
      <c r="C358" s="2970">
        <v>0.15</v>
      </c>
      <c r="D358" s="2970">
        <v>0.15</v>
      </c>
      <c r="E358" s="2970">
        <v>0.15</v>
      </c>
      <c r="F358" s="2970">
        <v>0.15</v>
      </c>
      <c r="G358" s="2971">
        <v>0.15</v>
      </c>
    </row>
    <row r="359" spans="1:7">
      <c r="A359" s="2984" t="s">
        <v>2832</v>
      </c>
      <c r="B359" s="2973" t="s">
        <v>2852</v>
      </c>
      <c r="C359" s="2974">
        <v>0.1</v>
      </c>
      <c r="D359" s="2974">
        <v>0.1</v>
      </c>
      <c r="E359" s="2974">
        <v>0.1</v>
      </c>
      <c r="F359" s="2974">
        <v>0.1</v>
      </c>
      <c r="G359" s="2975">
        <v>0.1</v>
      </c>
    </row>
    <row r="360" spans="1:7">
      <c r="A360" s="2984" t="s">
        <v>2832</v>
      </c>
      <c r="B360" s="2973" t="s">
        <v>2858</v>
      </c>
      <c r="C360" s="2974">
        <v>0.15</v>
      </c>
      <c r="D360" s="2974">
        <v>0.15</v>
      </c>
      <c r="E360" s="2974">
        <v>0.15</v>
      </c>
      <c r="F360" s="2974">
        <v>0.14899999999999999</v>
      </c>
      <c r="G360" s="2975">
        <v>0.15</v>
      </c>
    </row>
    <row r="361" spans="1:7">
      <c r="A361" s="2984" t="s">
        <v>2832</v>
      </c>
      <c r="B361" s="2973" t="s">
        <v>153</v>
      </c>
      <c r="C361" s="2974">
        <v>0.15</v>
      </c>
      <c r="D361" s="2974">
        <v>0.15</v>
      </c>
      <c r="E361" s="2974">
        <v>0.15</v>
      </c>
      <c r="F361" s="2974">
        <v>0.115</v>
      </c>
      <c r="G361" s="2975">
        <v>0.15</v>
      </c>
    </row>
    <row r="362" spans="1:7">
      <c r="A362" s="2984" t="s">
        <v>2832</v>
      </c>
      <c r="B362" s="2973" t="s">
        <v>2865</v>
      </c>
      <c r="C362" s="2974">
        <v>0.15</v>
      </c>
      <c r="D362" s="2974">
        <v>0.15</v>
      </c>
      <c r="E362" s="2974">
        <v>0.15</v>
      </c>
      <c r="F362" s="2974">
        <v>0.106</v>
      </c>
      <c r="G362" s="2975">
        <v>0.15</v>
      </c>
    </row>
    <row r="363" spans="1:7">
      <c r="A363" s="2984" t="s">
        <v>2832</v>
      </c>
      <c r="B363" s="2973" t="s">
        <v>2870</v>
      </c>
      <c r="C363" s="2974">
        <v>0.15</v>
      </c>
      <c r="D363" s="2974">
        <v>0.15</v>
      </c>
      <c r="E363" s="2974">
        <v>0.15</v>
      </c>
      <c r="F363" s="2974">
        <v>0.14699999999999999</v>
      </c>
      <c r="G363" s="2975">
        <v>0.15</v>
      </c>
    </row>
    <row r="364" spans="1:7">
      <c r="A364" s="2984" t="s">
        <v>2832</v>
      </c>
      <c r="B364" s="2973" t="s">
        <v>2874</v>
      </c>
      <c r="C364" s="2974">
        <v>0.15</v>
      </c>
      <c r="D364" s="2974">
        <v>0.15</v>
      </c>
      <c r="E364" s="2974">
        <v>0.15</v>
      </c>
      <c r="F364" s="2974">
        <v>0.14799999999999999</v>
      </c>
      <c r="G364" s="2975">
        <v>0.15</v>
      </c>
    </row>
    <row r="365" spans="1:7">
      <c r="A365" s="2984" t="s">
        <v>2832</v>
      </c>
      <c r="B365" s="2973" t="s">
        <v>200</v>
      </c>
      <c r="C365" s="2974">
        <v>0.15</v>
      </c>
      <c r="D365" s="2974">
        <v>0.15</v>
      </c>
      <c r="E365" s="2974">
        <v>0.15</v>
      </c>
      <c r="F365" s="2974">
        <v>0.15</v>
      </c>
      <c r="G365" s="2975">
        <v>0.15</v>
      </c>
    </row>
    <row r="366" spans="1:7">
      <c r="A366" s="2984" t="s">
        <v>2832</v>
      </c>
      <c r="B366" s="2973" t="s">
        <v>2877</v>
      </c>
      <c r="C366" s="2974">
        <v>0.15</v>
      </c>
      <c r="D366" s="2974">
        <v>0.15</v>
      </c>
      <c r="E366" s="2974">
        <v>0.15</v>
      </c>
      <c r="F366" s="2974">
        <v>0.15</v>
      </c>
      <c r="G366" s="2975">
        <v>0.15</v>
      </c>
    </row>
    <row r="367" spans="1:7">
      <c r="A367" s="2984" t="s">
        <v>2832</v>
      </c>
      <c r="B367" s="2973" t="s">
        <v>2880</v>
      </c>
      <c r="C367" s="2974">
        <v>0.15</v>
      </c>
      <c r="D367" s="2974">
        <v>0.15</v>
      </c>
      <c r="E367" s="2974">
        <v>0.15</v>
      </c>
      <c r="F367" s="2974">
        <v>0.14699999999999999</v>
      </c>
      <c r="G367" s="2975">
        <v>0.15</v>
      </c>
    </row>
    <row r="368" spans="1:7">
      <c r="A368" s="2984" t="s">
        <v>2832</v>
      </c>
      <c r="B368" s="2973" t="s">
        <v>2885</v>
      </c>
      <c r="C368" s="2974">
        <v>0.15</v>
      </c>
      <c r="D368" s="2974">
        <v>0.15</v>
      </c>
      <c r="E368" s="2974">
        <v>0.15</v>
      </c>
      <c r="F368" s="2974">
        <v>0.13600000000000001</v>
      </c>
      <c r="G368" s="2975">
        <v>0.15</v>
      </c>
    </row>
    <row r="369" spans="1:7">
      <c r="A369" s="2984" t="s">
        <v>2832</v>
      </c>
      <c r="B369" s="2973" t="s">
        <v>214</v>
      </c>
      <c r="C369" s="2974">
        <v>0.15</v>
      </c>
      <c r="D369" s="2974">
        <v>0.15</v>
      </c>
      <c r="E369" s="2974">
        <v>0.15</v>
      </c>
      <c r="F369" s="2974">
        <v>0.14399999999999999</v>
      </c>
      <c r="G369" s="2975">
        <v>0.15</v>
      </c>
    </row>
    <row r="370" spans="1:7">
      <c r="A370" s="2984" t="s">
        <v>2832</v>
      </c>
      <c r="B370" s="2973" t="s">
        <v>221</v>
      </c>
      <c r="C370" s="2974">
        <v>0.15</v>
      </c>
      <c r="D370" s="2974">
        <v>0.15</v>
      </c>
      <c r="E370" s="2974">
        <v>0.15</v>
      </c>
      <c r="F370" s="2974">
        <v>0.14599999999999999</v>
      </c>
      <c r="G370" s="2975">
        <v>0.15</v>
      </c>
    </row>
    <row r="371" spans="1:7">
      <c r="A371" s="2984" t="s">
        <v>2832</v>
      </c>
      <c r="B371" s="2973" t="s">
        <v>229</v>
      </c>
      <c r="C371" s="2974">
        <v>0.15</v>
      </c>
      <c r="D371" s="2974">
        <v>0.15</v>
      </c>
      <c r="E371" s="2974">
        <v>0.15</v>
      </c>
      <c r="F371" s="2974">
        <v>0.12</v>
      </c>
      <c r="G371" s="2975">
        <v>0.15</v>
      </c>
    </row>
    <row r="372" spans="1:7">
      <c r="A372" s="2984" t="s">
        <v>2832</v>
      </c>
      <c r="B372" s="2973" t="s">
        <v>2893</v>
      </c>
      <c r="C372" s="2974">
        <v>0.15</v>
      </c>
      <c r="D372" s="2974">
        <v>0.15</v>
      </c>
      <c r="E372" s="2974">
        <v>0.15</v>
      </c>
      <c r="F372" s="2974">
        <v>0.14299999999999999</v>
      </c>
      <c r="G372" s="2975">
        <v>0.15</v>
      </c>
    </row>
    <row r="373" spans="1:7">
      <c r="A373" s="2984" t="s">
        <v>2832</v>
      </c>
      <c r="B373" s="2973" t="s">
        <v>258</v>
      </c>
      <c r="C373" s="2974">
        <v>0.15</v>
      </c>
      <c r="D373" s="2974">
        <v>0.15</v>
      </c>
      <c r="E373" s="2974">
        <v>0.15</v>
      </c>
      <c r="F373" s="2974">
        <v>0.14599999999999999</v>
      </c>
      <c r="G373" s="2975">
        <v>0.15</v>
      </c>
    </row>
    <row r="374" spans="1:7">
      <c r="A374" s="2984" t="s">
        <v>2832</v>
      </c>
      <c r="B374" s="2973" t="s">
        <v>266</v>
      </c>
      <c r="C374" s="2974">
        <v>0.15</v>
      </c>
      <c r="D374" s="2974">
        <v>0.15</v>
      </c>
      <c r="E374" s="2974">
        <v>0.15</v>
      </c>
      <c r="F374" s="2974">
        <v>0.14399999999999999</v>
      </c>
      <c r="G374" s="2975">
        <v>0.15</v>
      </c>
    </row>
    <row r="375" spans="1:7">
      <c r="A375" s="2984" t="s">
        <v>2832</v>
      </c>
      <c r="B375" s="2973" t="s">
        <v>2901</v>
      </c>
      <c r="C375" s="2974">
        <v>0.15</v>
      </c>
      <c r="D375" s="2974">
        <v>0.15</v>
      </c>
      <c r="E375" s="2974">
        <v>0.15</v>
      </c>
      <c r="F375" s="2974">
        <v>0.13</v>
      </c>
      <c r="G375" s="2975">
        <v>0.15</v>
      </c>
    </row>
    <row r="376" spans="1:7">
      <c r="A376" s="2984" t="s">
        <v>2832</v>
      </c>
      <c r="B376" s="2973" t="s">
        <v>277</v>
      </c>
      <c r="C376" s="2974">
        <v>0.15</v>
      </c>
      <c r="D376" s="2974">
        <v>0.15</v>
      </c>
      <c r="E376" s="2974">
        <v>0.15</v>
      </c>
      <c r="F376" s="2974">
        <v>0.14199999999999999</v>
      </c>
      <c r="G376" s="2975">
        <v>0.15</v>
      </c>
    </row>
    <row r="377" spans="1:7" ht="14.25" thickBot="1">
      <c r="A377" s="2987" t="s">
        <v>2832</v>
      </c>
      <c r="B377" s="2977" t="s">
        <v>2907</v>
      </c>
      <c r="C377" s="2978">
        <v>0.15</v>
      </c>
      <c r="D377" s="2978">
        <v>0.15</v>
      </c>
      <c r="E377" s="2978">
        <v>0.15</v>
      </c>
      <c r="F377" s="2978">
        <v>0.14000000000000001</v>
      </c>
      <c r="G377" s="2980">
        <v>0.15</v>
      </c>
    </row>
    <row r="378" spans="1:7">
      <c r="A378" s="2983" t="s">
        <v>2833</v>
      </c>
      <c r="B378" s="2969" t="s">
        <v>2847</v>
      </c>
      <c r="C378" s="2970">
        <v>0.15</v>
      </c>
      <c r="D378" s="2970">
        <v>0.15</v>
      </c>
      <c r="E378" s="2970">
        <v>0.15</v>
      </c>
      <c r="F378" s="2970">
        <v>0.107</v>
      </c>
      <c r="G378" s="2971">
        <v>0.15</v>
      </c>
    </row>
    <row r="379" spans="1:7">
      <c r="A379" s="2984" t="s">
        <v>2833</v>
      </c>
      <c r="B379" s="2973" t="s">
        <v>2853</v>
      </c>
      <c r="C379" s="2974">
        <v>0.15</v>
      </c>
      <c r="D379" s="2974">
        <v>0.15</v>
      </c>
      <c r="E379" s="2974">
        <v>0.15</v>
      </c>
      <c r="F379" s="2974">
        <v>0.115</v>
      </c>
      <c r="G379" s="2975">
        <v>0.14899999999999999</v>
      </c>
    </row>
    <row r="380" spans="1:7">
      <c r="A380" s="2984" t="s">
        <v>2833</v>
      </c>
      <c r="B380" s="2973" t="s">
        <v>2859</v>
      </c>
      <c r="C380" s="2974">
        <v>0.15</v>
      </c>
      <c r="D380" s="2974">
        <v>0.15</v>
      </c>
      <c r="E380" s="2974">
        <v>0.15</v>
      </c>
      <c r="F380" s="2974">
        <v>0.1</v>
      </c>
      <c r="G380" s="2975">
        <v>0.14799999999999999</v>
      </c>
    </row>
    <row r="381" spans="1:7">
      <c r="A381" s="2984" t="s">
        <v>2833</v>
      </c>
      <c r="B381" s="2973" t="s">
        <v>2862</v>
      </c>
      <c r="C381" s="2974">
        <v>0.15</v>
      </c>
      <c r="D381" s="2974">
        <v>0.15</v>
      </c>
      <c r="E381" s="2974">
        <v>0.15</v>
      </c>
      <c r="F381" s="2974">
        <v>0.126</v>
      </c>
      <c r="G381" s="2975">
        <v>0.15</v>
      </c>
    </row>
    <row r="382" spans="1:7">
      <c r="A382" s="2984" t="s">
        <v>2833</v>
      </c>
      <c r="B382" s="2973" t="s">
        <v>2866</v>
      </c>
      <c r="C382" s="2974">
        <v>0.15</v>
      </c>
      <c r="D382" s="2974">
        <v>0.15</v>
      </c>
      <c r="E382" s="2974">
        <v>0.15</v>
      </c>
      <c r="F382" s="2974">
        <v>0.15</v>
      </c>
      <c r="G382" s="2975">
        <v>0.15</v>
      </c>
    </row>
    <row r="383" spans="1:7">
      <c r="A383" s="2984" t="s">
        <v>2833</v>
      </c>
      <c r="B383" s="2973" t="s">
        <v>2871</v>
      </c>
      <c r="C383" s="2974">
        <v>0.15</v>
      </c>
      <c r="D383" s="2974">
        <v>0.15</v>
      </c>
      <c r="E383" s="2974">
        <v>0.15</v>
      </c>
      <c r="F383" s="2974">
        <v>0.14699999999999999</v>
      </c>
      <c r="G383" s="2975">
        <v>0.15</v>
      </c>
    </row>
    <row r="384" spans="1:7" ht="14.25" thickBot="1">
      <c r="A384" s="2994" t="s">
        <v>2833</v>
      </c>
      <c r="B384" s="2995" t="s">
        <v>2875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9"/>
  </cols>
  <sheetData>
    <row r="1" spans="1:6" ht="14.25">
      <c r="A1" s="3501" t="s">
        <v>3214</v>
      </c>
      <c r="B1" s="3501"/>
      <c r="C1" s="3501"/>
      <c r="D1" s="3501"/>
      <c r="E1" s="3501"/>
      <c r="F1" s="3502"/>
    </row>
    <row r="2" spans="1:6" ht="14.25">
      <c r="A2" s="2998" t="s">
        <v>3215</v>
      </c>
    </row>
    <row r="3" spans="1:6" ht="14.25">
      <c r="A3" s="2998" t="s">
        <v>3216</v>
      </c>
      <c r="F3" s="2999" t="s">
        <v>3217</v>
      </c>
    </row>
    <row r="4" spans="1:6">
      <c r="A4" s="3000" t="s">
        <v>664</v>
      </c>
      <c r="B4" s="3000" t="s">
        <v>665</v>
      </c>
      <c r="C4" s="3000" t="s">
        <v>21</v>
      </c>
      <c r="D4" s="3000" t="s">
        <v>666</v>
      </c>
      <c r="E4" s="3000" t="s">
        <v>3</v>
      </c>
      <c r="F4" s="3000" t="s">
        <v>3218</v>
      </c>
    </row>
    <row r="5" spans="1:6">
      <c r="A5" s="3001" t="s">
        <v>667</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3">
        <f>基准地价修正!G23</f>
        <v>45943</v>
      </c>
      <c r="B1" s="2925" t="s">
        <v>3357</v>
      </c>
      <c r="C1" s="2926"/>
      <c r="D1" s="2926"/>
      <c r="E1" s="2926"/>
      <c r="F1" s="2926"/>
      <c r="G1" s="2926"/>
      <c r="H1" s="2926"/>
      <c r="I1" s="2926"/>
      <c r="J1" s="2892"/>
      <c r="K1" s="2926" t="s">
        <v>454</v>
      </c>
      <c r="L1" s="2926"/>
      <c r="M1" s="2926"/>
      <c r="N1" s="2926"/>
      <c r="O1" s="2926"/>
      <c r="P1" s="2926"/>
      <c r="Q1" s="2892"/>
      <c r="R1" s="3503" t="s">
        <v>456</v>
      </c>
      <c r="S1" s="3504"/>
      <c r="T1" s="3504"/>
      <c r="U1" s="3504"/>
      <c r="V1" s="3504"/>
      <c r="W1" s="3504"/>
      <c r="X1" s="2892"/>
      <c r="Y1" s="3503" t="s">
        <v>457</v>
      </c>
      <c r="Z1" s="3504"/>
      <c r="AA1" s="3504"/>
      <c r="AB1" s="3504"/>
      <c r="AC1" s="3504"/>
      <c r="AD1" s="3504"/>
    </row>
    <row r="2" spans="1:44" s="2005" customFormat="1" ht="14.25" thickBot="1">
      <c r="B2" s="2877"/>
      <c r="C2" s="2878"/>
      <c r="D2" s="2006" t="s">
        <v>2792</v>
      </c>
      <c r="E2" s="2007" t="s">
        <v>2793</v>
      </c>
      <c r="F2" s="2007" t="s">
        <v>2794</v>
      </c>
      <c r="G2" s="2007" t="s">
        <v>2795</v>
      </c>
      <c r="H2" s="2007" t="s">
        <v>2796</v>
      </c>
      <c r="I2" s="2007" t="s">
        <v>2613</v>
      </c>
      <c r="J2" s="2879"/>
      <c r="K2" s="2006" t="s">
        <v>2792</v>
      </c>
      <c r="L2" s="2007" t="s">
        <v>2793</v>
      </c>
      <c r="M2" s="2007" t="s">
        <v>2794</v>
      </c>
      <c r="N2" s="2007" t="s">
        <v>2795</v>
      </c>
      <c r="O2" s="2007" t="s">
        <v>2797</v>
      </c>
      <c r="P2" s="2007" t="s">
        <v>2613</v>
      </c>
      <c r="Q2" s="2879"/>
      <c r="R2" s="2006" t="s">
        <v>2792</v>
      </c>
      <c r="S2" s="2007" t="s">
        <v>2793</v>
      </c>
      <c r="T2" s="2007" t="s">
        <v>2794</v>
      </c>
      <c r="U2" s="2007" t="s">
        <v>2798</v>
      </c>
      <c r="V2" s="2007" t="s">
        <v>2799</v>
      </c>
      <c r="W2" s="2007" t="s">
        <v>2613</v>
      </c>
      <c r="X2" s="2879"/>
      <c r="Y2" s="2006" t="s">
        <v>2792</v>
      </c>
      <c r="Z2" s="2007" t="s">
        <v>2793</v>
      </c>
      <c r="AA2" s="2007" t="s">
        <v>2794</v>
      </c>
      <c r="AB2" s="2007" t="s">
        <v>2800</v>
      </c>
      <c r="AC2" s="2007" t="s">
        <v>2799</v>
      </c>
      <c r="AD2" s="2007" t="s">
        <v>2613</v>
      </c>
      <c r="AF2" t="s">
        <v>3384</v>
      </c>
      <c r="AG2" t="s">
        <v>665</v>
      </c>
      <c r="AH2" t="s">
        <v>21</v>
      </c>
      <c r="AI2" t="s">
        <v>3385</v>
      </c>
      <c r="AJ2" t="s">
        <v>3</v>
      </c>
      <c r="AK2" t="s">
        <v>3386</v>
      </c>
      <c r="AM2" t="s">
        <v>3384</v>
      </c>
      <c r="AN2" t="s">
        <v>665</v>
      </c>
      <c r="AO2" t="s">
        <v>21</v>
      </c>
      <c r="AP2" t="s">
        <v>3385</v>
      </c>
      <c r="AQ2" t="s">
        <v>3</v>
      </c>
      <c r="AR2" t="s">
        <v>3386</v>
      </c>
    </row>
    <row r="3" spans="1:44" s="2882" customFormat="1" ht="12.75">
      <c r="A3" s="2880" t="s">
        <v>2801</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3383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1.0577000000000001</v>
      </c>
      <c r="S5" s="2022">
        <f>ROUND(IF(项目基本情况!$B$8="出让",SUMPRODUCT(PRODUCT(1+L5:$L$24)),SUMPRODUCT(PRODUCT(1+L5:$L$23))),4)</f>
        <v>1.0275000000000001</v>
      </c>
      <c r="T5" s="2022">
        <f>ROUND(IF(项目基本情况!$B$8="出让",SUMPRODUCT(PRODUCT(1+M5:$M$24)),SUMPRODUCT(PRODUCT(1+M5:$M$23))),4)</f>
        <v>0.98089999999999999</v>
      </c>
      <c r="U5" s="2022">
        <f>ROUND(IF(项目基本情况!$B$8="出让",SUMPRODUCT(PRODUCT(1+N5:$N$24)),SUMPRODUCT(PRODUCT(1+N5:$N$23))),4)</f>
        <v>1.0689</v>
      </c>
      <c r="V5" s="2022">
        <f>ROUND(IF(项目基本情况!$B$8="出让",SUMPRODUCT(PRODUCT(1+O5:$O$24)),SUMPRODUCT(PRODUCT(1+O5:$O$23))),4)</f>
        <v>1.0891</v>
      </c>
      <c r="W5" s="2022">
        <f t="shared" ref="W5:W11" si="11">T5</f>
        <v>0.98089999999999999</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0" customFormat="1" ht="12.75">
      <c r="A6" s="2035" t="s">
        <v>3382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1.0577000000000001</v>
      </c>
      <c r="S6" s="2022">
        <f>ROUND(IF(项目基本情况!$B$8="出让",SUMPRODUCT(PRODUCT(1+L6:$L$24)),SUMPRODUCT(PRODUCT(1+L6:$L$23))),4)</f>
        <v>1.0275000000000001</v>
      </c>
      <c r="T6" s="2022">
        <f>ROUND(IF(项目基本情况!$B$8="出让",SUMPRODUCT(PRODUCT(1+M6:$M$24)),SUMPRODUCT(PRODUCT(1+M6:$M$23))),4)</f>
        <v>0.98089999999999999</v>
      </c>
      <c r="U6" s="2022">
        <f>ROUND(IF(项目基本情况!$B$8="出让",SUMPRODUCT(PRODUCT(1+N6:$N$24)),SUMPRODUCT(PRODUCT(1+N6:$N$23))),4)</f>
        <v>1.0689</v>
      </c>
      <c r="V6" s="2022">
        <f>ROUND(IF(项目基本情况!$B$8="出让",SUMPRODUCT(PRODUCT(1+O6:$O$24)),SUMPRODUCT(PRODUCT(1+O6:$O$23))),4)</f>
        <v>1.0891</v>
      </c>
      <c r="W6" s="2022">
        <f t="shared" si="11"/>
        <v>0.98089999999999999</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3381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3389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0" customFormat="1" ht="12.75">
      <c r="A9" s="2035" t="s">
        <v>3388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0" customFormat="1" ht="12.75">
      <c r="A10" s="2035" t="s">
        <v>3361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0" customFormat="1" ht="12.75">
      <c r="A11" s="2901" t="s">
        <v>3355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0" customFormat="1" ht="12.75">
      <c r="A12" s="2901" t="s">
        <v>3354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0" customFormat="1" ht="12.75">
      <c r="A13" s="2901" t="s">
        <v>3350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0" customFormat="1" ht="12.75">
      <c r="A14" s="2901" t="s">
        <v>3349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0" customFormat="1" ht="12.75">
      <c r="A15" s="2901" t="s">
        <v>3347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0" customFormat="1" ht="12.75">
      <c r="A16" s="2901" t="s">
        <v>3346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0" customFormat="1" ht="12.75">
      <c r="A17" s="2901" t="s">
        <v>3345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0" customFormat="1" ht="12.75">
      <c r="A18" s="2901" t="s">
        <v>3343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0" customFormat="1" ht="12.75">
      <c r="A19" s="2901" t="s">
        <v>3334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0" customFormat="1" ht="12.75">
      <c r="A20" s="2901" t="s">
        <v>2802</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0" customFormat="1" ht="12.75">
      <c r="A21" s="2901" t="s">
        <v>2803</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0" customFormat="1" ht="12.75">
      <c r="A22" s="2901" t="s">
        <v>2804</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0" customFormat="1" ht="12.75">
      <c r="A23" s="2901" t="s">
        <v>2805</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4.25" thickBot="1">
      <c r="A24" s="2914" t="s">
        <v>2806</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4.25" thickTop="1"/>
    <row r="26" spans="1:44">
      <c r="A26" s="3138" t="s">
        <v>3360</v>
      </c>
    </row>
    <row r="27" spans="1:44">
      <c r="I27" s="1401" t="s">
        <v>2807</v>
      </c>
    </row>
    <row r="29" spans="1:44" s="2004" customFormat="1" ht="12.75">
      <c r="B29" s="2925" t="s">
        <v>3358</v>
      </c>
      <c r="C29" s="2926"/>
      <c r="D29" s="2926"/>
      <c r="E29" s="2926"/>
      <c r="F29" s="2926"/>
      <c r="G29" s="2926"/>
      <c r="H29" s="2926"/>
      <c r="I29" s="2926"/>
      <c r="J29" s="2892"/>
      <c r="K29" s="2926" t="s">
        <v>2808</v>
      </c>
      <c r="L29" s="2926"/>
      <c r="M29" s="2926"/>
      <c r="N29" s="2926"/>
      <c r="O29" s="2926"/>
      <c r="P29" s="2926"/>
      <c r="Q29" s="2892"/>
      <c r="R29" s="3503" t="s">
        <v>2809</v>
      </c>
      <c r="S29" s="3504"/>
      <c r="T29" s="3504"/>
      <c r="U29" s="3504"/>
      <c r="V29" s="3504"/>
      <c r="W29" s="3504"/>
      <c r="X29" s="2892"/>
      <c r="Y29" s="3503" t="s">
        <v>2810</v>
      </c>
      <c r="Z29" s="3504"/>
      <c r="AA29" s="3504"/>
      <c r="AB29" s="3504"/>
      <c r="AC29" s="3504"/>
      <c r="AD29" s="3504"/>
    </row>
    <row r="30" spans="1:44" s="2005" customFormat="1" ht="14.25" thickBot="1">
      <c r="B30" s="2877"/>
      <c r="C30" s="2878"/>
      <c r="D30" s="2006" t="s">
        <v>2811</v>
      </c>
      <c r="E30" s="2007" t="s">
        <v>2812</v>
      </c>
      <c r="F30" s="2007" t="s">
        <v>2813</v>
      </c>
      <c r="G30" s="2007" t="s">
        <v>2814</v>
      </c>
      <c r="H30" s="2007"/>
      <c r="I30" s="2007" t="s">
        <v>2815</v>
      </c>
      <c r="J30" s="2879"/>
      <c r="K30" s="2006" t="s">
        <v>2811</v>
      </c>
      <c r="L30" s="2007" t="s">
        <v>2812</v>
      </c>
      <c r="M30" s="2007" t="s">
        <v>2813</v>
      </c>
      <c r="N30" s="2007" t="s">
        <v>2814</v>
      </c>
      <c r="O30" s="2007"/>
      <c r="P30" s="2007" t="s">
        <v>2815</v>
      </c>
      <c r="Q30" s="2879"/>
      <c r="R30" s="2006" t="s">
        <v>2811</v>
      </c>
      <c r="S30" s="2007" t="s">
        <v>2812</v>
      </c>
      <c r="T30" s="2007" t="s">
        <v>2813</v>
      </c>
      <c r="U30" s="2007" t="s">
        <v>2814</v>
      </c>
      <c r="V30" s="2007"/>
      <c r="W30" s="2007" t="s">
        <v>2815</v>
      </c>
      <c r="X30" s="2879"/>
      <c r="Y30" s="2006" t="s">
        <v>2811</v>
      </c>
      <c r="Z30" s="2007" t="s">
        <v>2812</v>
      </c>
      <c r="AA30" s="2007" t="s">
        <v>2813</v>
      </c>
      <c r="AB30" s="2007" t="s">
        <v>2814</v>
      </c>
      <c r="AC30" s="2007"/>
      <c r="AD30" s="2007" t="s">
        <v>2815</v>
      </c>
      <c r="AG30" t="s">
        <v>665</v>
      </c>
      <c r="AH30" t="s">
        <v>21</v>
      </c>
      <c r="AI30" t="s">
        <v>3385</v>
      </c>
      <c r="AJ30"/>
      <c r="AK30" t="s">
        <v>3386</v>
      </c>
      <c r="AN30" t="s">
        <v>665</v>
      </c>
      <c r="AO30" t="s">
        <v>21</v>
      </c>
      <c r="AP30" t="s">
        <v>3385</v>
      </c>
      <c r="AQ30"/>
      <c r="AR30" t="s">
        <v>3386</v>
      </c>
    </row>
    <row r="31" spans="1:44" s="2882" customFormat="1" ht="12.75">
      <c r="A31" s="2880" t="s">
        <v>2816</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3383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1.0118</v>
      </c>
      <c r="T33" s="2022">
        <f>ROUND(IF(项目基本情况!$B$8="出让",SUMPRODUCT(PRODUCT(1+M33:M$52)),SUMPRODUCT(PRODUCT(1+M33:M$51))),4)</f>
        <v>0.99680000000000002</v>
      </c>
      <c r="U33" s="2022">
        <f>ROUND(IF(项目基本情况!$B$8="出让",SUMPRODUCT(PRODUCT(1+N33:N$52)),SUMPRODUCT(PRODUCT(1+N33:N$51))),4)</f>
        <v>1.0338000000000001</v>
      </c>
      <c r="V33" s="2022"/>
      <c r="W33" s="2022">
        <f t="shared" ref="W33:W39" si="124">T33</f>
        <v>0.99680000000000002</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0" customFormat="1" ht="12.75">
      <c r="A34" s="2035" t="s">
        <v>3382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1.0118</v>
      </c>
      <c r="T34" s="2022">
        <f>ROUND(IF(项目基本情况!$B$8="出让",SUMPRODUCT(PRODUCT(1+M34:M$52)),SUMPRODUCT(PRODUCT(1+M34:M$51))),4)</f>
        <v>0.99680000000000002</v>
      </c>
      <c r="U34" s="2022">
        <f>ROUND(IF(项目基本情况!$B$8="出让",SUMPRODUCT(PRODUCT(1+N34:N$52)),SUMPRODUCT(PRODUCT(1+N34:N$51))),4)</f>
        <v>1.0338000000000001</v>
      </c>
      <c r="V34" s="2022"/>
      <c r="W34" s="2022">
        <f t="shared" si="124"/>
        <v>0.99680000000000002</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2.75">
      <c r="A35" s="2903" t="s">
        <v>3390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3387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0" customFormat="1" ht="12.75">
      <c r="A37" s="2035" t="s">
        <v>3388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0" customFormat="1" ht="12.75">
      <c r="A38" s="2035" t="s">
        <v>3352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0" customFormat="1" ht="12.75">
      <c r="A39" s="2901" t="s">
        <v>3356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0" customFormat="1" ht="12.75">
      <c r="A40" s="2901" t="s">
        <v>3353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0" customFormat="1" ht="12.75">
      <c r="A41" s="2901" t="s">
        <v>3351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0" customFormat="1" ht="12.75">
      <c r="A42" s="2901" t="s">
        <v>3349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0" customFormat="1" ht="12.75">
      <c r="A43" s="2901" t="s">
        <v>3348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0" customFormat="1" ht="12.75">
      <c r="A44" s="2901" t="s">
        <v>3346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0" customFormat="1" ht="12.75">
      <c r="A45" s="2901" t="s">
        <v>3345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0" customFormat="1" ht="12.75">
      <c r="A46" s="2901" t="s">
        <v>3344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0" customFormat="1" ht="12.75">
      <c r="A47" s="2901" t="s">
        <v>3334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0" customFormat="1" ht="12.75">
      <c r="A48" s="2901" t="s">
        <v>2817</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0" customFormat="1" ht="12.75">
      <c r="A49" s="2901" t="s">
        <v>2818</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0" customFormat="1" ht="12.75">
      <c r="A50" s="2901" t="s">
        <v>2819</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0" customFormat="1" ht="12.75">
      <c r="A51" s="2901" t="s">
        <v>2820</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4.25" thickBot="1">
      <c r="A52" s="2914" t="s">
        <v>2806</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4.25" thickTop="1"/>
    <row r="54" spans="1:44">
      <c r="A54" s="3138"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5" customFormat="1" ht="14.25" thickBot="1">
      <c r="B2" s="2006" t="s">
        <v>458</v>
      </c>
      <c r="C2" s="2006" t="s">
        <v>459</v>
      </c>
      <c r="D2" s="2007" t="s">
        <v>460</v>
      </c>
      <c r="E2" s="2007" t="s">
        <v>461</v>
      </c>
      <c r="F2" s="2006" t="s">
        <v>462</v>
      </c>
      <c r="G2" s="2008"/>
      <c r="I2" s="2006" t="s">
        <v>458</v>
      </c>
      <c r="J2" s="2007" t="s">
        <v>668</v>
      </c>
      <c r="K2" s="2007" t="s">
        <v>308</v>
      </c>
      <c r="L2" s="2006" t="s">
        <v>462</v>
      </c>
      <c r="N2" s="2006" t="s">
        <v>458</v>
      </c>
      <c r="O2" s="2007" t="s">
        <v>668</v>
      </c>
      <c r="P2" s="2007" t="s">
        <v>308</v>
      </c>
      <c r="Q2" s="2006" t="s">
        <v>462</v>
      </c>
      <c r="S2" s="2006" t="s">
        <v>458</v>
      </c>
      <c r="T2" s="2007" t="s">
        <v>668</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2105</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3342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3339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2106</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3341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2418</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2295</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2294</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2293</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2290</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2289</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2121</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2119</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2118</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2117</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2115</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2114</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2116</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06">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2112</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06"/>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2111</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06"/>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2104</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13"/>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2102</v>
      </c>
      <c r="B25" s="2044">
        <v>439</v>
      </c>
      <c r="C25" s="2044">
        <v>327</v>
      </c>
      <c r="D25" s="2044">
        <f>C25</f>
        <v>327</v>
      </c>
      <c r="E25" s="2044">
        <v>627</v>
      </c>
      <c r="F25" s="2045">
        <v>283</v>
      </c>
      <c r="G25" s="3509">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2103</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06"/>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669</v>
      </c>
      <c r="B27" s="2036">
        <f t="shared" si="232"/>
        <v>419.31181600000002</v>
      </c>
      <c r="C27" s="2036">
        <f t="shared" si="233"/>
        <v>313.95436800000004</v>
      </c>
      <c r="D27" s="2036">
        <f t="shared" si="234"/>
        <v>313.95436800000004</v>
      </c>
      <c r="E27" s="2036">
        <f t="shared" si="235"/>
        <v>596.63028431999999</v>
      </c>
      <c r="F27" s="2036">
        <f t="shared" si="236"/>
        <v>274.74220703999998</v>
      </c>
      <c r="G27" s="3506"/>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13"/>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09">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06"/>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06"/>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07"/>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05">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06"/>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06"/>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07"/>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05">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06"/>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06"/>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07"/>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10">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11"/>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11"/>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12"/>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05">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06"/>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06"/>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07"/>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05">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06">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06">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07">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05">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06">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06">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07">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05">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06">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06">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07">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05">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06">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06">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07">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05">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06">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06">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07">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05">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06">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06">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07">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05">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06">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06">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07">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05">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06">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06">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07">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05">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06">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06">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07">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05">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06">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06">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07">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估价结果一览表</v>
      </c>
      <c r="B1" s="3190"/>
      <c r="C1" s="3190"/>
      <c r="D1" s="3190"/>
      <c r="E1" s="3190"/>
      <c r="F1" s="3190"/>
      <c r="G1" s="3190"/>
      <c r="H1" s="3190"/>
      <c r="I1" s="3190"/>
    </row>
    <row r="2" spans="1:9" ht="30" customHeight="1" thickTop="1">
      <c r="A2" s="3191" t="s">
        <v>920</v>
      </c>
      <c r="B2" s="3191" t="s">
        <v>921</v>
      </c>
      <c r="C2" s="3191" t="s">
        <v>922</v>
      </c>
      <c r="D2" s="3191" t="str">
        <f>'结果表-车位'!D116</f>
        <v>出让国有建设用地使用权价值</v>
      </c>
      <c r="E2" s="3191"/>
      <c r="F2" s="3191" t="str">
        <f>'结果表-车位'!F116</f>
        <v>在建建筑物价值</v>
      </c>
      <c r="G2" s="3191"/>
      <c r="H2" s="3191" t="str">
        <f>IF(项目基本情况!B9="房地产市场价值","房地产市场价值","房地产价值")</f>
        <v>房地产市场价值</v>
      </c>
      <c r="I2" s="3191"/>
    </row>
    <row r="3" spans="1:9" ht="15">
      <c r="A3" s="3192"/>
      <c r="B3" s="3192"/>
      <c r="C3" s="3192"/>
      <c r="D3" s="798" t="s">
        <v>917</v>
      </c>
      <c r="E3" s="798" t="s">
        <v>923</v>
      </c>
      <c r="F3" s="798" t="s">
        <v>917</v>
      </c>
      <c r="G3" s="798" t="s">
        <v>918</v>
      </c>
      <c r="H3" s="798" t="s">
        <v>917</v>
      </c>
      <c r="I3" s="798" t="s">
        <v>918</v>
      </c>
    </row>
    <row r="4" spans="1:9" ht="15">
      <c r="A4" s="1399" t="str">
        <f>项目基本情况!S2</f>
        <v>北京市房地产</v>
      </c>
      <c r="B4" s="798">
        <f>项目基本情况!C17</f>
        <v>2178.63</v>
      </c>
      <c r="C4" s="798">
        <f>项目基本情况!C18</f>
        <v>0</v>
      </c>
      <c r="D4" s="798">
        <f ca="1">'结果表-车位'!D118</f>
        <v>10</v>
      </c>
      <c r="E4" s="798">
        <f ca="1">'结果表-车位'!E118</f>
        <v>1868</v>
      </c>
      <c r="F4" s="798">
        <f ca="1">'结果表-车位'!F118</f>
        <v>23</v>
      </c>
      <c r="G4" s="798">
        <f ca="1">'结果表-车位'!G118</f>
        <v>4297</v>
      </c>
      <c r="H4" s="798">
        <f ca="1">'结果表-车位'!H118</f>
        <v>33</v>
      </c>
      <c r="I4" s="798">
        <f ca="1">'结果表-车位'!I118</f>
        <v>6165</v>
      </c>
    </row>
    <row r="5" spans="1:9" ht="30" customHeight="1">
      <c r="A5" s="3192" t="s">
        <v>919</v>
      </c>
      <c r="B5" s="3192"/>
      <c r="C5" s="3192"/>
      <c r="D5" s="3192" t="str">
        <f ca="1">'结果表-车位'!D119</f>
        <v>壹拾万元整</v>
      </c>
      <c r="E5" s="3192"/>
      <c r="F5" s="3192" t="str">
        <f ca="1">'结果表-车位'!F119</f>
        <v>贰拾叁万元整</v>
      </c>
      <c r="G5" s="3192"/>
      <c r="H5" s="3192" t="str">
        <f ca="1">'结果表-车位'!H119</f>
        <v>叁拾叁万元整</v>
      </c>
      <c r="I5" s="3192"/>
    </row>
    <row r="6" spans="1:9" ht="15.75">
      <c r="A6" s="3193" t="str">
        <f>'结果表-车位'!A120</f>
        <v/>
      </c>
      <c r="B6" s="3193"/>
      <c r="C6" s="3193"/>
      <c r="D6" s="3193">
        <f>'结果表-车位'!D120</f>
        <v>0</v>
      </c>
      <c r="E6" s="3193"/>
      <c r="F6" s="3193"/>
      <c r="G6" s="3193"/>
      <c r="H6" s="3193"/>
      <c r="I6" s="3193"/>
    </row>
    <row r="7" spans="1:9" ht="15">
      <c r="A7" s="3192" t="s">
        <v>919</v>
      </c>
      <c r="B7" s="3192"/>
      <c r="C7" s="3192"/>
      <c r="D7" s="3194" t="str">
        <f>'结果表-车位'!D121</f>
        <v>零元整</v>
      </c>
      <c r="E7" s="3195"/>
      <c r="F7" s="3195"/>
      <c r="G7" s="3195"/>
      <c r="H7" s="3195"/>
      <c r="I7" s="3196"/>
    </row>
    <row r="8" spans="1:9" ht="15.75">
      <c r="A8" s="3193" t="str">
        <f>'结果表-车位'!A122</f>
        <v/>
      </c>
      <c r="B8" s="3193"/>
      <c r="C8" s="3193"/>
      <c r="D8" s="3193">
        <f ca="1">'结果表-车位'!D122</f>
        <v>33</v>
      </c>
      <c r="E8" s="3193"/>
      <c r="F8" s="3193"/>
      <c r="G8" s="3193"/>
      <c r="H8" s="3193"/>
      <c r="I8" s="3193"/>
    </row>
    <row r="9" spans="1:9" ht="15">
      <c r="A9" s="3192" t="s">
        <v>919</v>
      </c>
      <c r="B9" s="3192"/>
      <c r="C9" s="3192"/>
      <c r="D9" s="3192" t="str">
        <f ca="1">'结果表-车位'!D123</f>
        <v>叁拾叁万元整</v>
      </c>
      <c r="E9" s="3192"/>
      <c r="F9" s="3192"/>
      <c r="G9" s="3192"/>
      <c r="H9" s="3192"/>
      <c r="I9" s="3192"/>
    </row>
    <row r="10" spans="1:9" ht="15.75">
      <c r="A10" s="3193" t="str">
        <f>'结果表-车位'!A124</f>
        <v/>
      </c>
      <c r="B10" s="3193"/>
      <c r="C10" s="3193"/>
      <c r="D10" s="3193" t="str">
        <f>'结果表-车位'!D124</f>
        <v>——</v>
      </c>
      <c r="E10" s="3193"/>
      <c r="F10" s="3193"/>
      <c r="G10" s="3193"/>
      <c r="H10" s="3193"/>
      <c r="I10" s="3193"/>
    </row>
    <row r="11" spans="1:9" ht="15">
      <c r="A11" s="3192" t="s">
        <v>919</v>
      </c>
      <c r="B11" s="3192"/>
      <c r="C11" s="3192"/>
      <c r="D11" s="3192" t="e">
        <f>'结果表-车位'!D125</f>
        <v>#VALUE!</v>
      </c>
      <c r="E11" s="3192"/>
      <c r="F11" s="3192"/>
      <c r="G11" s="3192"/>
      <c r="H11" s="3192"/>
      <c r="I11" s="3192"/>
    </row>
    <row r="12" spans="1:9" ht="15.75">
      <c r="A12" s="3193" t="str">
        <f>'结果表-车位'!A126</f>
        <v/>
      </c>
      <c r="B12" s="3193"/>
      <c r="C12" s="3193"/>
      <c r="D12" s="3193" t="str">
        <f>'结果表-车位'!D126</f>
        <v>——</v>
      </c>
      <c r="E12" s="3193"/>
      <c r="F12" s="3193"/>
      <c r="G12" s="3193"/>
      <c r="H12" s="3193"/>
      <c r="I12" s="3193"/>
    </row>
    <row r="13" spans="1:9" ht="15.75" thickBot="1">
      <c r="A13" s="3197" t="s">
        <v>919</v>
      </c>
      <c r="B13" s="3197"/>
      <c r="C13" s="3197"/>
      <c r="D13" s="3197" t="e">
        <f>'结果表-车位'!D127</f>
        <v>#VALUE!</v>
      </c>
      <c r="E13" s="3197"/>
      <c r="F13" s="3197"/>
      <c r="G13" s="3197"/>
      <c r="H13" s="3197"/>
      <c r="I13" s="3197"/>
    </row>
    <row r="14" spans="1:9" ht="15" thickTop="1">
      <c r="A14" s="3198" t="s">
        <v>924</v>
      </c>
      <c r="B14" s="3198"/>
      <c r="C14" s="3198"/>
      <c r="D14" s="3198"/>
      <c r="E14" s="3198"/>
      <c r="F14" s="3198"/>
      <c r="G14" s="3198"/>
      <c r="H14" s="3198"/>
      <c r="I14" s="3198"/>
    </row>
    <row r="16" spans="1:9" ht="18.75">
      <c r="A16" s="1400" t="s">
        <v>907</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16" t="s">
        <v>2821</v>
      </c>
      <c r="B1" s="3516"/>
      <c r="C1" s="3516"/>
      <c r="D1" s="3516"/>
      <c r="E1" s="3516"/>
      <c r="F1" s="3516"/>
      <c r="G1" s="3517"/>
      <c r="I1" s="2934" t="s">
        <v>2822</v>
      </c>
      <c r="J1" s="2935" t="s">
        <v>2823</v>
      </c>
      <c r="K1" s="2935" t="s">
        <v>2824</v>
      </c>
      <c r="L1" s="2935" t="s">
        <v>2825</v>
      </c>
      <c r="M1" s="2935" t="s">
        <v>2826</v>
      </c>
      <c r="N1" s="2935" t="s">
        <v>2827</v>
      </c>
      <c r="O1" s="2935" t="s">
        <v>2828</v>
      </c>
      <c r="P1" s="2935" t="s">
        <v>2829</v>
      </c>
      <c r="Q1" s="2935" t="s">
        <v>2830</v>
      </c>
      <c r="R1" s="2935" t="s">
        <v>2831</v>
      </c>
      <c r="S1" s="2935" t="s">
        <v>2832</v>
      </c>
      <c r="T1" s="2936" t="s">
        <v>2833</v>
      </c>
    </row>
    <row r="2" spans="1:20" ht="12" thickBot="1">
      <c r="A2" s="2937" t="s">
        <v>2834</v>
      </c>
      <c r="B2" s="2937"/>
      <c r="C2" s="2937"/>
      <c r="D2" s="2937"/>
      <c r="E2" s="2937"/>
      <c r="F2" s="2937"/>
      <c r="G2" s="2938" t="s">
        <v>2835</v>
      </c>
      <c r="I2" s="2939" t="s">
        <v>2836</v>
      </c>
      <c r="J2" s="2939" t="s">
        <v>2837</v>
      </c>
      <c r="K2" s="2939" t="s">
        <v>2838</v>
      </c>
      <c r="L2" s="2939" t="s">
        <v>2839</v>
      </c>
      <c r="M2" s="2939" t="s">
        <v>2840</v>
      </c>
      <c r="N2" s="2939" t="s">
        <v>2841</v>
      </c>
      <c r="O2" s="2939" t="s">
        <v>2842</v>
      </c>
      <c r="P2" s="2939" t="s">
        <v>2843</v>
      </c>
      <c r="Q2" s="2939" t="s">
        <v>2844</v>
      </c>
      <c r="R2" s="2939" t="s">
        <v>2845</v>
      </c>
      <c r="S2" s="2939" t="s">
        <v>2846</v>
      </c>
      <c r="T2" s="2939" t="s">
        <v>2847</v>
      </c>
    </row>
    <row r="3" spans="1:20" s="2945" customFormat="1">
      <c r="A3" s="3514" t="s">
        <v>2848</v>
      </c>
      <c r="B3" s="2940"/>
      <c r="C3" s="2941" t="s">
        <v>2793</v>
      </c>
      <c r="D3" s="2941" t="s">
        <v>2849</v>
      </c>
      <c r="E3" s="2941" t="s">
        <v>2795</v>
      </c>
      <c r="F3" s="2941" t="s">
        <v>2850</v>
      </c>
      <c r="G3" s="2941" t="s">
        <v>2613</v>
      </c>
      <c r="H3" s="2942"/>
      <c r="I3" s="2943" t="s">
        <v>2851</v>
      </c>
      <c r="J3" s="2944" t="s">
        <v>128</v>
      </c>
      <c r="K3" s="2944" t="s">
        <v>129</v>
      </c>
      <c r="L3" s="2943" t="s">
        <v>130</v>
      </c>
      <c r="M3" s="2943" t="s">
        <v>131</v>
      </c>
      <c r="N3" s="2943" t="s">
        <v>132</v>
      </c>
      <c r="O3" s="2943" t="s">
        <v>133</v>
      </c>
      <c r="P3" s="2943" t="s">
        <v>134</v>
      </c>
      <c r="Q3" s="2943" t="s">
        <v>135</v>
      </c>
      <c r="R3" s="2943" t="s">
        <v>136</v>
      </c>
      <c r="S3" s="2943" t="s">
        <v>2852</v>
      </c>
      <c r="T3" s="2943" t="s">
        <v>2853</v>
      </c>
    </row>
    <row r="4" spans="1:20" s="2945" customFormat="1" ht="12" thickBot="1">
      <c r="A4" s="3515"/>
      <c r="B4" s="2946" t="s">
        <v>2854</v>
      </c>
      <c r="C4" s="2946" t="s">
        <v>2855</v>
      </c>
      <c r="D4" s="2946" t="s">
        <v>2855</v>
      </c>
      <c r="E4" s="2946" t="s">
        <v>2855</v>
      </c>
      <c r="F4" s="2947" t="s">
        <v>2855</v>
      </c>
      <c r="G4" s="2947" t="s">
        <v>2855</v>
      </c>
      <c r="H4" s="2942"/>
      <c r="I4" s="2944" t="s">
        <v>137</v>
      </c>
      <c r="J4" s="2944" t="s">
        <v>111</v>
      </c>
      <c r="K4" s="2944" t="s">
        <v>138</v>
      </c>
      <c r="L4" s="2943" t="s">
        <v>139</v>
      </c>
      <c r="M4" s="2943" t="s">
        <v>140</v>
      </c>
      <c r="N4" s="2943" t="s">
        <v>141</v>
      </c>
      <c r="O4" s="2943" t="s">
        <v>142</v>
      </c>
      <c r="P4" s="2943" t="s">
        <v>143</v>
      </c>
      <c r="Q4" s="2943" t="s">
        <v>2856</v>
      </c>
      <c r="R4" s="2943" t="s">
        <v>2857</v>
      </c>
      <c r="S4" s="2943" t="s">
        <v>2858</v>
      </c>
      <c r="T4" s="2943" t="s">
        <v>2859</v>
      </c>
    </row>
    <row r="5" spans="1:20">
      <c r="A5" s="2948" t="s">
        <v>2822</v>
      </c>
      <c r="B5" s="2939" t="s">
        <v>2836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2860</v>
      </c>
      <c r="R5" s="2943" t="s">
        <v>2861</v>
      </c>
      <c r="S5" s="2943" t="s">
        <v>153</v>
      </c>
      <c r="T5" s="2943" t="s">
        <v>2862</v>
      </c>
    </row>
    <row r="6" spans="1:20" ht="12" thickBot="1">
      <c r="A6" s="2943" t="s">
        <v>144</v>
      </c>
      <c r="B6" s="2943" t="s">
        <v>2851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2863</v>
      </c>
      <c r="Q6" s="2943" t="s">
        <v>2864</v>
      </c>
      <c r="R6" s="2943" t="s">
        <v>161</v>
      </c>
      <c r="S6" s="2943" t="s">
        <v>2865</v>
      </c>
      <c r="T6" s="2943" t="s">
        <v>2866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2867</v>
      </c>
      <c r="Q7" s="2943" t="s">
        <v>2868</v>
      </c>
      <c r="R7" s="2943" t="s">
        <v>2869</v>
      </c>
      <c r="S7" s="2943" t="s">
        <v>2870</v>
      </c>
      <c r="T7" s="2943" t="s">
        <v>2871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2872</v>
      </c>
      <c r="Q8" s="2943" t="s">
        <v>174</v>
      </c>
      <c r="R8" s="2943" t="s">
        <v>2873</v>
      </c>
      <c r="S8" s="2943" t="s">
        <v>2874</v>
      </c>
      <c r="T8" s="2950" t="s">
        <v>2875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2876</v>
      </c>
      <c r="Q9" s="2943" t="s">
        <v>182</v>
      </c>
      <c r="R9" s="2943" t="s">
        <v>183</v>
      </c>
      <c r="S9" s="2943" t="s">
        <v>200</v>
      </c>
    </row>
    <row r="10" spans="1:20">
      <c r="A10" s="2948" t="s">
        <v>184</v>
      </c>
      <c r="B10" s="2939" t="s">
        <v>2837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2877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2878</v>
      </c>
      <c r="P11" s="2943" t="s">
        <v>191</v>
      </c>
      <c r="Q11" s="2943" t="s">
        <v>199</v>
      </c>
      <c r="R11" s="2943" t="s">
        <v>2879</v>
      </c>
      <c r="S11" s="2943" t="s">
        <v>2880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2881</v>
      </c>
      <c r="P12" s="2943" t="s">
        <v>2882</v>
      </c>
      <c r="Q12" s="2943" t="s">
        <v>2883</v>
      </c>
      <c r="R12" s="2943" t="s">
        <v>2884</v>
      </c>
      <c r="S12" s="2943" t="s">
        <v>2885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2886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2887</v>
      </c>
      <c r="K14" s="2944" t="s">
        <v>215</v>
      </c>
      <c r="L14" s="2943" t="s">
        <v>216</v>
      </c>
      <c r="M14" s="2943" t="s">
        <v>217</v>
      </c>
      <c r="N14" s="2943" t="s">
        <v>218</v>
      </c>
      <c r="O14" s="2943" t="s">
        <v>240</v>
      </c>
      <c r="P14" s="2943" t="s">
        <v>213</v>
      </c>
      <c r="Q14" s="2943" t="s">
        <v>2888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2889</v>
      </c>
      <c r="P15" s="2943" t="s">
        <v>2890</v>
      </c>
      <c r="Q15" s="2943" t="s">
        <v>242</v>
      </c>
      <c r="R15" s="2943" t="s">
        <v>2891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2892</v>
      </c>
      <c r="P16" s="2943" t="s">
        <v>227</v>
      </c>
      <c r="Q16" s="2943" t="s">
        <v>250</v>
      </c>
      <c r="R16" s="2943" t="s">
        <v>207</v>
      </c>
      <c r="S16" s="2943" t="s">
        <v>2893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2894</v>
      </c>
      <c r="P17" s="2943" t="s">
        <v>2895</v>
      </c>
      <c r="Q17" s="2943" t="s">
        <v>256</v>
      </c>
      <c r="R17" s="2943" t="s">
        <v>2896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2897</v>
      </c>
      <c r="P18" s="2943" t="s">
        <v>241</v>
      </c>
      <c r="Q18" s="2943" t="s">
        <v>2898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2899</v>
      </c>
      <c r="P19" s="2943" t="s">
        <v>249</v>
      </c>
      <c r="Q19" s="2943" t="s">
        <v>2900</v>
      </c>
      <c r="R19" s="2943" t="s">
        <v>265</v>
      </c>
      <c r="S19" s="2943" t="s">
        <v>2901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2902</v>
      </c>
      <c r="P20" s="2943" t="s">
        <v>2903</v>
      </c>
      <c r="Q20" s="2943" t="s">
        <v>290</v>
      </c>
      <c r="R20" s="2943" t="s">
        <v>2904</v>
      </c>
      <c r="S20" s="2943" t="s">
        <v>277</v>
      </c>
    </row>
    <row r="21" spans="1:19" ht="14.25" customHeight="1" thickBot="1">
      <c r="A21" s="2943" t="s">
        <v>184</v>
      </c>
      <c r="B21" s="2944" t="s">
        <v>208</v>
      </c>
      <c r="C21" s="2943">
        <v>32370</v>
      </c>
      <c r="D21" s="2943">
        <v>26730</v>
      </c>
      <c r="E21" s="2943">
        <v>26640</v>
      </c>
      <c r="F21" s="2943"/>
      <c r="G21" s="2943">
        <v>19440</v>
      </c>
      <c r="J21" s="2950" t="s">
        <v>2905</v>
      </c>
      <c r="K21" s="2944" t="s">
        <v>267</v>
      </c>
      <c r="L21" s="2943" t="s">
        <v>268</v>
      </c>
      <c r="M21" s="2943" t="s">
        <v>269</v>
      </c>
      <c r="N21" s="2943" t="s">
        <v>270</v>
      </c>
      <c r="O21" s="2943" t="s">
        <v>264</v>
      </c>
      <c r="P21" s="2943" t="s">
        <v>283</v>
      </c>
      <c r="Q21" s="2943" t="s">
        <v>293</v>
      </c>
      <c r="R21" s="2943" t="s">
        <v>2906</v>
      </c>
      <c r="S21" s="2950" t="s">
        <v>2907</v>
      </c>
    </row>
    <row r="22" spans="1:19" ht="14.25" customHeight="1">
      <c r="A22" s="2943" t="s">
        <v>184</v>
      </c>
      <c r="B22" s="2944" t="s">
        <v>2887</v>
      </c>
      <c r="C22" s="2943">
        <v>29830</v>
      </c>
      <c r="D22" s="2943">
        <v>27600</v>
      </c>
      <c r="E22" s="2943">
        <v>28150</v>
      </c>
      <c r="F22" s="2943"/>
      <c r="G22" s="2943">
        <v>20080</v>
      </c>
      <c r="K22" s="2944" t="s">
        <v>2908</v>
      </c>
      <c r="L22" s="2943" t="s">
        <v>272</v>
      </c>
      <c r="M22" s="2943" t="s">
        <v>273</v>
      </c>
      <c r="N22" s="2943" t="s">
        <v>274</v>
      </c>
      <c r="O22" s="2943" t="s">
        <v>2909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2910</v>
      </c>
      <c r="L23" s="2943" t="s">
        <v>278</v>
      </c>
      <c r="M23" s="2943" t="s">
        <v>279</v>
      </c>
      <c r="N23" s="2943" t="s">
        <v>2911</v>
      </c>
      <c r="O23" s="2943" t="s">
        <v>2912</v>
      </c>
      <c r="P23" s="2943" t="s">
        <v>289</v>
      </c>
      <c r="Q23" s="2943" t="s">
        <v>298</v>
      </c>
      <c r="R23" s="2943" t="s">
        <v>2913</v>
      </c>
    </row>
    <row r="24" spans="1:19" ht="14.25" customHeight="1">
      <c r="A24" s="2943" t="s">
        <v>184</v>
      </c>
      <c r="B24" s="2944" t="s">
        <v>230</v>
      </c>
      <c r="C24" s="2943">
        <v>27930</v>
      </c>
      <c r="D24" s="2943">
        <v>32260</v>
      </c>
      <c r="E24" s="2943">
        <v>32120</v>
      </c>
      <c r="F24" s="2943"/>
      <c r="G24" s="2943">
        <v>23470</v>
      </c>
      <c r="K24" s="2944" t="s">
        <v>2914</v>
      </c>
      <c r="L24" s="2943" t="s">
        <v>281</v>
      </c>
      <c r="M24" s="2943" t="s">
        <v>282</v>
      </c>
      <c r="N24" s="2943" t="s">
        <v>2915</v>
      </c>
      <c r="O24" s="2943" t="s">
        <v>285</v>
      </c>
      <c r="P24" s="2943" t="s">
        <v>2916</v>
      </c>
      <c r="Q24" s="2952" t="s">
        <v>2917</v>
      </c>
      <c r="R24" s="2943" t="s">
        <v>2918</v>
      </c>
    </row>
    <row r="25" spans="1:19" ht="14.25" customHeight="1">
      <c r="A25" s="2943" t="s">
        <v>184</v>
      </c>
      <c r="B25" s="2944" t="s">
        <v>235</v>
      </c>
      <c r="C25" s="2943">
        <v>32230</v>
      </c>
      <c r="D25" s="2943">
        <v>29640</v>
      </c>
      <c r="E25" s="2943">
        <v>29510</v>
      </c>
      <c r="F25" s="2943"/>
      <c r="G25" s="2943">
        <v>21560</v>
      </c>
      <c r="K25" s="2944" t="s">
        <v>2919</v>
      </c>
      <c r="L25" s="2943" t="s">
        <v>2920</v>
      </c>
      <c r="M25" s="2943" t="s">
        <v>284</v>
      </c>
      <c r="N25" s="2943" t="s">
        <v>292</v>
      </c>
      <c r="O25" s="2943" t="s">
        <v>288</v>
      </c>
      <c r="P25" s="2943" t="s">
        <v>275</v>
      </c>
      <c r="Q25" s="2952" t="s">
        <v>271</v>
      </c>
      <c r="R25" s="2943" t="s">
        <v>2921</v>
      </c>
    </row>
    <row r="26" spans="1:19" ht="14.25" customHeight="1" thickBot="1">
      <c r="A26" s="2943" t="s">
        <v>184</v>
      </c>
      <c r="B26" s="2944" t="s">
        <v>244</v>
      </c>
      <c r="C26" s="2943">
        <v>31690</v>
      </c>
      <c r="D26" s="2943">
        <v>27650</v>
      </c>
      <c r="E26" s="2943">
        <v>28200</v>
      </c>
      <c r="F26" s="2943"/>
      <c r="G26" s="2943">
        <v>20110</v>
      </c>
      <c r="K26" s="2949" t="s">
        <v>2922</v>
      </c>
      <c r="L26" s="2943" t="s">
        <v>2923</v>
      </c>
      <c r="M26" s="2943" t="s">
        <v>287</v>
      </c>
      <c r="N26" s="2943" t="s">
        <v>294</v>
      </c>
      <c r="O26" s="2943" t="s">
        <v>2924</v>
      </c>
      <c r="P26" s="2943" t="s">
        <v>2925</v>
      </c>
      <c r="Q26" s="2952" t="s">
        <v>276</v>
      </c>
      <c r="R26" s="2943" t="s">
        <v>2926</v>
      </c>
    </row>
    <row r="27" spans="1:19" ht="14.25" customHeight="1">
      <c r="A27" s="2943" t="s">
        <v>184</v>
      </c>
      <c r="B27" s="2944" t="s">
        <v>251</v>
      </c>
      <c r="C27" s="2943">
        <v>29610</v>
      </c>
      <c r="D27" s="2943">
        <v>27770</v>
      </c>
      <c r="E27" s="2943">
        <v>28300</v>
      </c>
      <c r="F27" s="2943"/>
      <c r="G27" s="2943">
        <v>20210</v>
      </c>
      <c r="L27" s="2943" t="s">
        <v>2927</v>
      </c>
      <c r="M27" s="2943" t="s">
        <v>291</v>
      </c>
      <c r="N27" s="2943" t="s">
        <v>297</v>
      </c>
      <c r="O27" s="2943" t="s">
        <v>2928</v>
      </c>
      <c r="P27" s="2943" t="s">
        <v>2929</v>
      </c>
      <c r="Q27" s="2943" t="s">
        <v>2930</v>
      </c>
      <c r="R27" s="2943" t="s">
        <v>2931</v>
      </c>
    </row>
    <row r="28" spans="1:19" ht="14.25" customHeight="1">
      <c r="A28" s="2943" t="s">
        <v>184</v>
      </c>
      <c r="B28" s="2944" t="s">
        <v>259</v>
      </c>
      <c r="C28" s="2943"/>
      <c r="D28" s="2943">
        <v>31520</v>
      </c>
      <c r="E28" s="2943">
        <v>31410</v>
      </c>
      <c r="F28" s="2943"/>
      <c r="G28" s="2943">
        <v>22940</v>
      </c>
      <c r="L28" s="2943" t="s">
        <v>2932</v>
      </c>
      <c r="M28" s="2943" t="s">
        <v>2933</v>
      </c>
      <c r="N28" s="2943" t="s">
        <v>2934</v>
      </c>
      <c r="O28" s="2943" t="s">
        <v>2935</v>
      </c>
      <c r="P28" s="2943" t="s">
        <v>2936</v>
      </c>
      <c r="Q28" s="2943" t="s">
        <v>2937</v>
      </c>
      <c r="R28" s="2943" t="s">
        <v>2938</v>
      </c>
    </row>
    <row r="29" spans="1:19" ht="14.25" customHeight="1" thickBot="1">
      <c r="A29" s="2951" t="s">
        <v>184</v>
      </c>
      <c r="B29" s="2953" t="s">
        <v>2905</v>
      </c>
      <c r="C29" s="2954"/>
      <c r="D29" s="2954">
        <v>29460</v>
      </c>
      <c r="E29" s="2954">
        <v>28640</v>
      </c>
      <c r="F29" s="2954"/>
      <c r="G29" s="2954">
        <v>21430</v>
      </c>
      <c r="L29" s="2943" t="s">
        <v>2939</v>
      </c>
      <c r="M29" s="2943" t="s">
        <v>2940</v>
      </c>
      <c r="N29" s="2943" t="s">
        <v>2941</v>
      </c>
      <c r="O29" s="2943" t="s">
        <v>2942</v>
      </c>
      <c r="P29" s="2943" t="s">
        <v>2943</v>
      </c>
      <c r="Q29" s="2943" t="s">
        <v>2944</v>
      </c>
      <c r="R29" s="2943" t="s">
        <v>280</v>
      </c>
    </row>
    <row r="30" spans="1:19" ht="14.25" customHeight="1">
      <c r="A30" s="2948" t="s">
        <v>296</v>
      </c>
      <c r="B30" s="2939" t="s">
        <v>2838</v>
      </c>
      <c r="C30" s="2939">
        <v>26890</v>
      </c>
      <c r="D30" s="2939">
        <v>26770</v>
      </c>
      <c r="E30" s="2939">
        <v>25700</v>
      </c>
      <c r="F30" s="2939">
        <v>8180</v>
      </c>
      <c r="G30" s="2955">
        <v>18740</v>
      </c>
      <c r="L30" s="2943" t="s">
        <v>2945</v>
      </c>
      <c r="M30" s="2943" t="s">
        <v>2946</v>
      </c>
      <c r="N30" s="2943" t="s">
        <v>2947</v>
      </c>
      <c r="O30" s="2943" t="s">
        <v>2948</v>
      </c>
      <c r="P30" s="2943" t="s">
        <v>2949</v>
      </c>
      <c r="Q30" s="2943" t="s">
        <v>2950</v>
      </c>
      <c r="R30" s="2943" t="s">
        <v>2951</v>
      </c>
    </row>
    <row r="31" spans="1:19" ht="14.25" customHeight="1">
      <c r="A31" s="2943" t="s">
        <v>296</v>
      </c>
      <c r="B31" s="2944" t="s">
        <v>129</v>
      </c>
      <c r="C31" s="2943">
        <v>24550</v>
      </c>
      <c r="D31" s="2943">
        <v>23990</v>
      </c>
      <c r="E31" s="2943">
        <v>22930</v>
      </c>
      <c r="F31" s="2943">
        <v>7470</v>
      </c>
      <c r="G31" s="2956">
        <v>16790</v>
      </c>
      <c r="L31" s="2943" t="s">
        <v>2952</v>
      </c>
      <c r="M31" s="2943" t="s">
        <v>2953</v>
      </c>
      <c r="N31" s="2943" t="s">
        <v>2954</v>
      </c>
      <c r="O31" s="2943" t="s">
        <v>2955</v>
      </c>
      <c r="P31" s="2943" t="s">
        <v>2956</v>
      </c>
      <c r="Q31" s="2943" t="s">
        <v>2957</v>
      </c>
      <c r="R31" s="2943" t="s">
        <v>2958</v>
      </c>
    </row>
    <row r="32" spans="1:19" ht="14.25" customHeight="1" thickBot="1">
      <c r="A32" s="2943" t="s">
        <v>296</v>
      </c>
      <c r="B32" s="2944" t="s">
        <v>138</v>
      </c>
      <c r="C32" s="2943">
        <v>27210</v>
      </c>
      <c r="D32" s="2943">
        <v>23240</v>
      </c>
      <c r="E32" s="2943">
        <v>23260</v>
      </c>
      <c r="F32" s="2943">
        <v>7130</v>
      </c>
      <c r="G32" s="2956">
        <v>16270</v>
      </c>
      <c r="L32" s="2943" t="s">
        <v>2959</v>
      </c>
      <c r="M32" s="2943" t="s">
        <v>2960</v>
      </c>
      <c r="N32" s="2943" t="s">
        <v>300</v>
      </c>
      <c r="O32" s="2943" t="s">
        <v>2961</v>
      </c>
      <c r="P32" s="2943" t="s">
        <v>299</v>
      </c>
      <c r="Q32" s="2943" t="s">
        <v>2962</v>
      </c>
      <c r="R32" s="2950" t="s">
        <v>2963</v>
      </c>
    </row>
    <row r="33" spans="1:17" ht="14.25" customHeight="1" thickBot="1">
      <c r="A33" s="2943" t="s">
        <v>296</v>
      </c>
      <c r="B33" s="2944" t="s">
        <v>147</v>
      </c>
      <c r="C33" s="2943">
        <v>27300</v>
      </c>
      <c r="D33" s="2943">
        <v>22980</v>
      </c>
      <c r="E33" s="2943">
        <v>24260</v>
      </c>
      <c r="F33" s="2943">
        <v>5860</v>
      </c>
      <c r="G33" s="2956">
        <v>16090</v>
      </c>
      <c r="L33" s="2950" t="s">
        <v>2964</v>
      </c>
      <c r="M33" s="2943" t="s">
        <v>2965</v>
      </c>
      <c r="N33" s="2943" t="s">
        <v>301</v>
      </c>
      <c r="O33" s="2943" t="s">
        <v>2966</v>
      </c>
      <c r="P33" s="2943" t="s">
        <v>2967</v>
      </c>
      <c r="Q33" s="2943" t="s">
        <v>2968</v>
      </c>
    </row>
    <row r="34" spans="1:17" ht="14.25" customHeight="1">
      <c r="A34" s="2943" t="s">
        <v>296</v>
      </c>
      <c r="B34" s="2944" t="s">
        <v>156</v>
      </c>
      <c r="C34" s="2943">
        <v>23090</v>
      </c>
      <c r="D34" s="2943">
        <v>23390</v>
      </c>
      <c r="E34" s="2943">
        <v>23510</v>
      </c>
      <c r="F34" s="2943">
        <v>6700</v>
      </c>
      <c r="G34" s="2956">
        <v>16370</v>
      </c>
      <c r="M34" s="2943" t="s">
        <v>2969</v>
      </c>
      <c r="N34" s="2943" t="s">
        <v>302</v>
      </c>
      <c r="O34" s="2943" t="s">
        <v>2970</v>
      </c>
      <c r="P34" s="2943" t="s">
        <v>2971</v>
      </c>
      <c r="Q34" s="2943" t="s">
        <v>2972</v>
      </c>
    </row>
    <row r="35" spans="1:17" ht="14.25" customHeight="1">
      <c r="A35" s="2943" t="s">
        <v>296</v>
      </c>
      <c r="B35" s="2944" t="s">
        <v>163</v>
      </c>
      <c r="C35" s="2943">
        <v>27270</v>
      </c>
      <c r="D35" s="2943">
        <v>24270</v>
      </c>
      <c r="E35" s="2943">
        <v>24950</v>
      </c>
      <c r="F35" s="2943">
        <v>6600</v>
      </c>
      <c r="G35" s="2956">
        <v>16990</v>
      </c>
      <c r="M35" s="2943" t="s">
        <v>2973</v>
      </c>
      <c r="N35" s="2943" t="s">
        <v>2974</v>
      </c>
      <c r="O35" s="2943" t="s">
        <v>2975</v>
      </c>
      <c r="P35" s="2943" t="s">
        <v>2976</v>
      </c>
      <c r="Q35" s="2943" t="s">
        <v>2977</v>
      </c>
    </row>
    <row r="36" spans="1:17" ht="14.25" customHeight="1">
      <c r="A36" s="2943" t="s">
        <v>296</v>
      </c>
      <c r="B36" s="2944" t="s">
        <v>169</v>
      </c>
      <c r="C36" s="2943">
        <v>23490</v>
      </c>
      <c r="D36" s="2943">
        <v>23020</v>
      </c>
      <c r="E36" s="2943">
        <v>25230</v>
      </c>
      <c r="F36" s="2943">
        <v>6780</v>
      </c>
      <c r="G36" s="2956">
        <v>16120</v>
      </c>
      <c r="M36" s="2943" t="s">
        <v>2978</v>
      </c>
      <c r="N36" s="2943" t="s">
        <v>2979</v>
      </c>
      <c r="O36" s="2943" t="s">
        <v>2980</v>
      </c>
      <c r="P36" s="2943" t="s">
        <v>2981</v>
      </c>
      <c r="Q36" s="2943" t="s">
        <v>2982</v>
      </c>
    </row>
    <row r="37" spans="1:17" ht="14.25" customHeight="1">
      <c r="A37" s="2943" t="s">
        <v>296</v>
      </c>
      <c r="B37" s="2944" t="s">
        <v>176</v>
      </c>
      <c r="C37" s="2943">
        <v>24380</v>
      </c>
      <c r="D37" s="2943">
        <v>22240</v>
      </c>
      <c r="E37" s="2943">
        <v>25980</v>
      </c>
      <c r="F37" s="2943">
        <v>8160</v>
      </c>
      <c r="G37" s="2956">
        <v>15570</v>
      </c>
      <c r="M37" s="2943" t="s">
        <v>2983</v>
      </c>
      <c r="N37" s="2943" t="s">
        <v>2984</v>
      </c>
      <c r="O37" s="2943" t="s">
        <v>2985</v>
      </c>
      <c r="P37" s="2943" t="s">
        <v>2986</v>
      </c>
      <c r="Q37" s="2943" t="s">
        <v>2987</v>
      </c>
    </row>
    <row r="38" spans="1:17" ht="14.25" customHeight="1">
      <c r="A38" s="2943" t="s">
        <v>296</v>
      </c>
      <c r="B38" s="2944" t="s">
        <v>186</v>
      </c>
      <c r="C38" s="2943">
        <v>23120</v>
      </c>
      <c r="D38" s="2943">
        <v>24630</v>
      </c>
      <c r="E38" s="2943">
        <v>25030</v>
      </c>
      <c r="F38" s="2943">
        <v>7710</v>
      </c>
      <c r="G38" s="2956">
        <v>17240</v>
      </c>
      <c r="M38" s="2943" t="s">
        <v>2988</v>
      </c>
      <c r="N38" s="2943" t="s">
        <v>2989</v>
      </c>
      <c r="O38" s="2943" t="s">
        <v>2990</v>
      </c>
      <c r="P38" s="2943" t="s">
        <v>2991</v>
      </c>
      <c r="Q38" s="2943" t="s">
        <v>2992</v>
      </c>
    </row>
    <row r="39" spans="1:17" ht="14.25" customHeight="1">
      <c r="A39" s="2943" t="s">
        <v>296</v>
      </c>
      <c r="B39" s="2944" t="s">
        <v>195</v>
      </c>
      <c r="C39" s="2943">
        <v>22330</v>
      </c>
      <c r="D39" s="2943">
        <v>21140</v>
      </c>
      <c r="E39" s="2943">
        <v>23970</v>
      </c>
      <c r="F39" s="2943">
        <v>7940</v>
      </c>
      <c r="G39" s="2956">
        <v>14790</v>
      </c>
      <c r="M39" s="2943" t="s">
        <v>2993</v>
      </c>
      <c r="N39" s="2943" t="s">
        <v>2994</v>
      </c>
      <c r="O39" s="2943" t="s">
        <v>2995</v>
      </c>
      <c r="P39" s="2943" t="s">
        <v>2996</v>
      </c>
      <c r="Q39" s="2943" t="s">
        <v>2997</v>
      </c>
    </row>
    <row r="40" spans="1:17" ht="14.25" customHeight="1">
      <c r="A40" s="2943" t="s">
        <v>296</v>
      </c>
      <c r="B40" s="2944" t="s">
        <v>202</v>
      </c>
      <c r="C40" s="2943">
        <v>24740</v>
      </c>
      <c r="D40" s="2943">
        <v>24690</v>
      </c>
      <c r="E40" s="2943">
        <v>22610</v>
      </c>
      <c r="F40" s="2943"/>
      <c r="G40" s="2956">
        <v>17280</v>
      </c>
      <c r="M40" s="2943" t="s">
        <v>2998</v>
      </c>
      <c r="N40" s="2943" t="s">
        <v>2999</v>
      </c>
      <c r="O40" s="2943" t="s">
        <v>3000</v>
      </c>
      <c r="P40" s="2943" t="s">
        <v>3001</v>
      </c>
      <c r="Q40" s="2943" t="s">
        <v>3002</v>
      </c>
    </row>
    <row r="41" spans="1:17" ht="14.25" customHeight="1" thickBot="1">
      <c r="A41" s="2943" t="s">
        <v>296</v>
      </c>
      <c r="B41" s="2944" t="s">
        <v>209</v>
      </c>
      <c r="C41" s="2943">
        <v>21220</v>
      </c>
      <c r="D41" s="2943">
        <v>21120</v>
      </c>
      <c r="E41" s="2943">
        <v>22590</v>
      </c>
      <c r="F41" s="2943"/>
      <c r="G41" s="2956">
        <v>14780</v>
      </c>
      <c r="M41" s="2950" t="s">
        <v>3003</v>
      </c>
      <c r="N41" s="2943" t="s">
        <v>3004</v>
      </c>
      <c r="O41" s="2943" t="s">
        <v>3005</v>
      </c>
      <c r="P41" s="2943" t="s">
        <v>3006</v>
      </c>
      <c r="Q41" s="2943" t="s">
        <v>3007</v>
      </c>
    </row>
    <row r="42" spans="1:17" ht="14.25" customHeight="1">
      <c r="A42" s="2943" t="s">
        <v>296</v>
      </c>
      <c r="B42" s="2944" t="s">
        <v>215</v>
      </c>
      <c r="C42" s="2943">
        <v>24800</v>
      </c>
      <c r="D42" s="2943">
        <v>22280</v>
      </c>
      <c r="E42" s="2943">
        <v>24350</v>
      </c>
      <c r="F42" s="2943"/>
      <c r="G42" s="2956">
        <v>15590</v>
      </c>
      <c r="N42" s="2943" t="s">
        <v>3008</v>
      </c>
      <c r="O42" s="2943" t="s">
        <v>3009</v>
      </c>
      <c r="P42" s="2943" t="s">
        <v>3010</v>
      </c>
      <c r="Q42" s="2943" t="s">
        <v>3011</v>
      </c>
    </row>
    <row r="43" spans="1:17" ht="14.25" customHeight="1">
      <c r="A43" s="2943" t="s">
        <v>3012</v>
      </c>
      <c r="B43" s="2944" t="s">
        <v>223</v>
      </c>
      <c r="C43" s="2943">
        <v>21210</v>
      </c>
      <c r="D43" s="2943">
        <v>21160</v>
      </c>
      <c r="E43" s="2943">
        <v>22650</v>
      </c>
      <c r="F43" s="2943"/>
      <c r="G43" s="2956">
        <v>14800</v>
      </c>
      <c r="N43" s="2943" t="s">
        <v>3013</v>
      </c>
      <c r="O43" s="2943" t="s">
        <v>3014</v>
      </c>
      <c r="P43" s="2943" t="s">
        <v>3015</v>
      </c>
      <c r="Q43" s="2943" t="s">
        <v>3016</v>
      </c>
    </row>
    <row r="44" spans="1:17" ht="14.25" customHeight="1" thickBot="1">
      <c r="A44" s="2943" t="s">
        <v>296</v>
      </c>
      <c r="B44" s="2944" t="s">
        <v>231</v>
      </c>
      <c r="C44" s="2943">
        <v>22370</v>
      </c>
      <c r="D44" s="2943">
        <v>23140</v>
      </c>
      <c r="E44" s="2943">
        <v>25090</v>
      </c>
      <c r="F44" s="2943"/>
      <c r="G44" s="2956">
        <v>16190</v>
      </c>
      <c r="N44" s="2943" t="s">
        <v>3017</v>
      </c>
      <c r="O44" s="2943" t="s">
        <v>3018</v>
      </c>
      <c r="P44" s="2950" t="s">
        <v>3019</v>
      </c>
      <c r="Q44" s="2943" t="s">
        <v>3020</v>
      </c>
    </row>
    <row r="45" spans="1:17" ht="14.25" customHeight="1" thickBot="1">
      <c r="A45" s="2943" t="s">
        <v>296</v>
      </c>
      <c r="B45" s="2944" t="s">
        <v>236</v>
      </c>
      <c r="C45" s="2943">
        <v>21240</v>
      </c>
      <c r="D45" s="2943">
        <v>27050</v>
      </c>
      <c r="E45" s="2943">
        <v>28000</v>
      </c>
      <c r="F45" s="2943"/>
      <c r="G45" s="2956">
        <v>18940</v>
      </c>
      <c r="N45" s="2943" t="s">
        <v>3021</v>
      </c>
      <c r="O45" s="2950" t="s">
        <v>3022</v>
      </c>
      <c r="Q45" s="2943" t="s">
        <v>3023</v>
      </c>
    </row>
    <row r="46" spans="1:17" ht="14.25" customHeight="1">
      <c r="A46" s="2943" t="s">
        <v>296</v>
      </c>
      <c r="B46" s="2944" t="s">
        <v>245</v>
      </c>
      <c r="C46" s="2943">
        <v>23240</v>
      </c>
      <c r="D46" s="2943">
        <v>23000</v>
      </c>
      <c r="E46" s="2943">
        <v>24980</v>
      </c>
      <c r="F46" s="2943"/>
      <c r="G46" s="2956">
        <v>16100</v>
      </c>
      <c r="N46" s="2943" t="s">
        <v>3024</v>
      </c>
      <c r="Q46" s="2943" t="s">
        <v>3025</v>
      </c>
    </row>
    <row r="47" spans="1:17" ht="14.25" customHeight="1">
      <c r="A47" s="2943" t="s">
        <v>296</v>
      </c>
      <c r="B47" s="2944" t="s">
        <v>252</v>
      </c>
      <c r="C47" s="2943">
        <v>27150</v>
      </c>
      <c r="D47" s="2943">
        <v>23310</v>
      </c>
      <c r="E47" s="2943">
        <v>25150</v>
      </c>
      <c r="F47" s="2943"/>
      <c r="G47" s="2956">
        <v>16310</v>
      </c>
      <c r="N47" s="2943" t="s">
        <v>3026</v>
      </c>
      <c r="Q47" s="2943" t="s">
        <v>3027</v>
      </c>
    </row>
    <row r="48" spans="1:17" ht="14.25" customHeight="1">
      <c r="A48" s="2943" t="s">
        <v>296</v>
      </c>
      <c r="B48" s="2944" t="s">
        <v>260</v>
      </c>
      <c r="C48" s="2943">
        <v>23100</v>
      </c>
      <c r="D48" s="2943">
        <v>21110</v>
      </c>
      <c r="E48" s="2943">
        <v>23080</v>
      </c>
      <c r="F48" s="2943"/>
      <c r="G48" s="2956">
        <v>14780</v>
      </c>
      <c r="N48" s="2943" t="s">
        <v>3028</v>
      </c>
      <c r="Q48" s="2943" t="s">
        <v>3029</v>
      </c>
    </row>
    <row r="49" spans="1:17" ht="14.25" customHeight="1">
      <c r="A49" s="2943" t="s">
        <v>296</v>
      </c>
      <c r="B49" s="2944" t="s">
        <v>267</v>
      </c>
      <c r="C49" s="2943">
        <v>23400</v>
      </c>
      <c r="D49" s="2943">
        <v>22920</v>
      </c>
      <c r="E49" s="2943">
        <v>24900</v>
      </c>
      <c r="F49" s="2943"/>
      <c r="G49" s="2956">
        <v>16040</v>
      </c>
      <c r="N49" s="2943" t="s">
        <v>3030</v>
      </c>
      <c r="Q49" s="2943" t="s">
        <v>3031</v>
      </c>
    </row>
    <row r="50" spans="1:17" ht="14.25" customHeight="1">
      <c r="A50" s="2943" t="s">
        <v>296</v>
      </c>
      <c r="B50" s="2944" t="s">
        <v>2908</v>
      </c>
      <c r="C50" s="2943">
        <v>21200</v>
      </c>
      <c r="D50" s="2943">
        <v>26540</v>
      </c>
      <c r="E50" s="2943">
        <v>23200</v>
      </c>
      <c r="F50" s="2943"/>
      <c r="G50" s="2956">
        <v>18580</v>
      </c>
      <c r="N50" s="2943" t="s">
        <v>3032</v>
      </c>
      <c r="Q50" s="2944" t="s">
        <v>3033</v>
      </c>
    </row>
    <row r="51" spans="1:17" ht="14.25" customHeight="1" thickBot="1">
      <c r="A51" s="2943" t="s">
        <v>296</v>
      </c>
      <c r="B51" s="2944" t="s">
        <v>2910</v>
      </c>
      <c r="C51" s="2943">
        <v>23000</v>
      </c>
      <c r="D51" s="2943">
        <v>23460</v>
      </c>
      <c r="E51" s="2943">
        <v>25290</v>
      </c>
      <c r="F51" s="2943"/>
      <c r="G51" s="2956">
        <v>16420</v>
      </c>
      <c r="N51" s="2943" t="s">
        <v>3034</v>
      </c>
      <c r="Q51" s="2950" t="s">
        <v>3035</v>
      </c>
    </row>
    <row r="52" spans="1:17" ht="14.25" customHeight="1">
      <c r="A52" s="2943" t="s">
        <v>296</v>
      </c>
      <c r="B52" s="2944" t="s">
        <v>2914</v>
      </c>
      <c r="C52" s="2943">
        <v>26660</v>
      </c>
      <c r="D52" s="2943">
        <v>22350</v>
      </c>
      <c r="E52" s="2943">
        <v>22920</v>
      </c>
      <c r="F52" s="2943"/>
      <c r="G52" s="2956">
        <v>15640</v>
      </c>
      <c r="N52" s="2943" t="s">
        <v>3036</v>
      </c>
    </row>
    <row r="53" spans="1:17" ht="14.25" customHeight="1">
      <c r="A53" s="2943" t="s">
        <v>296</v>
      </c>
      <c r="B53" s="2944" t="s">
        <v>2919</v>
      </c>
      <c r="C53" s="2943">
        <v>23580</v>
      </c>
      <c r="D53" s="2943"/>
      <c r="E53" s="2943">
        <v>24280</v>
      </c>
      <c r="F53" s="2943"/>
      <c r="G53" s="2956"/>
      <c r="N53" s="2943" t="s">
        <v>3037</v>
      </c>
    </row>
    <row r="54" spans="1:17" ht="14.25" customHeight="1" thickBot="1">
      <c r="A54" s="2957" t="s">
        <v>296</v>
      </c>
      <c r="B54" s="2949" t="s">
        <v>2922</v>
      </c>
      <c r="C54" s="2950">
        <v>22460</v>
      </c>
      <c r="D54" s="2950"/>
      <c r="E54" s="2950"/>
      <c r="F54" s="2950"/>
      <c r="G54" s="2958"/>
      <c r="N54" s="2943" t="s">
        <v>3038</v>
      </c>
    </row>
    <row r="55" spans="1:17" ht="14.25" customHeight="1">
      <c r="A55" s="2948" t="s">
        <v>110</v>
      </c>
      <c r="B55" s="2939" t="s">
        <v>3039</v>
      </c>
      <c r="C55" s="2943">
        <v>21970</v>
      </c>
      <c r="D55" s="2943">
        <v>20370</v>
      </c>
      <c r="E55" s="2943">
        <v>20180</v>
      </c>
      <c r="F55" s="2943">
        <v>5730</v>
      </c>
      <c r="G55" s="2943">
        <v>13820</v>
      </c>
      <c r="N55" s="2943" t="s">
        <v>3040</v>
      </c>
    </row>
    <row r="56" spans="1:17" ht="14.25" customHeight="1">
      <c r="A56" s="2943" t="s">
        <v>110</v>
      </c>
      <c r="B56" s="2943" t="s">
        <v>130</v>
      </c>
      <c r="C56" s="2943">
        <v>20470</v>
      </c>
      <c r="D56" s="2943">
        <v>20700</v>
      </c>
      <c r="E56" s="2943">
        <v>20380</v>
      </c>
      <c r="F56" s="2943">
        <v>4760</v>
      </c>
      <c r="G56" s="2943">
        <v>14050</v>
      </c>
      <c r="N56" s="2943" t="s">
        <v>3041</v>
      </c>
    </row>
    <row r="57" spans="1:17" ht="14.25" customHeight="1">
      <c r="A57" s="2943" t="s">
        <v>110</v>
      </c>
      <c r="B57" s="2943" t="s">
        <v>139</v>
      </c>
      <c r="C57" s="2943">
        <v>20790</v>
      </c>
      <c r="D57" s="2943">
        <v>21370</v>
      </c>
      <c r="E57" s="2943">
        <v>20890</v>
      </c>
      <c r="F57" s="2943">
        <v>4910</v>
      </c>
      <c r="G57" s="2943">
        <v>14510</v>
      </c>
      <c r="N57" s="2943" t="s">
        <v>3042</v>
      </c>
    </row>
    <row r="58" spans="1:17" ht="14.25" customHeight="1">
      <c r="A58" s="2943" t="s">
        <v>110</v>
      </c>
      <c r="B58" s="2943" t="s">
        <v>148</v>
      </c>
      <c r="C58" s="2943">
        <v>21460</v>
      </c>
      <c r="D58" s="2943">
        <v>20920</v>
      </c>
      <c r="E58" s="2943">
        <v>23410</v>
      </c>
      <c r="F58" s="2943">
        <v>5100</v>
      </c>
      <c r="G58" s="2943">
        <v>14200</v>
      </c>
      <c r="N58" s="2943" t="s">
        <v>3043</v>
      </c>
    </row>
    <row r="59" spans="1:17" ht="14.25" customHeight="1">
      <c r="A59" s="2943" t="s">
        <v>110</v>
      </c>
      <c r="B59" s="2943" t="s">
        <v>157</v>
      </c>
      <c r="C59" s="2943">
        <v>21000</v>
      </c>
      <c r="D59" s="2943">
        <v>21550</v>
      </c>
      <c r="E59" s="2943">
        <v>21150</v>
      </c>
      <c r="F59" s="2943">
        <v>5250</v>
      </c>
      <c r="G59" s="2943">
        <v>14630</v>
      </c>
      <c r="N59" s="2943" t="s">
        <v>3044</v>
      </c>
    </row>
    <row r="60" spans="1:17" ht="14.25" customHeight="1">
      <c r="A60" s="2943" t="s">
        <v>110</v>
      </c>
      <c r="B60" s="2943" t="s">
        <v>164</v>
      </c>
      <c r="C60" s="2943">
        <v>21640</v>
      </c>
      <c r="D60" s="2943">
        <v>21260</v>
      </c>
      <c r="E60" s="2943">
        <v>24040</v>
      </c>
      <c r="F60" s="2943">
        <v>4470</v>
      </c>
      <c r="G60" s="2943">
        <v>14430</v>
      </c>
      <c r="N60" s="2943" t="s">
        <v>3045</v>
      </c>
    </row>
    <row r="61" spans="1:17" ht="14.25" customHeight="1">
      <c r="A61" s="2943" t="s">
        <v>110</v>
      </c>
      <c r="B61" s="2943" t="s">
        <v>170</v>
      </c>
      <c r="C61" s="2943">
        <v>21330</v>
      </c>
      <c r="D61" s="2943">
        <v>18640</v>
      </c>
      <c r="E61" s="2943">
        <v>21190</v>
      </c>
      <c r="F61" s="2943">
        <v>4180</v>
      </c>
      <c r="G61" s="2943">
        <v>12650</v>
      </c>
      <c r="N61" s="2943" t="s">
        <v>3046</v>
      </c>
    </row>
    <row r="62" spans="1:17" ht="14.25" customHeight="1">
      <c r="A62" s="2943" t="s">
        <v>110</v>
      </c>
      <c r="B62" s="2943" t="s">
        <v>177</v>
      </c>
      <c r="C62" s="2943">
        <v>18710</v>
      </c>
      <c r="D62" s="2943">
        <v>19400</v>
      </c>
      <c r="E62" s="2943">
        <v>23750</v>
      </c>
      <c r="F62" s="2943">
        <v>4860</v>
      </c>
      <c r="G62" s="2943">
        <v>13170</v>
      </c>
      <c r="N62" s="2943" t="s">
        <v>3047</v>
      </c>
    </row>
    <row r="63" spans="1:17" ht="14.25" customHeight="1">
      <c r="A63" s="2943" t="s">
        <v>110</v>
      </c>
      <c r="B63" s="2943" t="s">
        <v>187</v>
      </c>
      <c r="C63" s="2943">
        <v>19480</v>
      </c>
      <c r="D63" s="2943">
        <v>16830</v>
      </c>
      <c r="E63" s="2943">
        <v>21590</v>
      </c>
      <c r="F63" s="2943">
        <v>4560</v>
      </c>
      <c r="G63" s="2943">
        <v>11420</v>
      </c>
      <c r="N63" s="2943" t="s">
        <v>3048</v>
      </c>
    </row>
    <row r="64" spans="1:17" ht="14.25" customHeight="1" thickBot="1">
      <c r="A64" s="2943" t="s">
        <v>110</v>
      </c>
      <c r="B64" s="2943" t="s">
        <v>196</v>
      </c>
      <c r="C64" s="2943">
        <v>16920</v>
      </c>
      <c r="D64" s="2943">
        <v>19190</v>
      </c>
      <c r="E64" s="2943">
        <v>22200</v>
      </c>
      <c r="F64" s="2943">
        <v>4390</v>
      </c>
      <c r="G64" s="2943">
        <v>13030</v>
      </c>
      <c r="N64" s="2950" t="s">
        <v>3049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2920</v>
      </c>
      <c r="C78" s="2943">
        <v>19820</v>
      </c>
      <c r="D78" s="2943">
        <v>19780</v>
      </c>
      <c r="E78" s="2943">
        <v>18560</v>
      </c>
      <c r="F78" s="2943"/>
      <c r="G78" s="2943">
        <v>13430</v>
      </c>
    </row>
    <row r="79" spans="1:7" s="2777" customFormat="1" ht="14.25" customHeight="1">
      <c r="A79" s="2943" t="s">
        <v>110</v>
      </c>
      <c r="B79" s="2943" t="s">
        <v>2923</v>
      </c>
      <c r="C79" s="2943">
        <v>21660</v>
      </c>
      <c r="D79" s="2943">
        <v>18000</v>
      </c>
      <c r="E79" s="2943">
        <v>22570</v>
      </c>
      <c r="F79" s="2943"/>
      <c r="G79" s="2943">
        <v>12220</v>
      </c>
    </row>
    <row r="80" spans="1:7" s="2777" customFormat="1" ht="14.25" customHeight="1">
      <c r="A80" s="2943" t="s">
        <v>110</v>
      </c>
      <c r="B80" s="2943" t="s">
        <v>2927</v>
      </c>
      <c r="C80" s="2943">
        <v>19850</v>
      </c>
      <c r="D80" s="2943"/>
      <c r="E80" s="2943">
        <v>21700</v>
      </c>
      <c r="F80" s="2943"/>
      <c r="G80" s="2943"/>
    </row>
    <row r="81" spans="1:7" s="2777" customFormat="1" ht="14.25" customHeight="1">
      <c r="A81" s="2943" t="s">
        <v>110</v>
      </c>
      <c r="B81" s="2943" t="s">
        <v>2932</v>
      </c>
      <c r="C81" s="2943">
        <v>18080</v>
      </c>
      <c r="D81" s="2943"/>
      <c r="E81" s="2943">
        <v>20900</v>
      </c>
      <c r="F81" s="2943"/>
      <c r="G81" s="2943"/>
    </row>
    <row r="82" spans="1:7" s="2777" customFormat="1" ht="14.25" customHeight="1">
      <c r="A82" s="2943" t="s">
        <v>110</v>
      </c>
      <c r="B82" s="2943" t="s">
        <v>2939</v>
      </c>
      <c r="C82" s="2943"/>
      <c r="D82" s="2943"/>
      <c r="E82" s="2943">
        <v>20840</v>
      </c>
      <c r="F82" s="2943"/>
      <c r="G82" s="2943"/>
    </row>
    <row r="83" spans="1:7" s="2777" customFormat="1" ht="14.25" customHeight="1">
      <c r="A83" s="2943" t="s">
        <v>110</v>
      </c>
      <c r="B83" s="2943" t="s">
        <v>3050</v>
      </c>
      <c r="C83" s="2943"/>
      <c r="D83" s="2943"/>
      <c r="E83" s="2943"/>
      <c r="F83" s="2943">
        <v>4770</v>
      </c>
      <c r="G83" s="2943"/>
    </row>
    <row r="84" spans="1:7" s="2777" customFormat="1" ht="14.25" customHeight="1">
      <c r="A84" s="2943" t="s">
        <v>110</v>
      </c>
      <c r="B84" s="2943" t="s">
        <v>3051</v>
      </c>
      <c r="C84" s="2943"/>
      <c r="D84" s="2943"/>
      <c r="E84" s="2943"/>
      <c r="F84" s="2943">
        <v>4600</v>
      </c>
      <c r="G84" s="2943"/>
    </row>
    <row r="85" spans="1:7" s="2777" customFormat="1" ht="14.25" customHeight="1">
      <c r="A85" s="2943" t="s">
        <v>110</v>
      </c>
      <c r="B85" s="2943" t="s">
        <v>3052</v>
      </c>
      <c r="C85" s="2943"/>
      <c r="D85" s="2943"/>
      <c r="E85" s="2943"/>
      <c r="F85" s="2943">
        <v>4680</v>
      </c>
      <c r="G85" s="2943"/>
    </row>
    <row r="86" spans="1:7" s="2777" customFormat="1" ht="14.25" customHeight="1" thickBot="1">
      <c r="A86" s="2951" t="s">
        <v>110</v>
      </c>
      <c r="B86" s="2953" t="s">
        <v>3053</v>
      </c>
      <c r="C86" s="2954">
        <v>16610</v>
      </c>
      <c r="D86" s="2954">
        <v>16540</v>
      </c>
      <c r="E86" s="2954">
        <v>18850</v>
      </c>
      <c r="F86" s="2954"/>
      <c r="G86" s="2954">
        <v>11220</v>
      </c>
    </row>
    <row r="87" spans="1:7" s="2777" customFormat="1" ht="14.25" customHeight="1">
      <c r="A87" s="2948" t="s">
        <v>303</v>
      </c>
      <c r="B87" s="2939" t="s">
        <v>3054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2933</v>
      </c>
      <c r="C113" s="2943">
        <v>15520</v>
      </c>
      <c r="D113" s="2943">
        <v>15450</v>
      </c>
      <c r="E113" s="2943"/>
      <c r="F113" s="2943"/>
      <c r="G113" s="2956">
        <v>10210</v>
      </c>
    </row>
    <row r="114" spans="1:7" s="2777" customFormat="1" ht="14.25" customHeight="1">
      <c r="A114" s="2943" t="s">
        <v>303</v>
      </c>
      <c r="B114" s="2943" t="s">
        <v>2940</v>
      </c>
      <c r="C114" s="2943">
        <v>13110</v>
      </c>
      <c r="D114" s="2943">
        <v>13050</v>
      </c>
      <c r="E114" s="2943"/>
      <c r="F114" s="2943"/>
      <c r="G114" s="2956">
        <v>8620</v>
      </c>
    </row>
    <row r="115" spans="1:7" s="2777" customFormat="1" ht="14.25" customHeight="1">
      <c r="A115" s="2943" t="s">
        <v>303</v>
      </c>
      <c r="B115" s="2943" t="s">
        <v>2946</v>
      </c>
      <c r="C115" s="2943">
        <v>12460</v>
      </c>
      <c r="D115" s="2943">
        <v>12390</v>
      </c>
      <c r="E115" s="2943"/>
      <c r="F115" s="2943"/>
      <c r="G115" s="2956">
        <v>8190</v>
      </c>
    </row>
    <row r="116" spans="1:7" s="2777" customFormat="1" ht="14.25" customHeight="1">
      <c r="A116" s="2943" t="s">
        <v>303</v>
      </c>
      <c r="B116" s="2943" t="s">
        <v>2953</v>
      </c>
      <c r="C116" s="2943">
        <v>13580</v>
      </c>
      <c r="D116" s="2943">
        <v>13520</v>
      </c>
      <c r="E116" s="2943"/>
      <c r="F116" s="2943"/>
      <c r="G116" s="2956">
        <v>8930</v>
      </c>
    </row>
    <row r="117" spans="1:7" s="2777" customFormat="1" ht="14.25" customHeight="1">
      <c r="A117" s="2943" t="s">
        <v>303</v>
      </c>
      <c r="B117" s="2943" t="s">
        <v>2960</v>
      </c>
      <c r="C117" s="2943">
        <v>17120</v>
      </c>
      <c r="D117" s="2943">
        <v>17040</v>
      </c>
      <c r="E117" s="2943"/>
      <c r="F117" s="2943"/>
      <c r="G117" s="2956">
        <v>11260</v>
      </c>
    </row>
    <row r="118" spans="1:7" s="2777" customFormat="1" ht="14.25" customHeight="1">
      <c r="A118" s="2943" t="s">
        <v>303</v>
      </c>
      <c r="B118" s="2943" t="s">
        <v>2965</v>
      </c>
      <c r="C118" s="2943">
        <v>14860</v>
      </c>
      <c r="D118" s="2943">
        <v>14790</v>
      </c>
      <c r="E118" s="2943"/>
      <c r="F118" s="2943"/>
      <c r="G118" s="2956">
        <v>9780</v>
      </c>
    </row>
    <row r="119" spans="1:7" s="2777" customFormat="1" ht="14.25" customHeight="1">
      <c r="A119" s="2943" t="s">
        <v>303</v>
      </c>
      <c r="B119" s="2943" t="s">
        <v>2969</v>
      </c>
      <c r="C119" s="2943">
        <v>16470</v>
      </c>
      <c r="D119" s="2943">
        <v>16400</v>
      </c>
      <c r="E119" s="2943"/>
      <c r="F119" s="2943"/>
      <c r="G119" s="2956">
        <v>10840</v>
      </c>
    </row>
    <row r="120" spans="1:7" s="2777" customFormat="1" ht="14.25" customHeight="1">
      <c r="A120" s="2943" t="s">
        <v>303</v>
      </c>
      <c r="B120" s="2943" t="s">
        <v>3055</v>
      </c>
      <c r="C120" s="2943"/>
      <c r="D120" s="2943"/>
      <c r="E120" s="2943"/>
      <c r="F120" s="2943">
        <v>4160</v>
      </c>
      <c r="G120" s="2956"/>
    </row>
    <row r="121" spans="1:7" s="2777" customFormat="1" ht="14.25" customHeight="1">
      <c r="A121" s="2943" t="s">
        <v>303</v>
      </c>
      <c r="B121" s="2943" t="s">
        <v>3056</v>
      </c>
      <c r="C121" s="2943"/>
      <c r="D121" s="2943"/>
      <c r="E121" s="2943"/>
      <c r="F121" s="2943">
        <v>3880</v>
      </c>
      <c r="G121" s="2956"/>
    </row>
    <row r="122" spans="1:7" s="2777" customFormat="1" ht="14.25" customHeight="1">
      <c r="A122" s="2943" t="s">
        <v>303</v>
      </c>
      <c r="B122" s="2943" t="s">
        <v>3057</v>
      </c>
      <c r="C122" s="2943">
        <v>13750</v>
      </c>
      <c r="D122" s="2943">
        <v>13680</v>
      </c>
      <c r="E122" s="2943">
        <v>16460</v>
      </c>
      <c r="F122" s="2943">
        <v>2880</v>
      </c>
      <c r="G122" s="2956">
        <v>9040</v>
      </c>
    </row>
    <row r="123" spans="1:7" s="2777" customFormat="1" ht="14.25" customHeight="1">
      <c r="A123" s="2943" t="s">
        <v>303</v>
      </c>
      <c r="B123" s="2943" t="s">
        <v>2988</v>
      </c>
      <c r="C123" s="2943">
        <v>13590</v>
      </c>
      <c r="D123" s="2943">
        <v>13520</v>
      </c>
      <c r="E123" s="2943">
        <v>16290</v>
      </c>
      <c r="F123" s="2943">
        <v>2790</v>
      </c>
      <c r="G123" s="2956">
        <v>8930</v>
      </c>
    </row>
    <row r="124" spans="1:7" s="2777" customFormat="1" ht="14.25" customHeight="1">
      <c r="A124" s="2943" t="s">
        <v>303</v>
      </c>
      <c r="B124" s="2943" t="s">
        <v>2993</v>
      </c>
      <c r="C124" s="2943">
        <v>13400</v>
      </c>
      <c r="D124" s="2943">
        <v>13320</v>
      </c>
      <c r="E124" s="2943">
        <v>16100</v>
      </c>
      <c r="F124" s="2943">
        <v>2320</v>
      </c>
      <c r="G124" s="2956">
        <v>8800</v>
      </c>
    </row>
    <row r="125" spans="1:7" s="2777" customFormat="1" ht="14.25" customHeight="1">
      <c r="A125" s="2943" t="s">
        <v>303</v>
      </c>
      <c r="B125" s="2943" t="s">
        <v>2998</v>
      </c>
      <c r="C125" s="2943">
        <v>12860</v>
      </c>
      <c r="D125" s="2943">
        <v>12790</v>
      </c>
      <c r="E125" s="2943">
        <v>15370</v>
      </c>
      <c r="F125" s="2943">
        <v>2280</v>
      </c>
      <c r="G125" s="2956">
        <v>8450</v>
      </c>
    </row>
    <row r="126" spans="1:7" s="2777" customFormat="1" ht="14.25" customHeight="1" thickBot="1">
      <c r="A126" s="2957" t="s">
        <v>303</v>
      </c>
      <c r="B126" s="2950" t="s">
        <v>3003</v>
      </c>
      <c r="C126" s="2950">
        <v>12960</v>
      </c>
      <c r="D126" s="2950">
        <v>12890</v>
      </c>
      <c r="E126" s="2950">
        <v>15530</v>
      </c>
      <c r="F126" s="2950">
        <v>2910</v>
      </c>
      <c r="G126" s="2958">
        <v>8520</v>
      </c>
    </row>
    <row r="127" spans="1:7" s="2777" customFormat="1" ht="14.25" customHeight="1">
      <c r="A127" s="2948" t="s">
        <v>29</v>
      </c>
      <c r="B127" s="2939" t="s">
        <v>3058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3059</v>
      </c>
      <c r="C148" s="2943">
        <v>10370</v>
      </c>
      <c r="D148" s="2943">
        <v>10310</v>
      </c>
      <c r="E148" s="2943">
        <v>12970</v>
      </c>
      <c r="F148" s="2943"/>
      <c r="G148" s="2943">
        <v>6630</v>
      </c>
    </row>
    <row r="149" spans="1:7" s="2777" customFormat="1" ht="14.25" customHeight="1">
      <c r="A149" s="2943" t="s">
        <v>29</v>
      </c>
      <c r="B149" s="2943" t="s">
        <v>3060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2934</v>
      </c>
      <c r="C153" s="2943">
        <v>10880</v>
      </c>
      <c r="D153" s="2943">
        <v>10820</v>
      </c>
      <c r="E153" s="2943">
        <v>13660</v>
      </c>
      <c r="F153" s="2943">
        <v>2260</v>
      </c>
      <c r="G153" s="2943">
        <v>6970</v>
      </c>
    </row>
    <row r="154" spans="1:7" s="2777" customFormat="1" ht="14.25" customHeight="1">
      <c r="A154" s="2943" t="s">
        <v>29</v>
      </c>
      <c r="B154" s="2943" t="s">
        <v>3061</v>
      </c>
      <c r="C154" s="2943">
        <v>11220</v>
      </c>
      <c r="D154" s="2943">
        <v>11160</v>
      </c>
      <c r="E154" s="2943">
        <v>14130</v>
      </c>
      <c r="F154" s="2943">
        <v>2230</v>
      </c>
      <c r="G154" s="2943">
        <v>7180</v>
      </c>
    </row>
    <row r="155" spans="1:7" s="2777" customFormat="1" ht="14.25" customHeight="1">
      <c r="A155" s="2943" t="s">
        <v>29</v>
      </c>
      <c r="B155" s="2943" t="s">
        <v>2947</v>
      </c>
      <c r="C155" s="2943">
        <v>10430</v>
      </c>
      <c r="D155" s="2943">
        <v>10380</v>
      </c>
      <c r="E155" s="2943">
        <v>13140</v>
      </c>
      <c r="F155" s="2943">
        <v>2080</v>
      </c>
      <c r="G155" s="2943">
        <v>6650</v>
      </c>
    </row>
    <row r="156" spans="1:7" s="2777" customFormat="1" ht="14.25" customHeight="1">
      <c r="A156" s="2943" t="s">
        <v>29</v>
      </c>
      <c r="B156" s="2943" t="s">
        <v>3062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3063</v>
      </c>
      <c r="C160" s="2943">
        <v>11180</v>
      </c>
      <c r="D160" s="2943">
        <v>11140</v>
      </c>
      <c r="E160" s="2943">
        <v>14050</v>
      </c>
      <c r="F160" s="2943">
        <v>2270</v>
      </c>
      <c r="G160" s="2943">
        <v>7170</v>
      </c>
    </row>
    <row r="161" spans="1:7" s="2777" customFormat="1" ht="14.25" customHeight="1">
      <c r="A161" s="2943" t="s">
        <v>29</v>
      </c>
      <c r="B161" s="2943" t="s">
        <v>2979</v>
      </c>
      <c r="C161" s="2943">
        <v>11160</v>
      </c>
      <c r="D161" s="2943">
        <v>11120</v>
      </c>
      <c r="E161" s="2943">
        <v>14020</v>
      </c>
      <c r="F161" s="2943">
        <v>2150</v>
      </c>
      <c r="G161" s="2943">
        <v>7160</v>
      </c>
    </row>
    <row r="162" spans="1:7" s="2777" customFormat="1" ht="14.25" customHeight="1">
      <c r="A162" s="2943" t="s">
        <v>29</v>
      </c>
      <c r="B162" s="2943" t="s">
        <v>2984</v>
      </c>
      <c r="C162" s="2943">
        <v>9620</v>
      </c>
      <c r="D162" s="2943">
        <v>9570</v>
      </c>
      <c r="E162" s="2943">
        <v>12320</v>
      </c>
      <c r="F162" s="2943">
        <v>2010</v>
      </c>
      <c r="G162" s="2943">
        <v>6160</v>
      </c>
    </row>
    <row r="163" spans="1:7" s="2777" customFormat="1" ht="14.25" customHeight="1">
      <c r="A163" s="2943" t="s">
        <v>29</v>
      </c>
      <c r="B163" s="2943" t="s">
        <v>2989</v>
      </c>
      <c r="C163" s="2943">
        <v>9320</v>
      </c>
      <c r="D163" s="2943">
        <v>9270</v>
      </c>
      <c r="E163" s="2943">
        <v>11790</v>
      </c>
      <c r="F163" s="2943">
        <v>1920</v>
      </c>
      <c r="G163" s="2943">
        <v>5960</v>
      </c>
    </row>
    <row r="164" spans="1:7" s="2777" customFormat="1" ht="14.25" customHeight="1">
      <c r="A164" s="2943" t="s">
        <v>29</v>
      </c>
      <c r="B164" s="2943" t="s">
        <v>2994</v>
      </c>
      <c r="C164" s="2943"/>
      <c r="D164" s="2943"/>
      <c r="E164" s="2943"/>
      <c r="F164" s="2943">
        <v>1980</v>
      </c>
      <c r="G164" s="2943"/>
    </row>
    <row r="165" spans="1:7" s="2777" customFormat="1" ht="14.25" customHeight="1">
      <c r="A165" s="2943" t="s">
        <v>29</v>
      </c>
      <c r="B165" s="2943" t="s">
        <v>3064</v>
      </c>
      <c r="C165" s="2943">
        <v>11060</v>
      </c>
      <c r="D165" s="2943">
        <v>11030</v>
      </c>
      <c r="E165" s="2943">
        <v>13850</v>
      </c>
      <c r="F165" s="2943">
        <v>2170</v>
      </c>
      <c r="G165" s="2943">
        <v>7090</v>
      </c>
    </row>
    <row r="166" spans="1:7" s="2777" customFormat="1" ht="14.25" customHeight="1">
      <c r="A166" s="2943" t="s">
        <v>29</v>
      </c>
      <c r="B166" s="2943" t="s">
        <v>3004</v>
      </c>
      <c r="C166" s="2943">
        <v>11050</v>
      </c>
      <c r="D166" s="2943">
        <v>11010</v>
      </c>
      <c r="E166" s="2943">
        <v>13920</v>
      </c>
      <c r="F166" s="2943">
        <v>2140</v>
      </c>
      <c r="G166" s="2943">
        <v>7080</v>
      </c>
    </row>
    <row r="167" spans="1:7" s="2777" customFormat="1" ht="14.25" customHeight="1">
      <c r="A167" s="2943" t="s">
        <v>29</v>
      </c>
      <c r="B167" s="2943" t="s">
        <v>3008</v>
      </c>
      <c r="C167" s="2943">
        <v>10930</v>
      </c>
      <c r="D167" s="2943">
        <v>10890</v>
      </c>
      <c r="E167" s="2943">
        <v>13790</v>
      </c>
      <c r="F167" s="2943">
        <v>2010</v>
      </c>
      <c r="G167" s="2943">
        <v>7000</v>
      </c>
    </row>
    <row r="168" spans="1:7" s="2777" customFormat="1" ht="14.25" customHeight="1">
      <c r="A168" s="2943" t="s">
        <v>29</v>
      </c>
      <c r="B168" s="2943" t="s">
        <v>3013</v>
      </c>
      <c r="C168" s="2943">
        <v>9420</v>
      </c>
      <c r="D168" s="2943">
        <v>9380</v>
      </c>
      <c r="E168" s="2943">
        <v>11970</v>
      </c>
      <c r="F168" s="2943"/>
      <c r="G168" s="2943">
        <v>6040</v>
      </c>
    </row>
    <row r="169" spans="1:7" s="2777" customFormat="1" ht="14.25" customHeight="1">
      <c r="A169" s="2943" t="s">
        <v>29</v>
      </c>
      <c r="B169" s="2943" t="s">
        <v>3065</v>
      </c>
      <c r="C169" s="2943"/>
      <c r="D169" s="2943"/>
      <c r="E169" s="2943"/>
      <c r="F169" s="2943">
        <v>2880</v>
      </c>
      <c r="G169" s="2943"/>
    </row>
    <row r="170" spans="1:7" s="2777" customFormat="1" ht="14.25" customHeight="1">
      <c r="A170" s="2943" t="s">
        <v>29</v>
      </c>
      <c r="B170" s="2943" t="s">
        <v>3021</v>
      </c>
      <c r="C170" s="2943"/>
      <c r="D170" s="2943"/>
      <c r="E170" s="2943"/>
      <c r="F170" s="2943">
        <v>2880</v>
      </c>
      <c r="G170" s="2943"/>
    </row>
    <row r="171" spans="1:7" s="2777" customFormat="1" ht="14.25" customHeight="1">
      <c r="A171" s="2943" t="s">
        <v>29</v>
      </c>
      <c r="B171" s="2943" t="s">
        <v>3024</v>
      </c>
      <c r="C171" s="2943"/>
      <c r="D171" s="2943"/>
      <c r="E171" s="2943"/>
      <c r="F171" s="2943">
        <v>2880</v>
      </c>
      <c r="G171" s="2943"/>
    </row>
    <row r="172" spans="1:7" s="2777" customFormat="1" ht="14.25" customHeight="1">
      <c r="A172" s="2943" t="s">
        <v>29</v>
      </c>
      <c r="B172" s="2943" t="s">
        <v>3026</v>
      </c>
      <c r="C172" s="2943"/>
      <c r="D172" s="2943"/>
      <c r="E172" s="2943"/>
      <c r="F172" s="2943">
        <v>2880</v>
      </c>
      <c r="G172" s="2943"/>
    </row>
    <row r="173" spans="1:7" s="2777" customFormat="1" ht="14.25" customHeight="1">
      <c r="A173" s="2943" t="s">
        <v>29</v>
      </c>
      <c r="B173" s="2943" t="s">
        <v>3028</v>
      </c>
      <c r="C173" s="2943"/>
      <c r="D173" s="2943"/>
      <c r="E173" s="2943"/>
      <c r="F173" s="2943">
        <v>2150</v>
      </c>
      <c r="G173" s="2943"/>
    </row>
    <row r="174" spans="1:7" s="2777" customFormat="1" ht="14.25" customHeight="1">
      <c r="A174" s="2943" t="s">
        <v>29</v>
      </c>
      <c r="B174" s="2943" t="s">
        <v>3030</v>
      </c>
      <c r="C174" s="2943"/>
      <c r="D174" s="2943"/>
      <c r="E174" s="2943"/>
      <c r="F174" s="2943">
        <v>2030</v>
      </c>
      <c r="G174" s="2943"/>
    </row>
    <row r="175" spans="1:7" s="2777" customFormat="1" ht="14.25" customHeight="1">
      <c r="A175" s="2943" t="s">
        <v>29</v>
      </c>
      <c r="B175" s="2943" t="s">
        <v>3032</v>
      </c>
      <c r="C175" s="2943"/>
      <c r="D175" s="2943"/>
      <c r="E175" s="2943"/>
      <c r="F175" s="2943">
        <v>2780</v>
      </c>
      <c r="G175" s="2943"/>
    </row>
    <row r="176" spans="1:7" s="2777" customFormat="1" ht="14.25" customHeight="1">
      <c r="A176" s="2943" t="s">
        <v>29</v>
      </c>
      <c r="B176" s="2943" t="s">
        <v>3034</v>
      </c>
      <c r="C176" s="2943"/>
      <c r="D176" s="2943"/>
      <c r="E176" s="2943"/>
      <c r="F176" s="2943">
        <v>2780</v>
      </c>
      <c r="G176" s="2943"/>
    </row>
    <row r="177" spans="1:7" s="2777" customFormat="1" ht="14.25" customHeight="1">
      <c r="A177" s="2943" t="s">
        <v>29</v>
      </c>
      <c r="B177" s="2943" t="s">
        <v>3066</v>
      </c>
      <c r="C177" s="2943"/>
      <c r="D177" s="2943"/>
      <c r="E177" s="2943"/>
      <c r="F177" s="2943">
        <v>2780</v>
      </c>
      <c r="G177" s="2943"/>
    </row>
    <row r="178" spans="1:7" s="2777" customFormat="1" ht="14.25" customHeight="1">
      <c r="A178" s="2943" t="s">
        <v>29</v>
      </c>
      <c r="B178" s="2943" t="s">
        <v>3067</v>
      </c>
      <c r="C178" s="2943"/>
      <c r="D178" s="2943"/>
      <c r="E178" s="2943"/>
      <c r="F178" s="2943">
        <v>2060</v>
      </c>
      <c r="G178" s="2943"/>
    </row>
    <row r="179" spans="1:7" s="2777" customFormat="1" ht="14.25" customHeight="1">
      <c r="A179" s="2943" t="s">
        <v>29</v>
      </c>
      <c r="B179" s="2943" t="s">
        <v>3068</v>
      </c>
      <c r="C179" s="2943"/>
      <c r="D179" s="2943"/>
      <c r="E179" s="2943"/>
      <c r="F179" s="2943">
        <v>2120</v>
      </c>
      <c r="G179" s="2943"/>
    </row>
    <row r="180" spans="1:7" s="2777" customFormat="1" ht="14.25" customHeight="1">
      <c r="A180" s="2943" t="s">
        <v>29</v>
      </c>
      <c r="B180" s="2943" t="s">
        <v>3040</v>
      </c>
      <c r="C180" s="2943"/>
      <c r="D180" s="2943"/>
      <c r="E180" s="2943"/>
      <c r="F180" s="2943">
        <v>2340</v>
      </c>
      <c r="G180" s="2943"/>
    </row>
    <row r="181" spans="1:7" s="2777" customFormat="1" ht="14.25" customHeight="1">
      <c r="A181" s="2943" t="s">
        <v>29</v>
      </c>
      <c r="B181" s="2943" t="s">
        <v>3041</v>
      </c>
      <c r="C181" s="2943"/>
      <c r="D181" s="2943"/>
      <c r="E181" s="2943"/>
      <c r="F181" s="2943">
        <v>2340</v>
      </c>
      <c r="G181" s="2943"/>
    </row>
    <row r="182" spans="1:7" s="2777" customFormat="1" ht="14.25" customHeight="1">
      <c r="A182" s="2943" t="s">
        <v>29</v>
      </c>
      <c r="B182" s="2943" t="s">
        <v>3042</v>
      </c>
      <c r="C182" s="2943"/>
      <c r="D182" s="2943"/>
      <c r="E182" s="2943"/>
      <c r="F182" s="2943">
        <v>2340</v>
      </c>
      <c r="G182" s="2943"/>
    </row>
    <row r="183" spans="1:7" s="2777" customFormat="1" ht="14.25" customHeight="1">
      <c r="A183" s="2943" t="s">
        <v>29</v>
      </c>
      <c r="B183" s="2943" t="s">
        <v>3043</v>
      </c>
      <c r="C183" s="2943"/>
      <c r="D183" s="2943"/>
      <c r="E183" s="2943"/>
      <c r="F183" s="2943">
        <v>2340</v>
      </c>
      <c r="G183" s="2943"/>
    </row>
    <row r="184" spans="1:7" s="2777" customFormat="1" ht="14.25" customHeight="1">
      <c r="A184" s="2943" t="s">
        <v>29</v>
      </c>
      <c r="B184" s="2943" t="s">
        <v>3044</v>
      </c>
      <c r="C184" s="2943"/>
      <c r="D184" s="2943"/>
      <c r="E184" s="2943"/>
      <c r="F184" s="2943">
        <v>2340</v>
      </c>
      <c r="G184" s="2943"/>
    </row>
    <row r="185" spans="1:7" s="2777" customFormat="1" ht="14.25" customHeight="1">
      <c r="A185" s="2943" t="s">
        <v>29</v>
      </c>
      <c r="B185" s="2943" t="s">
        <v>3045</v>
      </c>
      <c r="C185" s="2943"/>
      <c r="D185" s="2943"/>
      <c r="E185" s="2943"/>
      <c r="F185" s="2943">
        <v>2530</v>
      </c>
      <c r="G185" s="2943"/>
    </row>
    <row r="186" spans="1:7" s="2777" customFormat="1" ht="14.25" customHeight="1">
      <c r="A186" s="2943" t="s">
        <v>29</v>
      </c>
      <c r="B186" s="2943" t="s">
        <v>3046</v>
      </c>
      <c r="C186" s="2943"/>
      <c r="D186" s="2943"/>
      <c r="E186" s="2943"/>
      <c r="F186" s="2943">
        <v>2550</v>
      </c>
      <c r="G186" s="2943"/>
    </row>
    <row r="187" spans="1:7" s="2777" customFormat="1" ht="14.25" customHeight="1">
      <c r="A187" s="2943" t="s">
        <v>29</v>
      </c>
      <c r="B187" s="2943" t="s">
        <v>3047</v>
      </c>
      <c r="C187" s="2943"/>
      <c r="D187" s="2943"/>
      <c r="E187" s="2943"/>
      <c r="F187" s="2943">
        <v>2070</v>
      </c>
      <c r="G187" s="2943"/>
    </row>
    <row r="188" spans="1:7" s="2777" customFormat="1" ht="14.25" customHeight="1">
      <c r="A188" s="2943" t="s">
        <v>29</v>
      </c>
      <c r="B188" s="2943" t="s">
        <v>3048</v>
      </c>
      <c r="C188" s="2943"/>
      <c r="D188" s="2943"/>
      <c r="E188" s="2943"/>
      <c r="F188" s="2943">
        <v>2340</v>
      </c>
      <c r="G188" s="2943"/>
    </row>
    <row r="189" spans="1:7" s="2777" customFormat="1" ht="14.25" customHeight="1" thickBot="1">
      <c r="A189" s="2951" t="s">
        <v>29</v>
      </c>
      <c r="B189" s="2954" t="s">
        <v>3049</v>
      </c>
      <c r="C189" s="2954"/>
      <c r="D189" s="2954"/>
      <c r="E189" s="2954"/>
      <c r="F189" s="2954">
        <v>2050</v>
      </c>
      <c r="G189" s="2954"/>
    </row>
    <row r="190" spans="1:7" s="2777" customFormat="1" ht="14.25" customHeight="1">
      <c r="A190" s="2948" t="s">
        <v>304</v>
      </c>
      <c r="B190" s="2939" t="s">
        <v>3069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3070</v>
      </c>
      <c r="C199" s="2943">
        <v>8690</v>
      </c>
      <c r="D199" s="2943">
        <v>8630</v>
      </c>
      <c r="E199" s="2943">
        <v>11350</v>
      </c>
      <c r="F199" s="2943">
        <v>1600</v>
      </c>
      <c r="G199" s="2956">
        <v>5450</v>
      </c>
    </row>
    <row r="200" spans="1:7" s="2777" customFormat="1" ht="14.25" customHeight="1">
      <c r="A200" s="2943" t="s">
        <v>304</v>
      </c>
      <c r="B200" s="2943" t="s">
        <v>2881</v>
      </c>
      <c r="C200" s="2943"/>
      <c r="D200" s="2943"/>
      <c r="E200" s="2943"/>
      <c r="F200" s="2943">
        <v>1510</v>
      </c>
      <c r="G200" s="2956"/>
    </row>
    <row r="201" spans="1:7" s="2777" customFormat="1" ht="14.25" customHeight="1">
      <c r="A201" s="2943" t="s">
        <v>304</v>
      </c>
      <c r="B201" s="2943" t="s">
        <v>3071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3072</v>
      </c>
      <c r="C203" s="2943">
        <v>8130</v>
      </c>
      <c r="D203" s="2943">
        <v>8070</v>
      </c>
      <c r="E203" s="2943">
        <v>10820</v>
      </c>
      <c r="F203" s="2943">
        <v>1690</v>
      </c>
      <c r="G203" s="2956">
        <v>5100</v>
      </c>
    </row>
    <row r="204" spans="1:7" s="2777" customFormat="1" ht="14.25" customHeight="1">
      <c r="A204" s="2943" t="s">
        <v>304</v>
      </c>
      <c r="B204" s="2943" t="s">
        <v>2892</v>
      </c>
      <c r="C204" s="2943">
        <v>8350</v>
      </c>
      <c r="D204" s="2943">
        <v>8290</v>
      </c>
      <c r="E204" s="2943">
        <v>11080</v>
      </c>
      <c r="F204" s="2943">
        <v>1450</v>
      </c>
      <c r="G204" s="2956">
        <v>5240</v>
      </c>
    </row>
    <row r="205" spans="1:7" s="2777" customFormat="1" ht="14.25" customHeight="1">
      <c r="A205" s="2943" t="s">
        <v>304</v>
      </c>
      <c r="B205" s="2943" t="s">
        <v>2894</v>
      </c>
      <c r="C205" s="2943">
        <v>7190</v>
      </c>
      <c r="D205" s="2943">
        <v>7130</v>
      </c>
      <c r="E205" s="2943">
        <v>9490</v>
      </c>
      <c r="F205" s="2943">
        <v>1470</v>
      </c>
      <c r="G205" s="2956">
        <v>4510</v>
      </c>
    </row>
    <row r="206" spans="1:7" s="2777" customFormat="1" ht="14.25" customHeight="1">
      <c r="A206" s="2943" t="s">
        <v>304</v>
      </c>
      <c r="B206" s="2943" t="s">
        <v>2897</v>
      </c>
      <c r="C206" s="2943">
        <v>7000</v>
      </c>
      <c r="D206" s="2943">
        <v>6950</v>
      </c>
      <c r="E206" s="2943">
        <v>9170</v>
      </c>
      <c r="F206" s="2943">
        <v>1400</v>
      </c>
      <c r="G206" s="2956">
        <v>4380</v>
      </c>
    </row>
    <row r="207" spans="1:7" s="2777" customFormat="1" ht="14.25" customHeight="1">
      <c r="A207" s="2943" t="s">
        <v>304</v>
      </c>
      <c r="B207" s="2943" t="s">
        <v>2899</v>
      </c>
      <c r="C207" s="2943">
        <v>6950</v>
      </c>
      <c r="D207" s="2943">
        <v>6900</v>
      </c>
      <c r="E207" s="2943">
        <v>9110</v>
      </c>
      <c r="F207" s="2943">
        <v>1790</v>
      </c>
      <c r="G207" s="2956">
        <v>4360</v>
      </c>
    </row>
    <row r="208" spans="1:7" s="2777" customFormat="1" ht="14.25" customHeight="1">
      <c r="A208" s="2943" t="s">
        <v>304</v>
      </c>
      <c r="B208" s="2943" t="s">
        <v>3073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2909</v>
      </c>
      <c r="C210" s="2943">
        <v>8710</v>
      </c>
      <c r="D210" s="2943">
        <v>8660</v>
      </c>
      <c r="E210" s="2943">
        <v>11440</v>
      </c>
      <c r="F210" s="2943">
        <v>1740</v>
      </c>
      <c r="G210" s="2956">
        <v>5470</v>
      </c>
    </row>
    <row r="211" spans="1:7" s="2777" customFormat="1" ht="14.25" customHeight="1">
      <c r="A211" s="2943" t="s">
        <v>304</v>
      </c>
      <c r="B211" s="2943" t="s">
        <v>3074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3075</v>
      </c>
      <c r="C214" s="2943">
        <v>8090</v>
      </c>
      <c r="D214" s="2943">
        <v>8030</v>
      </c>
      <c r="E214" s="2943">
        <v>10780</v>
      </c>
      <c r="F214" s="2943">
        <v>1570</v>
      </c>
      <c r="G214" s="2956">
        <v>5070</v>
      </c>
    </row>
    <row r="215" spans="1:7" s="2777" customFormat="1" ht="14.25" customHeight="1">
      <c r="A215" s="2943" t="s">
        <v>304</v>
      </c>
      <c r="B215" s="2943" t="s">
        <v>3076</v>
      </c>
      <c r="C215" s="2943">
        <v>7950</v>
      </c>
      <c r="D215" s="2943">
        <v>7900</v>
      </c>
      <c r="E215" s="2943">
        <v>10560</v>
      </c>
      <c r="F215" s="2943">
        <v>1630</v>
      </c>
      <c r="G215" s="2956">
        <v>4990</v>
      </c>
    </row>
    <row r="216" spans="1:7" s="2777" customFormat="1" ht="14.25" customHeight="1">
      <c r="A216" s="2943" t="s">
        <v>304</v>
      </c>
      <c r="B216" s="2943" t="s">
        <v>3077</v>
      </c>
      <c r="C216" s="2943">
        <v>8490</v>
      </c>
      <c r="D216" s="2943">
        <v>8440</v>
      </c>
      <c r="E216" s="2943">
        <v>11260</v>
      </c>
      <c r="F216" s="2943">
        <v>1690</v>
      </c>
      <c r="G216" s="2956">
        <v>5330</v>
      </c>
    </row>
    <row r="217" spans="1:7" s="2777" customFormat="1" ht="14.25" customHeight="1">
      <c r="A217" s="2943" t="s">
        <v>304</v>
      </c>
      <c r="B217" s="2943" t="s">
        <v>2942</v>
      </c>
      <c r="C217" s="2943">
        <v>8200</v>
      </c>
      <c r="D217" s="2943">
        <v>8150</v>
      </c>
      <c r="E217" s="2943">
        <v>10910</v>
      </c>
      <c r="F217" s="2943">
        <v>1670</v>
      </c>
      <c r="G217" s="2956">
        <v>5150</v>
      </c>
    </row>
    <row r="218" spans="1:7" s="2777" customFormat="1" ht="14.25" customHeight="1">
      <c r="A218" s="2943" t="s">
        <v>304</v>
      </c>
      <c r="B218" s="2943" t="s">
        <v>3078</v>
      </c>
      <c r="C218" s="2943"/>
      <c r="D218" s="2943"/>
      <c r="E218" s="2943"/>
      <c r="F218" s="2943">
        <v>2040</v>
      </c>
      <c r="G218" s="2956"/>
    </row>
    <row r="219" spans="1:7" s="2777" customFormat="1" ht="14.25" customHeight="1">
      <c r="A219" s="2943" t="s">
        <v>304</v>
      </c>
      <c r="B219" s="2943" t="s">
        <v>3079</v>
      </c>
      <c r="C219" s="2943"/>
      <c r="D219" s="2943"/>
      <c r="E219" s="2943"/>
      <c r="F219" s="2943">
        <v>2040</v>
      </c>
      <c r="G219" s="2956"/>
    </row>
    <row r="220" spans="1:7" s="2777" customFormat="1" ht="14.25" customHeight="1">
      <c r="A220" s="2943" t="s">
        <v>304</v>
      </c>
      <c r="B220" s="2943" t="s">
        <v>3080</v>
      </c>
      <c r="C220" s="2943"/>
      <c r="D220" s="2943"/>
      <c r="E220" s="2943"/>
      <c r="F220" s="2943">
        <v>2040</v>
      </c>
      <c r="G220" s="2956"/>
    </row>
    <row r="221" spans="1:7" s="2777" customFormat="1" ht="14.25" customHeight="1">
      <c r="A221" s="2943" t="s">
        <v>304</v>
      </c>
      <c r="B221" s="2943" t="s">
        <v>3081</v>
      </c>
      <c r="C221" s="2943"/>
      <c r="D221" s="2943"/>
      <c r="E221" s="2943"/>
      <c r="F221" s="2943">
        <v>2040</v>
      </c>
      <c r="G221" s="2956"/>
    </row>
    <row r="222" spans="1:7" s="2777" customFormat="1" ht="14.25" customHeight="1">
      <c r="A222" s="2943" t="s">
        <v>304</v>
      </c>
      <c r="B222" s="2943" t="s">
        <v>3082</v>
      </c>
      <c r="C222" s="2943"/>
      <c r="D222" s="2943"/>
      <c r="E222" s="2943"/>
      <c r="F222" s="2943">
        <v>2040</v>
      </c>
      <c r="G222" s="2956"/>
    </row>
    <row r="223" spans="1:7" s="2777" customFormat="1" ht="14.25" customHeight="1">
      <c r="A223" s="2943" t="s">
        <v>304</v>
      </c>
      <c r="B223" s="2943" t="s">
        <v>3083</v>
      </c>
      <c r="C223" s="2943"/>
      <c r="D223" s="2943"/>
      <c r="E223" s="2943"/>
      <c r="F223" s="2943">
        <v>1930</v>
      </c>
      <c r="G223" s="2956"/>
    </row>
    <row r="224" spans="1:7" s="2777" customFormat="1" ht="14.25" customHeight="1">
      <c r="A224" s="2943" t="s">
        <v>304</v>
      </c>
      <c r="B224" s="2943" t="s">
        <v>3084</v>
      </c>
      <c r="C224" s="2943"/>
      <c r="D224" s="2943"/>
      <c r="E224" s="2943"/>
      <c r="F224" s="2943">
        <v>1930</v>
      </c>
      <c r="G224" s="2956"/>
    </row>
    <row r="225" spans="1:7" s="2777" customFormat="1" ht="14.25" customHeight="1">
      <c r="A225" s="2943" t="s">
        <v>304</v>
      </c>
      <c r="B225" s="2943" t="s">
        <v>3085</v>
      </c>
      <c r="C225" s="2943"/>
      <c r="D225" s="2943"/>
      <c r="E225" s="2943"/>
      <c r="F225" s="2943">
        <v>1930</v>
      </c>
      <c r="G225" s="2956"/>
    </row>
    <row r="226" spans="1:7" s="2777" customFormat="1" ht="14.25" customHeight="1">
      <c r="A226" s="2943" t="s">
        <v>304</v>
      </c>
      <c r="B226" s="2943" t="s">
        <v>3086</v>
      </c>
      <c r="C226" s="2943"/>
      <c r="D226" s="2943"/>
      <c r="E226" s="2943"/>
      <c r="F226" s="2943">
        <v>1700</v>
      </c>
      <c r="G226" s="2956"/>
    </row>
    <row r="227" spans="1:7" s="2777" customFormat="1" ht="14.25" customHeight="1">
      <c r="A227" s="2943" t="s">
        <v>304</v>
      </c>
      <c r="B227" s="2943" t="s">
        <v>3087</v>
      </c>
      <c r="C227" s="2943"/>
      <c r="D227" s="2943"/>
      <c r="E227" s="2943"/>
      <c r="F227" s="2943">
        <v>1520</v>
      </c>
      <c r="G227" s="2956"/>
    </row>
    <row r="228" spans="1:7" s="2777" customFormat="1" ht="14.25" customHeight="1">
      <c r="A228" s="2943" t="s">
        <v>304</v>
      </c>
      <c r="B228" s="2943" t="s">
        <v>3088</v>
      </c>
      <c r="C228" s="2943"/>
      <c r="D228" s="2943"/>
      <c r="E228" s="2943"/>
      <c r="F228" s="2943">
        <v>1520</v>
      </c>
      <c r="G228" s="2956"/>
    </row>
    <row r="229" spans="1:7" s="2777" customFormat="1" ht="14.25" customHeight="1">
      <c r="A229" s="2943" t="s">
        <v>304</v>
      </c>
      <c r="B229" s="2943" t="s">
        <v>3005</v>
      </c>
      <c r="C229" s="2943"/>
      <c r="D229" s="2943"/>
      <c r="E229" s="2943"/>
      <c r="F229" s="2943">
        <v>1520</v>
      </c>
      <c r="G229" s="2956"/>
    </row>
    <row r="230" spans="1:7" s="2777" customFormat="1" ht="14.25" customHeight="1">
      <c r="A230" s="2943" t="s">
        <v>304</v>
      </c>
      <c r="B230" s="2943" t="s">
        <v>3089</v>
      </c>
      <c r="C230" s="2943"/>
      <c r="D230" s="2943"/>
      <c r="E230" s="2943"/>
      <c r="F230" s="2943">
        <v>1820</v>
      </c>
      <c r="G230" s="2956"/>
    </row>
    <row r="231" spans="1:7" s="2777" customFormat="1" ht="14.25" customHeight="1">
      <c r="A231" s="2943" t="s">
        <v>304</v>
      </c>
      <c r="B231" s="2943" t="s">
        <v>3090</v>
      </c>
      <c r="C231" s="2943"/>
      <c r="D231" s="2943"/>
      <c r="E231" s="2943"/>
      <c r="F231" s="2943">
        <v>1760</v>
      </c>
      <c r="G231" s="2956"/>
    </row>
    <row r="232" spans="1:7" s="2777" customFormat="1" ht="14.25" customHeight="1">
      <c r="A232" s="2943" t="s">
        <v>304</v>
      </c>
      <c r="B232" s="2943" t="s">
        <v>3091</v>
      </c>
      <c r="C232" s="2943"/>
      <c r="D232" s="2943"/>
      <c r="E232" s="2943"/>
      <c r="F232" s="2943">
        <v>1840</v>
      </c>
      <c r="G232" s="2956"/>
    </row>
    <row r="233" spans="1:7" s="2777" customFormat="1" ht="14.25" customHeight="1" thickBot="1">
      <c r="A233" s="2957" t="s">
        <v>304</v>
      </c>
      <c r="B233" s="2950" t="s">
        <v>3022</v>
      </c>
      <c r="C233" s="2950"/>
      <c r="D233" s="2950"/>
      <c r="E233" s="2950"/>
      <c r="F233" s="2950">
        <v>1770</v>
      </c>
      <c r="G233" s="2958"/>
    </row>
    <row r="234" spans="1:7" s="2777" customFormat="1" ht="14.25" customHeight="1">
      <c r="A234" s="2948" t="s">
        <v>305</v>
      </c>
      <c r="B234" s="2939" t="s">
        <v>3092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2863</v>
      </c>
      <c r="C238" s="2943">
        <v>6920</v>
      </c>
      <c r="D238" s="2943">
        <v>6890</v>
      </c>
      <c r="E238" s="2943">
        <v>8640</v>
      </c>
      <c r="F238" s="2943">
        <v>1310</v>
      </c>
      <c r="G238" s="2943">
        <v>4230</v>
      </c>
    </row>
    <row r="239" spans="1:7" s="2777" customFormat="1" ht="14.25" customHeight="1">
      <c r="A239" s="2943" t="s">
        <v>305</v>
      </c>
      <c r="B239" s="2943" t="s">
        <v>3093</v>
      </c>
      <c r="C239" s="2943">
        <v>6780</v>
      </c>
      <c r="D239" s="2943">
        <v>6750</v>
      </c>
      <c r="E239" s="2943">
        <v>8440</v>
      </c>
      <c r="F239" s="2943">
        <v>1160</v>
      </c>
      <c r="G239" s="2943">
        <v>4140</v>
      </c>
    </row>
    <row r="240" spans="1:7" s="2777" customFormat="1" ht="14.25" customHeight="1">
      <c r="A240" s="2943" t="s">
        <v>305</v>
      </c>
      <c r="B240" s="2943" t="s">
        <v>3094</v>
      </c>
      <c r="C240" s="2943">
        <v>5420</v>
      </c>
      <c r="D240" s="2943">
        <v>5380</v>
      </c>
      <c r="E240" s="2943">
        <v>6640</v>
      </c>
      <c r="F240" s="2943">
        <v>1020</v>
      </c>
      <c r="G240" s="2943">
        <v>3300</v>
      </c>
    </row>
    <row r="241" spans="1:7" s="2777" customFormat="1" ht="14.25" customHeight="1">
      <c r="A241" s="2943" t="s">
        <v>305</v>
      </c>
      <c r="B241" s="2943" t="s">
        <v>3095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3096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3097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3098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3099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2925</v>
      </c>
      <c r="C258" s="2943">
        <v>6190</v>
      </c>
      <c r="D258" s="2943">
        <v>6160</v>
      </c>
      <c r="E258" s="2943">
        <v>7680</v>
      </c>
      <c r="F258" s="2943">
        <v>1170</v>
      </c>
      <c r="G258" s="2943">
        <v>3780</v>
      </c>
    </row>
    <row r="259" spans="1:7" s="2777" customFormat="1" ht="14.25" customHeight="1">
      <c r="A259" s="2943" t="s">
        <v>305</v>
      </c>
      <c r="B259" s="2943" t="s">
        <v>3101</v>
      </c>
      <c r="C259" s="2943">
        <v>7610</v>
      </c>
      <c r="D259" s="2943">
        <v>7570</v>
      </c>
      <c r="E259" s="2943">
        <v>9350</v>
      </c>
      <c r="F259" s="2943">
        <v>1350</v>
      </c>
      <c r="G259" s="2943">
        <v>4650</v>
      </c>
    </row>
    <row r="260" spans="1:7" s="2777" customFormat="1" ht="14.25" customHeight="1">
      <c r="A260" s="2943" t="s">
        <v>305</v>
      </c>
      <c r="B260" s="2943" t="s">
        <v>3102</v>
      </c>
      <c r="C260" s="2943">
        <v>6920</v>
      </c>
      <c r="D260" s="2943">
        <v>6880</v>
      </c>
      <c r="E260" s="2943">
        <v>8380</v>
      </c>
      <c r="F260" s="2943">
        <v>1160</v>
      </c>
      <c r="G260" s="2943">
        <v>4220</v>
      </c>
    </row>
    <row r="261" spans="1:7" s="2777" customFormat="1" ht="14.25" customHeight="1">
      <c r="A261" s="2943" t="s">
        <v>305</v>
      </c>
      <c r="B261" s="2943" t="s">
        <v>3103</v>
      </c>
      <c r="C261" s="2943">
        <v>6850</v>
      </c>
      <c r="D261" s="2943">
        <v>6810</v>
      </c>
      <c r="E261" s="2943">
        <v>8290</v>
      </c>
      <c r="F261" s="2943">
        <v>1130</v>
      </c>
      <c r="G261" s="2943">
        <v>4180</v>
      </c>
    </row>
    <row r="262" spans="1:7" s="2777" customFormat="1" ht="14.25" customHeight="1">
      <c r="A262" s="2943" t="s">
        <v>305</v>
      </c>
      <c r="B262" s="2943" t="s">
        <v>3104</v>
      </c>
      <c r="C262" s="2943">
        <v>5860</v>
      </c>
      <c r="D262" s="2943">
        <v>5820</v>
      </c>
      <c r="E262" s="2943">
        <v>7640</v>
      </c>
      <c r="F262" s="2943">
        <v>1070</v>
      </c>
      <c r="G262" s="2943">
        <v>3570</v>
      </c>
    </row>
    <row r="263" spans="1:7" s="2777" customFormat="1" ht="14.25" customHeight="1">
      <c r="A263" s="2943" t="s">
        <v>305</v>
      </c>
      <c r="B263" s="2943" t="s">
        <v>3105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3106</v>
      </c>
      <c r="C265" s="2943"/>
      <c r="D265" s="2943"/>
      <c r="E265" s="2943"/>
      <c r="F265" s="2943">
        <v>1500</v>
      </c>
      <c r="G265" s="2943"/>
    </row>
    <row r="266" spans="1:7" s="2777" customFormat="1" ht="14.25" customHeight="1">
      <c r="A266" s="2943" t="s">
        <v>305</v>
      </c>
      <c r="B266" s="2943" t="s">
        <v>3107</v>
      </c>
      <c r="C266" s="2943"/>
      <c r="D266" s="2943"/>
      <c r="E266" s="2943"/>
      <c r="F266" s="2943">
        <v>1500</v>
      </c>
      <c r="G266" s="2943"/>
    </row>
    <row r="267" spans="1:7" s="2777" customFormat="1" ht="14.25" customHeight="1">
      <c r="A267" s="2943" t="s">
        <v>305</v>
      </c>
      <c r="B267" s="2943" t="s">
        <v>3108</v>
      </c>
      <c r="C267" s="2943"/>
      <c r="D267" s="2943"/>
      <c r="E267" s="2943"/>
      <c r="F267" s="2943">
        <v>1500</v>
      </c>
      <c r="G267" s="2943"/>
    </row>
    <row r="268" spans="1:7" s="2777" customFormat="1" ht="14.25" customHeight="1">
      <c r="A268" s="2943" t="s">
        <v>305</v>
      </c>
      <c r="B268" s="2943" t="s">
        <v>3109</v>
      </c>
      <c r="C268" s="2943"/>
      <c r="D268" s="2943"/>
      <c r="E268" s="2943"/>
      <c r="F268" s="2943">
        <v>1290</v>
      </c>
      <c r="G268" s="2943"/>
    </row>
    <row r="269" spans="1:7" s="2777" customFormat="1" ht="14.25" customHeight="1">
      <c r="A269" s="2943" t="s">
        <v>305</v>
      </c>
      <c r="B269" s="2943" t="s">
        <v>3110</v>
      </c>
      <c r="C269" s="2943"/>
      <c r="D269" s="2943"/>
      <c r="E269" s="2943"/>
      <c r="F269" s="2943">
        <v>1150</v>
      </c>
      <c r="G269" s="2943"/>
    </row>
    <row r="270" spans="1:7" s="2777" customFormat="1" ht="14.25" customHeight="1">
      <c r="A270" s="2943" t="s">
        <v>305</v>
      </c>
      <c r="B270" s="2943" t="s">
        <v>3111</v>
      </c>
      <c r="C270" s="2943"/>
      <c r="D270" s="2943"/>
      <c r="E270" s="2943"/>
      <c r="F270" s="2943">
        <v>1380</v>
      </c>
      <c r="G270" s="2943"/>
    </row>
    <row r="271" spans="1:7" s="2777" customFormat="1" ht="14.25" customHeight="1">
      <c r="A271" s="2943" t="s">
        <v>305</v>
      </c>
      <c r="B271" s="2943" t="s">
        <v>3112</v>
      </c>
      <c r="C271" s="2943"/>
      <c r="D271" s="2943"/>
      <c r="E271" s="2943"/>
      <c r="F271" s="2943">
        <v>1460</v>
      </c>
      <c r="G271" s="2943"/>
    </row>
    <row r="272" spans="1:7" s="2777" customFormat="1" ht="14.25" customHeight="1">
      <c r="A272" s="2943" t="s">
        <v>305</v>
      </c>
      <c r="B272" s="2943" t="s">
        <v>3113</v>
      </c>
      <c r="C272" s="2943"/>
      <c r="D272" s="2943"/>
      <c r="E272" s="2943"/>
      <c r="F272" s="2943">
        <v>1460</v>
      </c>
      <c r="G272" s="2943"/>
    </row>
    <row r="273" spans="1:7" s="2777" customFormat="1" ht="14.25" customHeight="1">
      <c r="A273" s="2943" t="s">
        <v>305</v>
      </c>
      <c r="B273" s="2943" t="s">
        <v>3006</v>
      </c>
      <c r="C273" s="2943"/>
      <c r="D273" s="2943"/>
      <c r="E273" s="2943"/>
      <c r="F273" s="2943">
        <v>1490</v>
      </c>
      <c r="G273" s="2943"/>
    </row>
    <row r="274" spans="1:7" s="2777" customFormat="1" ht="14.25" customHeight="1">
      <c r="A274" s="2943" t="s">
        <v>305</v>
      </c>
      <c r="B274" s="2943" t="s">
        <v>3114</v>
      </c>
      <c r="C274" s="2943"/>
      <c r="D274" s="2943"/>
      <c r="E274" s="2943"/>
      <c r="F274" s="2943">
        <v>1490</v>
      </c>
      <c r="G274" s="2943"/>
    </row>
    <row r="275" spans="1:7" s="2777" customFormat="1" ht="14.25" customHeight="1">
      <c r="A275" s="2943" t="s">
        <v>305</v>
      </c>
      <c r="B275" s="2943" t="s">
        <v>3115</v>
      </c>
      <c r="C275" s="2943"/>
      <c r="D275" s="2943"/>
      <c r="E275" s="2943"/>
      <c r="F275" s="2943">
        <v>1220</v>
      </c>
      <c r="G275" s="2943"/>
    </row>
    <row r="276" spans="1:7" s="2777" customFormat="1" ht="14.25" customHeight="1" thickBot="1">
      <c r="A276" s="2951" t="s">
        <v>305</v>
      </c>
      <c r="B276" s="2953" t="s">
        <v>3116</v>
      </c>
      <c r="C276" s="2954"/>
      <c r="D276" s="2954"/>
      <c r="E276" s="2954"/>
      <c r="F276" s="2954">
        <v>1380</v>
      </c>
      <c r="G276" s="2954"/>
    </row>
    <row r="277" spans="1:7" s="2777" customFormat="1" ht="14.25" customHeight="1">
      <c r="A277" s="2948" t="s">
        <v>306</v>
      </c>
      <c r="B277" s="2939" t="s">
        <v>3117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3118</v>
      </c>
      <c r="C279" s="2943">
        <v>4760</v>
      </c>
      <c r="D279" s="2943">
        <v>4720</v>
      </c>
      <c r="E279" s="2943">
        <v>5540</v>
      </c>
      <c r="F279" s="2943">
        <v>810</v>
      </c>
      <c r="G279" s="2956">
        <v>2850</v>
      </c>
    </row>
    <row r="280" spans="1:7" s="2777" customFormat="1" ht="14.25" customHeight="1">
      <c r="A280" s="2943" t="s">
        <v>306</v>
      </c>
      <c r="B280" s="2943" t="s">
        <v>3119</v>
      </c>
      <c r="C280" s="2943">
        <v>4010</v>
      </c>
      <c r="D280" s="2943">
        <v>3950</v>
      </c>
      <c r="E280" s="2943">
        <v>4710</v>
      </c>
      <c r="F280" s="2943">
        <v>800</v>
      </c>
      <c r="G280" s="2956">
        <v>2390</v>
      </c>
    </row>
    <row r="281" spans="1:7" s="2777" customFormat="1" ht="14.25" customHeight="1">
      <c r="A281" s="2943" t="s">
        <v>306</v>
      </c>
      <c r="B281" s="2943" t="s">
        <v>3120</v>
      </c>
      <c r="C281" s="2943">
        <v>4480</v>
      </c>
      <c r="D281" s="2943">
        <v>4420</v>
      </c>
      <c r="E281" s="2943">
        <v>5230</v>
      </c>
      <c r="F281" s="2943">
        <v>870</v>
      </c>
      <c r="G281" s="2956">
        <v>2660</v>
      </c>
    </row>
    <row r="282" spans="1:7" s="2777" customFormat="1" ht="14.25" customHeight="1">
      <c r="A282" s="2943" t="s">
        <v>306</v>
      </c>
      <c r="B282" s="2943" t="s">
        <v>3121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3122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3123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2898</v>
      </c>
      <c r="C293" s="2943">
        <v>5320</v>
      </c>
      <c r="D293" s="2943">
        <v>5270</v>
      </c>
      <c r="E293" s="2943">
        <v>6160</v>
      </c>
      <c r="F293" s="2943">
        <v>990</v>
      </c>
      <c r="G293" s="2956">
        <v>3170</v>
      </c>
    </row>
    <row r="294" spans="1:7" s="2777" customFormat="1" ht="14.25" customHeight="1">
      <c r="A294" s="2943" t="s">
        <v>306</v>
      </c>
      <c r="B294" s="2943" t="s">
        <v>3124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2917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3125</v>
      </c>
      <c r="C302" s="2943">
        <v>5520</v>
      </c>
      <c r="D302" s="2943">
        <v>5470</v>
      </c>
      <c r="E302" s="2943">
        <v>6410</v>
      </c>
      <c r="F302" s="2943">
        <v>950</v>
      </c>
      <c r="G302" s="2956">
        <v>3300</v>
      </c>
    </row>
    <row r="303" spans="1:7" s="2777" customFormat="1" ht="14.25" customHeight="1">
      <c r="A303" s="2943" t="s">
        <v>306</v>
      </c>
      <c r="B303" s="2943" t="s">
        <v>2937</v>
      </c>
      <c r="C303" s="2943">
        <v>5630</v>
      </c>
      <c r="D303" s="2943">
        <v>5590</v>
      </c>
      <c r="E303" s="2943">
        <v>6550</v>
      </c>
      <c r="F303" s="2943">
        <v>1010</v>
      </c>
      <c r="G303" s="2956">
        <v>3370</v>
      </c>
    </row>
    <row r="304" spans="1:7" s="2777" customFormat="1" ht="14.25" customHeight="1">
      <c r="A304" s="2943" t="s">
        <v>306</v>
      </c>
      <c r="B304" s="2943" t="s">
        <v>2944</v>
      </c>
      <c r="C304" s="2943">
        <v>5680</v>
      </c>
      <c r="D304" s="2943">
        <v>5620</v>
      </c>
      <c r="E304" s="2943">
        <v>6620</v>
      </c>
      <c r="F304" s="2943">
        <v>1050</v>
      </c>
      <c r="G304" s="2956">
        <v>3390</v>
      </c>
    </row>
    <row r="305" spans="1:7" s="2777" customFormat="1" ht="14.25" customHeight="1">
      <c r="A305" s="2943" t="s">
        <v>306</v>
      </c>
      <c r="B305" s="2943" t="s">
        <v>2950</v>
      </c>
      <c r="C305" s="2943">
        <v>5590</v>
      </c>
      <c r="D305" s="2943">
        <v>5530</v>
      </c>
      <c r="E305" s="2943">
        <v>6460</v>
      </c>
      <c r="F305" s="2943">
        <v>900</v>
      </c>
      <c r="G305" s="2956">
        <v>3340</v>
      </c>
    </row>
    <row r="306" spans="1:7" s="2777" customFormat="1" ht="14.25" customHeight="1">
      <c r="A306" s="2943" t="s">
        <v>306</v>
      </c>
      <c r="B306" s="2943" t="s">
        <v>3126</v>
      </c>
      <c r="C306" s="2943">
        <v>5560</v>
      </c>
      <c r="D306" s="2943">
        <v>5510</v>
      </c>
      <c r="E306" s="2943">
        <v>6440</v>
      </c>
      <c r="F306" s="2943">
        <v>900</v>
      </c>
      <c r="G306" s="2956">
        <v>3320</v>
      </c>
    </row>
    <row r="307" spans="1:7" s="2777" customFormat="1" ht="14.25" customHeight="1">
      <c r="A307" s="2943" t="s">
        <v>306</v>
      </c>
      <c r="B307" s="2943" t="s">
        <v>2962</v>
      </c>
      <c r="C307" s="2943">
        <v>5650</v>
      </c>
      <c r="D307" s="2943">
        <v>5600</v>
      </c>
      <c r="E307" s="2943">
        <v>6590</v>
      </c>
      <c r="F307" s="2943">
        <v>930</v>
      </c>
      <c r="G307" s="2956">
        <v>3380</v>
      </c>
    </row>
    <row r="308" spans="1:7" s="2777" customFormat="1" ht="14.25" customHeight="1">
      <c r="A308" s="2943" t="s">
        <v>306</v>
      </c>
      <c r="B308" s="2943" t="s">
        <v>3127</v>
      </c>
      <c r="C308" s="2943">
        <v>5620</v>
      </c>
      <c r="D308" s="2943">
        <v>5580</v>
      </c>
      <c r="E308" s="2943">
        <v>6540</v>
      </c>
      <c r="F308" s="2943">
        <v>910</v>
      </c>
      <c r="G308" s="2956">
        <v>3370</v>
      </c>
    </row>
    <row r="309" spans="1:7" s="2777" customFormat="1" ht="14.25" customHeight="1">
      <c r="A309" s="2943" t="s">
        <v>306</v>
      </c>
      <c r="B309" s="2943" t="s">
        <v>3128</v>
      </c>
      <c r="C309" s="2943">
        <v>5060</v>
      </c>
      <c r="D309" s="2943">
        <v>5020</v>
      </c>
      <c r="E309" s="2943">
        <v>6370</v>
      </c>
      <c r="F309" s="2943">
        <v>800</v>
      </c>
      <c r="G309" s="2956">
        <v>3020</v>
      </c>
    </row>
    <row r="310" spans="1:7" s="2777" customFormat="1" ht="14.25" customHeight="1">
      <c r="A310" s="2943" t="s">
        <v>306</v>
      </c>
      <c r="B310" s="2943" t="s">
        <v>2977</v>
      </c>
      <c r="C310" s="2943">
        <v>5150</v>
      </c>
      <c r="D310" s="2943">
        <v>5110</v>
      </c>
      <c r="E310" s="2943">
        <v>6500</v>
      </c>
      <c r="F310" s="2943">
        <v>880</v>
      </c>
      <c r="G310" s="2956">
        <v>3080</v>
      </c>
    </row>
    <row r="311" spans="1:7" s="2777" customFormat="1" ht="14.25" customHeight="1">
      <c r="A311" s="2943" t="s">
        <v>306</v>
      </c>
      <c r="B311" s="2943" t="s">
        <v>3129</v>
      </c>
      <c r="C311" s="2943">
        <v>4750</v>
      </c>
      <c r="D311" s="2943">
        <v>4710</v>
      </c>
      <c r="E311" s="2943">
        <v>5510</v>
      </c>
      <c r="F311" s="2943">
        <v>880</v>
      </c>
      <c r="G311" s="2956">
        <v>2840</v>
      </c>
    </row>
    <row r="312" spans="1:7" s="2777" customFormat="1" ht="14.25" customHeight="1">
      <c r="A312" s="2943" t="s">
        <v>306</v>
      </c>
      <c r="B312" s="2943" t="s">
        <v>2987</v>
      </c>
      <c r="C312" s="2943">
        <v>4690</v>
      </c>
      <c r="D312" s="2943">
        <v>4640</v>
      </c>
      <c r="E312" s="2943">
        <v>5420</v>
      </c>
      <c r="F312" s="2943">
        <v>800</v>
      </c>
      <c r="G312" s="2956">
        <v>2800</v>
      </c>
    </row>
    <row r="313" spans="1:7" s="2777" customFormat="1" ht="14.25" customHeight="1">
      <c r="A313" s="2943" t="s">
        <v>306</v>
      </c>
      <c r="B313" s="2943" t="s">
        <v>2992</v>
      </c>
      <c r="C313" s="2943">
        <v>4810</v>
      </c>
      <c r="D313" s="2943">
        <v>4760</v>
      </c>
      <c r="E313" s="2943">
        <v>5550</v>
      </c>
      <c r="F313" s="2943">
        <v>920</v>
      </c>
      <c r="G313" s="2956">
        <v>2870</v>
      </c>
    </row>
    <row r="314" spans="1:7" s="2777" customFormat="1" ht="14.25" customHeight="1">
      <c r="A314" s="2943" t="s">
        <v>306</v>
      </c>
      <c r="B314" s="2943" t="s">
        <v>3130</v>
      </c>
      <c r="C314" s="2943"/>
      <c r="D314" s="2943"/>
      <c r="E314" s="2943"/>
      <c r="F314" s="2943">
        <v>1020</v>
      </c>
      <c r="G314" s="2956"/>
    </row>
    <row r="315" spans="1:7" s="2777" customFormat="1" ht="14.25" customHeight="1">
      <c r="A315" s="2943" t="s">
        <v>306</v>
      </c>
      <c r="B315" s="2943" t="s">
        <v>3131</v>
      </c>
      <c r="C315" s="2943"/>
      <c r="D315" s="2943"/>
      <c r="E315" s="2943"/>
      <c r="F315" s="2943">
        <v>1050</v>
      </c>
      <c r="G315" s="2956"/>
    </row>
    <row r="316" spans="1:7" s="2777" customFormat="1" ht="14.25" customHeight="1">
      <c r="A316" s="2943" t="s">
        <v>306</v>
      </c>
      <c r="B316" s="2943" t="s">
        <v>3007</v>
      </c>
      <c r="C316" s="2943"/>
      <c r="D316" s="2943"/>
      <c r="E316" s="2943"/>
      <c r="F316" s="2943">
        <v>900</v>
      </c>
      <c r="G316" s="2956"/>
    </row>
    <row r="317" spans="1:7" s="2777" customFormat="1" ht="14.25" customHeight="1">
      <c r="A317" s="2943" t="s">
        <v>306</v>
      </c>
      <c r="B317" s="2943" t="s">
        <v>3132</v>
      </c>
      <c r="C317" s="2943"/>
      <c r="D317" s="2943"/>
      <c r="E317" s="2943"/>
      <c r="F317" s="2943">
        <v>920</v>
      </c>
      <c r="G317" s="2956"/>
    </row>
    <row r="318" spans="1:7" s="2777" customFormat="1" ht="14.25" customHeight="1">
      <c r="A318" s="2943" t="s">
        <v>306</v>
      </c>
      <c r="B318" s="2943" t="s">
        <v>3133</v>
      </c>
      <c r="C318" s="2943"/>
      <c r="D318" s="2943"/>
      <c r="E318" s="2943"/>
      <c r="F318" s="2943">
        <v>1080</v>
      </c>
      <c r="G318" s="2956"/>
    </row>
    <row r="319" spans="1:7" s="2777" customFormat="1" ht="14.25" customHeight="1">
      <c r="A319" s="2943" t="s">
        <v>306</v>
      </c>
      <c r="B319" s="2943" t="s">
        <v>3020</v>
      </c>
      <c r="C319" s="2943"/>
      <c r="D319" s="2943"/>
      <c r="E319" s="2943"/>
      <c r="F319" s="2943">
        <v>1020</v>
      </c>
      <c r="G319" s="2956"/>
    </row>
    <row r="320" spans="1:7" s="2777" customFormat="1" ht="14.25" customHeight="1">
      <c r="A320" s="2943" t="s">
        <v>306</v>
      </c>
      <c r="B320" s="2943" t="s">
        <v>3023</v>
      </c>
      <c r="C320" s="2943"/>
      <c r="D320" s="2943"/>
      <c r="E320" s="2943"/>
      <c r="F320" s="2943">
        <v>1050</v>
      </c>
      <c r="G320" s="2956"/>
    </row>
    <row r="321" spans="1:7" s="2777" customFormat="1" ht="14.25" customHeight="1">
      <c r="A321" s="2943" t="s">
        <v>306</v>
      </c>
      <c r="B321" s="2943" t="s">
        <v>3025</v>
      </c>
      <c r="C321" s="2943"/>
      <c r="D321" s="2943"/>
      <c r="E321" s="2943"/>
      <c r="F321" s="2943">
        <v>960</v>
      </c>
      <c r="G321" s="2956"/>
    </row>
    <row r="322" spans="1:7" s="2777" customFormat="1" ht="14.25" customHeight="1">
      <c r="A322" s="2943" t="s">
        <v>306</v>
      </c>
      <c r="B322" s="2943" t="s">
        <v>3027</v>
      </c>
      <c r="C322" s="2943"/>
      <c r="D322" s="2943"/>
      <c r="E322" s="2943"/>
      <c r="F322" s="2943">
        <v>960</v>
      </c>
      <c r="G322" s="2956"/>
    </row>
    <row r="323" spans="1:7" s="2777" customFormat="1" ht="14.25" customHeight="1">
      <c r="A323" s="2943" t="s">
        <v>306</v>
      </c>
      <c r="B323" s="2943" t="s">
        <v>3029</v>
      </c>
      <c r="C323" s="2943"/>
      <c r="D323" s="2943"/>
      <c r="E323" s="2943"/>
      <c r="F323" s="2943">
        <v>880</v>
      </c>
      <c r="G323" s="2956"/>
    </row>
    <row r="324" spans="1:7" s="2777" customFormat="1" ht="14.25" customHeight="1">
      <c r="A324" s="2943" t="s">
        <v>306</v>
      </c>
      <c r="B324" s="2943" t="s">
        <v>3031</v>
      </c>
      <c r="C324" s="2943"/>
      <c r="D324" s="2943"/>
      <c r="E324" s="2943"/>
      <c r="F324" s="2943">
        <v>930</v>
      </c>
      <c r="G324" s="2956"/>
    </row>
    <row r="325" spans="1:7" s="2777" customFormat="1" ht="14.25" customHeight="1">
      <c r="A325" s="2943" t="s">
        <v>306</v>
      </c>
      <c r="B325" s="2944" t="s">
        <v>3033</v>
      </c>
      <c r="C325" s="2943"/>
      <c r="D325" s="2943"/>
      <c r="E325" s="2943"/>
      <c r="F325" s="2943">
        <v>900</v>
      </c>
      <c r="G325" s="2956"/>
    </row>
    <row r="326" spans="1:7" s="2777" customFormat="1" ht="14.25" customHeight="1" thickBot="1">
      <c r="A326" s="2957" t="s">
        <v>306</v>
      </c>
      <c r="B326" s="2950" t="s">
        <v>3035</v>
      </c>
      <c r="C326" s="2950"/>
      <c r="D326" s="2950"/>
      <c r="E326" s="2950"/>
      <c r="F326" s="2950">
        <v>790</v>
      </c>
      <c r="G326" s="2958"/>
    </row>
    <row r="327" spans="1:7" s="2777" customFormat="1" ht="14.25" customHeight="1">
      <c r="A327" s="2948" t="s">
        <v>307</v>
      </c>
      <c r="B327" s="2939" t="s">
        <v>3134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3135</v>
      </c>
      <c r="C329" s="2943">
        <v>2730</v>
      </c>
      <c r="D329" s="2943">
        <v>2690</v>
      </c>
      <c r="E329" s="2943">
        <v>3100</v>
      </c>
      <c r="F329" s="2943">
        <v>660</v>
      </c>
      <c r="G329" s="2943">
        <v>1610</v>
      </c>
    </row>
    <row r="330" spans="1:7" s="2777" customFormat="1" ht="14.25" customHeight="1">
      <c r="A330" s="2943" t="s">
        <v>307</v>
      </c>
      <c r="B330" s="2943" t="s">
        <v>3136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2869</v>
      </c>
      <c r="C332" s="2943">
        <v>3520</v>
      </c>
      <c r="D332" s="2943">
        <v>3480</v>
      </c>
      <c r="E332" s="2943">
        <v>3830</v>
      </c>
      <c r="F332" s="2943">
        <v>720</v>
      </c>
      <c r="G332" s="2943">
        <v>2090</v>
      </c>
    </row>
    <row r="333" spans="1:7" s="2777" customFormat="1" ht="14.25" customHeight="1">
      <c r="A333" s="2943" t="s">
        <v>307</v>
      </c>
      <c r="B333" s="2943" t="s">
        <v>3137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2879</v>
      </c>
      <c r="C336" s="2943">
        <v>3570</v>
      </c>
      <c r="D336" s="2943">
        <v>3530</v>
      </c>
      <c r="E336" s="2943">
        <v>3880</v>
      </c>
      <c r="F336" s="2943">
        <v>770</v>
      </c>
      <c r="G336" s="2943">
        <v>2110</v>
      </c>
    </row>
    <row r="337" spans="1:10" s="2777" customFormat="1" ht="14.25" customHeight="1">
      <c r="A337" s="2943" t="s">
        <v>307</v>
      </c>
      <c r="B337" s="2943" t="s">
        <v>3138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3139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2904</v>
      </c>
      <c r="C345" s="2943">
        <v>3190</v>
      </c>
      <c r="D345" s="2943">
        <v>3140</v>
      </c>
      <c r="E345" s="2943">
        <v>3450</v>
      </c>
      <c r="F345" s="2943">
        <v>720</v>
      </c>
      <c r="G345" s="2943">
        <v>1880</v>
      </c>
      <c r="J345" s="2777"/>
    </row>
    <row r="346" spans="1:10">
      <c r="A346" s="2943" t="s">
        <v>307</v>
      </c>
      <c r="B346" s="2943" t="s">
        <v>3141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2913</v>
      </c>
      <c r="C348" s="2943">
        <v>4000</v>
      </c>
      <c r="D348" s="2943">
        <v>3950</v>
      </c>
      <c r="E348" s="2943">
        <v>4430</v>
      </c>
      <c r="F348" s="2943">
        <v>760</v>
      </c>
      <c r="G348" s="2943">
        <v>2360</v>
      </c>
      <c r="J348" s="2777"/>
    </row>
    <row r="349" spans="1:10">
      <c r="A349" s="2943" t="s">
        <v>307</v>
      </c>
      <c r="B349" s="2943" t="s">
        <v>2918</v>
      </c>
      <c r="C349" s="2943">
        <v>3820</v>
      </c>
      <c r="D349" s="2943">
        <v>3780</v>
      </c>
      <c r="E349" s="2943">
        <v>4170</v>
      </c>
      <c r="F349" s="2943">
        <v>710</v>
      </c>
      <c r="G349" s="2943">
        <v>2260</v>
      </c>
      <c r="J349" s="2777"/>
    </row>
    <row r="350" spans="1:10">
      <c r="A350" s="2943" t="s">
        <v>307</v>
      </c>
      <c r="B350" s="2943" t="s">
        <v>3142</v>
      </c>
      <c r="C350" s="2943">
        <v>3760</v>
      </c>
      <c r="D350" s="2943">
        <v>3730</v>
      </c>
      <c r="E350" s="2943">
        <v>4100</v>
      </c>
      <c r="F350" s="2943">
        <v>800</v>
      </c>
      <c r="G350" s="2943">
        <v>2230</v>
      </c>
      <c r="J350" s="2777"/>
    </row>
    <row r="351" spans="1:10">
      <c r="A351" s="2943" t="s">
        <v>307</v>
      </c>
      <c r="B351" s="2943" t="s">
        <v>2926</v>
      </c>
      <c r="C351" s="2943">
        <v>3610</v>
      </c>
      <c r="D351" s="2943">
        <v>3580</v>
      </c>
      <c r="E351" s="2943">
        <v>3930</v>
      </c>
      <c r="F351" s="2943">
        <v>700</v>
      </c>
      <c r="G351" s="2943">
        <v>2140</v>
      </c>
      <c r="J351" s="2777"/>
    </row>
    <row r="352" spans="1:10">
      <c r="A352" s="2943" t="s">
        <v>307</v>
      </c>
      <c r="B352" s="2943" t="s">
        <v>2931</v>
      </c>
      <c r="C352" s="2943">
        <v>3670</v>
      </c>
      <c r="D352" s="2943">
        <v>3630</v>
      </c>
      <c r="E352" s="2943">
        <v>4000</v>
      </c>
      <c r="F352" s="2943">
        <v>750</v>
      </c>
      <c r="G352" s="2943">
        <v>2180</v>
      </c>
    </row>
    <row r="353" spans="1:7" s="2778" customFormat="1">
      <c r="A353" s="2943" t="s">
        <v>307</v>
      </c>
      <c r="B353" s="2943" t="s">
        <v>3143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2951</v>
      </c>
      <c r="C355" s="2943">
        <v>3650</v>
      </c>
      <c r="D355" s="2943">
        <v>3610</v>
      </c>
      <c r="E355" s="2943">
        <v>4200</v>
      </c>
      <c r="F355" s="2943">
        <v>640</v>
      </c>
      <c r="G355" s="2943">
        <v>2160</v>
      </c>
    </row>
    <row r="356" spans="1:7" s="2778" customFormat="1">
      <c r="A356" s="2943" t="s">
        <v>307</v>
      </c>
      <c r="B356" s="2943" t="s">
        <v>2958</v>
      </c>
      <c r="C356" s="2943">
        <v>3260</v>
      </c>
      <c r="D356" s="2943">
        <v>3230</v>
      </c>
      <c r="E356" s="2943">
        <v>3740</v>
      </c>
      <c r="F356" s="2943">
        <v>600</v>
      </c>
      <c r="G356" s="2943">
        <v>1930</v>
      </c>
    </row>
    <row r="357" spans="1:7" s="2778" customFormat="1" ht="12" thickBot="1">
      <c r="A357" s="2951" t="s">
        <v>307</v>
      </c>
      <c r="B357" s="2954" t="s">
        <v>3144</v>
      </c>
      <c r="C357" s="2954">
        <v>3690</v>
      </c>
      <c r="D357" s="2954">
        <v>3650</v>
      </c>
      <c r="E357" s="2954">
        <v>4020</v>
      </c>
      <c r="F357" s="2954">
        <v>700</v>
      </c>
      <c r="G357" s="2954">
        <v>2190</v>
      </c>
    </row>
    <row r="358" spans="1:7" s="2778" customFormat="1">
      <c r="A358" s="2948" t="s">
        <v>3145</v>
      </c>
      <c r="B358" s="2939" t="s">
        <v>3146</v>
      </c>
      <c r="C358" s="2939">
        <v>2080</v>
      </c>
      <c r="D358" s="2939">
        <v>2040</v>
      </c>
      <c r="E358" s="2939">
        <v>2010</v>
      </c>
      <c r="F358" s="2939">
        <v>530</v>
      </c>
      <c r="G358" s="2955">
        <v>1230</v>
      </c>
    </row>
    <row r="359" spans="1:7" s="2778" customFormat="1">
      <c r="A359" s="2943" t="s">
        <v>3145</v>
      </c>
      <c r="B359" s="2943" t="s">
        <v>3147</v>
      </c>
      <c r="C359" s="2943">
        <v>1850</v>
      </c>
      <c r="D359" s="2943">
        <v>1820</v>
      </c>
      <c r="E359" s="2943">
        <v>1780</v>
      </c>
      <c r="F359" s="2943">
        <v>520</v>
      </c>
      <c r="G359" s="2956">
        <v>1100</v>
      </c>
    </row>
    <row r="360" spans="1:7" s="2778" customFormat="1">
      <c r="A360" s="2943" t="s">
        <v>3145</v>
      </c>
      <c r="B360" s="2943" t="s">
        <v>3148</v>
      </c>
      <c r="C360" s="2943">
        <v>2020</v>
      </c>
      <c r="D360" s="2943">
        <v>1990</v>
      </c>
      <c r="E360" s="2943">
        <v>1950</v>
      </c>
      <c r="F360" s="2943">
        <v>500</v>
      </c>
      <c r="G360" s="2956">
        <v>1200</v>
      </c>
    </row>
    <row r="361" spans="1:7" s="2778" customFormat="1">
      <c r="A361" s="2943" t="s">
        <v>3145</v>
      </c>
      <c r="B361" s="2943" t="s">
        <v>153</v>
      </c>
      <c r="C361" s="2943">
        <v>2260</v>
      </c>
      <c r="D361" s="2943">
        <v>2220</v>
      </c>
      <c r="E361" s="2943">
        <v>2180</v>
      </c>
      <c r="F361" s="2943">
        <v>580</v>
      </c>
      <c r="G361" s="2956">
        <v>1340</v>
      </c>
    </row>
    <row r="362" spans="1:7" s="2778" customFormat="1">
      <c r="A362" s="2943" t="s">
        <v>3145</v>
      </c>
      <c r="B362" s="2943" t="s">
        <v>3149</v>
      </c>
      <c r="C362" s="2943">
        <v>2650</v>
      </c>
      <c r="D362" s="2943">
        <v>2610</v>
      </c>
      <c r="E362" s="2943">
        <v>2570</v>
      </c>
      <c r="F362" s="2943">
        <v>630</v>
      </c>
      <c r="G362" s="2956">
        <v>1570</v>
      </c>
    </row>
    <row r="363" spans="1:7" s="2778" customFormat="1">
      <c r="A363" s="2943" t="s">
        <v>3145</v>
      </c>
      <c r="B363" s="2943" t="s">
        <v>2870</v>
      </c>
      <c r="C363" s="2943">
        <v>2390</v>
      </c>
      <c r="D363" s="2943">
        <v>2360</v>
      </c>
      <c r="E363" s="2943">
        <v>2320</v>
      </c>
      <c r="F363" s="2943">
        <v>600</v>
      </c>
      <c r="G363" s="2956">
        <v>1420</v>
      </c>
    </row>
    <row r="364" spans="1:7" s="2778" customFormat="1">
      <c r="A364" s="2943" t="s">
        <v>3145</v>
      </c>
      <c r="B364" s="2943" t="s">
        <v>3150</v>
      </c>
      <c r="C364" s="2943">
        <v>2050</v>
      </c>
      <c r="D364" s="2943">
        <v>2030</v>
      </c>
      <c r="E364" s="2943">
        <v>1990</v>
      </c>
      <c r="F364" s="2943">
        <v>550</v>
      </c>
      <c r="G364" s="2956">
        <v>1220</v>
      </c>
    </row>
    <row r="365" spans="1:7" s="2778" customFormat="1">
      <c r="A365" s="2943" t="s">
        <v>3145</v>
      </c>
      <c r="B365" s="2943" t="s">
        <v>200</v>
      </c>
      <c r="C365" s="2943">
        <v>2140</v>
      </c>
      <c r="D365" s="2943">
        <v>2100</v>
      </c>
      <c r="E365" s="2943">
        <v>2060</v>
      </c>
      <c r="F365" s="2943">
        <v>540</v>
      </c>
      <c r="G365" s="2956">
        <v>1270</v>
      </c>
    </row>
    <row r="366" spans="1:7" s="2778" customFormat="1">
      <c r="A366" s="2943" t="s">
        <v>3145</v>
      </c>
      <c r="B366" s="2943" t="s">
        <v>2877</v>
      </c>
      <c r="C366" s="2943">
        <v>2410</v>
      </c>
      <c r="D366" s="2943">
        <v>2370</v>
      </c>
      <c r="E366" s="2943">
        <v>2330</v>
      </c>
      <c r="F366" s="2943">
        <v>570</v>
      </c>
      <c r="G366" s="2956">
        <v>1440</v>
      </c>
    </row>
    <row r="367" spans="1:7" s="2778" customFormat="1">
      <c r="A367" s="2943" t="s">
        <v>3145</v>
      </c>
      <c r="B367" s="2943" t="s">
        <v>3151</v>
      </c>
      <c r="C367" s="2943">
        <v>2300</v>
      </c>
      <c r="D367" s="2943">
        <v>2260</v>
      </c>
      <c r="E367" s="2943">
        <v>2220</v>
      </c>
      <c r="F367" s="2943">
        <v>560</v>
      </c>
      <c r="G367" s="2956">
        <v>1370</v>
      </c>
    </row>
    <row r="368" spans="1:7" s="2778" customFormat="1">
      <c r="A368" s="2943" t="s">
        <v>3145</v>
      </c>
      <c r="B368" s="2943" t="s">
        <v>3152</v>
      </c>
      <c r="C368" s="2943">
        <v>2430</v>
      </c>
      <c r="D368" s="2943">
        <v>2390</v>
      </c>
      <c r="E368" s="2943">
        <v>2350</v>
      </c>
      <c r="F368" s="2943">
        <v>570</v>
      </c>
      <c r="G368" s="2956">
        <v>1450</v>
      </c>
    </row>
    <row r="369" spans="1:7" s="2778" customFormat="1">
      <c r="A369" s="2943" t="s">
        <v>3145</v>
      </c>
      <c r="B369" s="2943" t="s">
        <v>214</v>
      </c>
      <c r="C369" s="2943">
        <v>2320</v>
      </c>
      <c r="D369" s="2943">
        <v>2290</v>
      </c>
      <c r="E369" s="2943">
        <v>2250</v>
      </c>
      <c r="F369" s="2943">
        <v>550</v>
      </c>
      <c r="G369" s="2956">
        <v>1380</v>
      </c>
    </row>
    <row r="370" spans="1:7" s="2778" customFormat="1">
      <c r="A370" s="2943" t="s">
        <v>3145</v>
      </c>
      <c r="B370" s="2943" t="s">
        <v>221</v>
      </c>
      <c r="C370" s="2943">
        <v>2190</v>
      </c>
      <c r="D370" s="2943">
        <v>2170</v>
      </c>
      <c r="E370" s="2943">
        <v>2130</v>
      </c>
      <c r="F370" s="2943">
        <v>530</v>
      </c>
      <c r="G370" s="2956">
        <v>1310</v>
      </c>
    </row>
    <row r="371" spans="1:7" s="2778" customFormat="1">
      <c r="A371" s="2943" t="s">
        <v>3145</v>
      </c>
      <c r="B371" s="2943" t="s">
        <v>229</v>
      </c>
      <c r="C371" s="2943">
        <v>2460</v>
      </c>
      <c r="D371" s="2943">
        <v>2420</v>
      </c>
      <c r="E371" s="2943">
        <v>2370</v>
      </c>
      <c r="F371" s="2943">
        <v>560</v>
      </c>
      <c r="G371" s="2956">
        <v>1470</v>
      </c>
    </row>
    <row r="372" spans="1:7" s="2778" customFormat="1">
      <c r="A372" s="2943" t="s">
        <v>3145</v>
      </c>
      <c r="B372" s="2943" t="s">
        <v>3153</v>
      </c>
      <c r="C372" s="2943">
        <v>2250</v>
      </c>
      <c r="D372" s="2943">
        <v>2210</v>
      </c>
      <c r="E372" s="2943">
        <v>2180</v>
      </c>
      <c r="F372" s="2943">
        <v>550</v>
      </c>
      <c r="G372" s="2956">
        <v>1340</v>
      </c>
    </row>
    <row r="373" spans="1:7" s="2778" customFormat="1">
      <c r="A373" s="2943" t="s">
        <v>3145</v>
      </c>
      <c r="B373" s="2943" t="s">
        <v>258</v>
      </c>
      <c r="C373" s="2943">
        <v>2210</v>
      </c>
      <c r="D373" s="2943">
        <v>2190</v>
      </c>
      <c r="E373" s="2943">
        <v>2150</v>
      </c>
      <c r="F373" s="2943">
        <v>530</v>
      </c>
      <c r="G373" s="2956">
        <v>1320</v>
      </c>
    </row>
    <row r="374" spans="1:7" s="2778" customFormat="1">
      <c r="A374" s="2943" t="s">
        <v>3145</v>
      </c>
      <c r="B374" s="2943" t="s">
        <v>266</v>
      </c>
      <c r="C374" s="2943">
        <v>2320</v>
      </c>
      <c r="D374" s="2943">
        <v>2280</v>
      </c>
      <c r="E374" s="2943">
        <v>2230</v>
      </c>
      <c r="F374" s="2943">
        <v>580</v>
      </c>
      <c r="G374" s="2956">
        <v>1380</v>
      </c>
    </row>
    <row r="375" spans="1:7" s="2778" customFormat="1">
      <c r="A375" s="2943" t="s">
        <v>3145</v>
      </c>
      <c r="B375" s="2943" t="s">
        <v>3154</v>
      </c>
      <c r="C375" s="2943">
        <v>2090</v>
      </c>
      <c r="D375" s="2943">
        <v>2050</v>
      </c>
      <c r="E375" s="2943">
        <v>2020</v>
      </c>
      <c r="F375" s="2943">
        <v>520</v>
      </c>
      <c r="G375" s="2956">
        <v>1240</v>
      </c>
    </row>
    <row r="376" spans="1:7" s="2778" customFormat="1">
      <c r="A376" s="2943" t="s">
        <v>3145</v>
      </c>
      <c r="B376" s="2943" t="s">
        <v>277</v>
      </c>
      <c r="C376" s="2943">
        <v>2010</v>
      </c>
      <c r="D376" s="2943">
        <v>1980</v>
      </c>
      <c r="E376" s="2943">
        <v>1940</v>
      </c>
      <c r="F376" s="2943">
        <v>540</v>
      </c>
      <c r="G376" s="2956">
        <v>1190</v>
      </c>
    </row>
    <row r="377" spans="1:7" s="2778" customFormat="1" ht="12" thickBot="1">
      <c r="A377" s="2951" t="s">
        <v>3145</v>
      </c>
      <c r="B377" s="2954" t="s">
        <v>2907</v>
      </c>
      <c r="C377" s="2954">
        <v>1930</v>
      </c>
      <c r="D377" s="2954">
        <v>1890</v>
      </c>
      <c r="E377" s="2954">
        <v>1860</v>
      </c>
      <c r="F377" s="2954">
        <v>530</v>
      </c>
      <c r="G377" s="2959">
        <v>1150</v>
      </c>
    </row>
    <row r="378" spans="1:7" s="2778" customFormat="1">
      <c r="A378" s="2960" t="s">
        <v>3155</v>
      </c>
      <c r="B378" s="2939" t="s">
        <v>3156</v>
      </c>
      <c r="C378" s="2939">
        <v>1520</v>
      </c>
      <c r="D378" s="2939">
        <v>1490</v>
      </c>
      <c r="E378" s="2939">
        <v>1460</v>
      </c>
      <c r="F378" s="2939">
        <v>460</v>
      </c>
      <c r="G378" s="2955">
        <v>940</v>
      </c>
    </row>
    <row r="379" spans="1:7" s="2778" customFormat="1">
      <c r="A379" s="2961" t="s">
        <v>3155</v>
      </c>
      <c r="B379" s="2943" t="s">
        <v>3157</v>
      </c>
      <c r="C379" s="2943">
        <v>1500</v>
      </c>
      <c r="D379" s="2943">
        <v>1470</v>
      </c>
      <c r="E379" s="2943">
        <v>1430</v>
      </c>
      <c r="F379" s="2943">
        <v>460</v>
      </c>
      <c r="G379" s="2956">
        <v>920</v>
      </c>
    </row>
    <row r="380" spans="1:7" s="2778" customFormat="1">
      <c r="A380" s="2961" t="s">
        <v>3155</v>
      </c>
      <c r="B380" s="2943" t="s">
        <v>3158</v>
      </c>
      <c r="C380" s="2943">
        <v>1620</v>
      </c>
      <c r="D380" s="2943">
        <v>1590</v>
      </c>
      <c r="E380" s="2943">
        <v>1560</v>
      </c>
      <c r="F380" s="2943">
        <v>480</v>
      </c>
      <c r="G380" s="2956">
        <v>1000</v>
      </c>
    </row>
    <row r="381" spans="1:7" s="2778" customFormat="1">
      <c r="A381" s="2961" t="s">
        <v>3155</v>
      </c>
      <c r="B381" s="2943" t="s">
        <v>3159</v>
      </c>
      <c r="C381" s="2943">
        <v>1460</v>
      </c>
      <c r="D381" s="2943">
        <v>1430</v>
      </c>
      <c r="E381" s="2943">
        <v>1390</v>
      </c>
      <c r="F381" s="2943">
        <v>450</v>
      </c>
      <c r="G381" s="2956">
        <v>900</v>
      </c>
    </row>
    <row r="382" spans="1:7" s="2778" customFormat="1">
      <c r="A382" s="2961" t="s">
        <v>3155</v>
      </c>
      <c r="B382" s="2943" t="s">
        <v>3160</v>
      </c>
      <c r="C382" s="2943">
        <v>1310</v>
      </c>
      <c r="D382" s="2943">
        <v>1280</v>
      </c>
      <c r="E382" s="2943">
        <v>1250</v>
      </c>
      <c r="F382" s="2943">
        <v>440</v>
      </c>
      <c r="G382" s="2956">
        <v>800</v>
      </c>
    </row>
    <row r="383" spans="1:7" s="2778" customFormat="1">
      <c r="A383" s="2961" t="s">
        <v>3155</v>
      </c>
      <c r="B383" s="2943" t="s">
        <v>3161</v>
      </c>
      <c r="C383" s="2943">
        <v>1260</v>
      </c>
      <c r="D383" s="2943">
        <v>1230</v>
      </c>
      <c r="E383" s="2943">
        <v>1200</v>
      </c>
      <c r="F383" s="2943">
        <v>420</v>
      </c>
      <c r="G383" s="2956">
        <v>770</v>
      </c>
    </row>
    <row r="384" spans="1:7" s="2778" customFormat="1" ht="12" thickBot="1">
      <c r="A384" s="2962" t="s">
        <v>3155</v>
      </c>
      <c r="B384" s="2950" t="s">
        <v>3162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45943</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2291</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941</v>
      </c>
      <c r="B1" s="3199"/>
      <c r="C1" s="3199"/>
      <c r="D1" s="3199"/>
    </row>
    <row r="2" spans="1:4" ht="18">
      <c r="A2" s="3200" t="s">
        <v>925</v>
      </c>
      <c r="B2" s="3200"/>
      <c r="C2" s="3200"/>
      <c r="D2" s="3200"/>
    </row>
    <row r="3" spans="1:4" ht="18.75">
      <c r="A3" s="1403" t="s">
        <v>926</v>
      </c>
      <c r="B3" s="1403" t="s">
        <v>927</v>
      </c>
      <c r="C3" s="1403" t="s">
        <v>928</v>
      </c>
      <c r="D3" s="1403" t="s">
        <v>929</v>
      </c>
    </row>
    <row r="4" spans="1:4" ht="56.25" customHeight="1">
      <c r="A4" s="1404">
        <f>项目基本情况!B4</f>
        <v>0</v>
      </c>
      <c r="B4" s="1405">
        <f>项目基本情况!C4</f>
        <v>0</v>
      </c>
      <c r="C4" s="1406"/>
      <c r="D4" s="1407" t="s">
        <v>930</v>
      </c>
    </row>
    <row r="5" spans="1:4" ht="56.25" customHeight="1">
      <c r="A5" s="1404">
        <f>项目基本情况!D4</f>
        <v>0</v>
      </c>
      <c r="B5" s="1405">
        <f>项目基本情况!E4</f>
        <v>0</v>
      </c>
      <c r="C5" s="1408"/>
      <c r="D5" s="1407" t="s">
        <v>930</v>
      </c>
    </row>
    <row r="6" spans="1:4" ht="18">
      <c r="A6" s="3200" t="s">
        <v>931</v>
      </c>
      <c r="B6" s="3200"/>
      <c r="C6" s="3200"/>
      <c r="D6" s="3200"/>
    </row>
    <row r="7" spans="1:4" ht="18.75">
      <c r="A7" s="1403" t="s">
        <v>926</v>
      </c>
      <c r="B7" s="1405" t="s">
        <v>932</v>
      </c>
      <c r="C7" s="1403" t="s">
        <v>928</v>
      </c>
      <c r="D7" s="1403" t="s">
        <v>929</v>
      </c>
    </row>
    <row r="8" spans="1:4" ht="56.25" customHeight="1">
      <c r="A8" s="1409" t="s">
        <v>390</v>
      </c>
      <c r="B8" s="1409" t="s">
        <v>0</v>
      </c>
      <c r="C8" s="1406"/>
      <c r="D8" s="1407" t="s">
        <v>930</v>
      </c>
    </row>
    <row r="10" spans="1:4" ht="18.75">
      <c r="A10" s="1410" t="s">
        <v>933</v>
      </c>
    </row>
    <row r="11" spans="1:4" ht="30" customHeight="1">
      <c r="A11" s="3201" t="s">
        <v>934</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202" t="str">
        <f>IF(项目基本情况!B8="抵押","3.抵押双方在办理抵押登记手续时，应使用本公司出具的正式《房地产评估报告》，特提醒报告使用者注意。","——")</f>
        <v>——</v>
      </c>
      <c r="B13" s="3203"/>
      <c r="C13" s="3203"/>
      <c r="D13" s="3203"/>
    </row>
    <row r="14" spans="1:4" ht="15.75" customHeight="1">
      <c r="A14" s="3202" t="str">
        <f>IF(项目基本情况!B8="抵押","4.本次评估估价师所知悉的法定优先受偿款情况说明如下：","——")</f>
        <v>——</v>
      </c>
      <c r="B14" s="3203"/>
      <c r="C14" s="3203"/>
      <c r="D14" s="3203"/>
    </row>
    <row r="15" spans="1:4" ht="42" customHeight="1">
      <c r="A15" s="3202" t="str">
        <f>IF(项目基本情况!B8="抵押","（1）"&amp;CONCATENATE(项目基本情况!L20,项目基本情况!L21,项目基本情况!L22),"——")</f>
        <v>——</v>
      </c>
      <c r="B15" s="3202"/>
      <c r="C15" s="3202"/>
      <c r="D15" s="3202"/>
    </row>
    <row r="16" spans="1:4" ht="30" customHeight="1">
      <c r="A16" s="3205" t="s">
        <v>935</v>
      </c>
      <c r="B16" s="3205"/>
      <c r="C16" s="3205"/>
      <c r="D16" s="3205"/>
    </row>
    <row r="17" spans="1:4" ht="144" customHeight="1">
      <c r="A17" s="3205" t="s">
        <v>936</v>
      </c>
      <c r="B17" s="3205"/>
      <c r="C17" s="3205"/>
      <c r="D17" s="3205"/>
    </row>
    <row r="18" spans="1:4" ht="15.75" customHeight="1">
      <c r="A18" s="3202" t="str">
        <f>IF(项目基本情况!B8="抵押",'结果表-车位'!K120,"——")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937</v>
      </c>
      <c r="B22" s="3207"/>
      <c r="C22" s="3207"/>
      <c r="D22" s="3207"/>
    </row>
    <row r="23" spans="1:4">
      <c r="A23" s="1411"/>
      <c r="B23" s="459"/>
      <c r="C23" s="459"/>
      <c r="D23" s="459"/>
    </row>
    <row r="24" spans="1:4">
      <c r="A24" s="1411"/>
      <c r="B24" s="459"/>
      <c r="C24" s="459"/>
      <c r="D24" s="459"/>
    </row>
    <row r="25" spans="1:4" ht="18.75">
      <c r="A25" s="1412" t="s">
        <v>938</v>
      </c>
    </row>
    <row r="26" spans="1:4" ht="18">
      <c r="A26" s="1383"/>
    </row>
    <row r="27" spans="1:4" ht="18.75">
      <c r="A27" s="1383" t="s">
        <v>939</v>
      </c>
    </row>
    <row r="30" spans="1:4" ht="18.75">
      <c r="D30" s="1412" t="s">
        <v>940</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8" customWidth="1"/>
    <col min="2" max="16384" width="14.5" style="1401"/>
  </cols>
  <sheetData>
    <row r="1" spans="1:7" s="1415" customFormat="1" ht="18.75">
      <c r="A1" s="1414" t="s">
        <v>942</v>
      </c>
    </row>
    <row r="3" spans="1:7">
      <c r="A3" s="1416" t="s">
        <v>55</v>
      </c>
      <c r="B3" s="1401" t="s">
        <v>943</v>
      </c>
      <c r="G3" s="1417"/>
    </row>
    <row r="4" spans="1:7">
      <c r="G4" s="1417"/>
    </row>
    <row r="5" spans="1:7">
      <c r="A5" s="1419" t="s">
        <v>46</v>
      </c>
      <c r="B5" s="1401" t="s">
        <v>944</v>
      </c>
      <c r="G5" s="1417"/>
    </row>
    <row r="6" spans="1:7">
      <c r="G6" s="1417"/>
    </row>
    <row r="7" spans="1:7">
      <c r="A7" s="1420" t="s">
        <v>108</v>
      </c>
      <c r="B7" s="1401" t="s">
        <v>945</v>
      </c>
      <c r="G7" s="1417"/>
    </row>
    <row r="8" spans="1:7">
      <c r="G8" s="1417"/>
    </row>
    <row r="9" spans="1:7">
      <c r="A9" s="1421" t="s">
        <v>47</v>
      </c>
      <c r="B9" s="1401" t="s">
        <v>946</v>
      </c>
    </row>
    <row r="11" spans="1:7">
      <c r="A11" s="1422" t="s">
        <v>48</v>
      </c>
      <c r="B11" s="1423" t="s">
        <v>45</v>
      </c>
    </row>
    <row r="13" spans="1:7">
      <c r="A13" s="1424" t="s">
        <v>947</v>
      </c>
    </row>
    <row r="15" spans="1:7" ht="13.5">
      <c r="A15" s="3213" t="s">
        <v>948</v>
      </c>
      <c r="B15" s="3208" t="s">
        <v>109</v>
      </c>
      <c r="C15" s="3209"/>
    </row>
    <row r="16" spans="1:7" ht="13.5">
      <c r="A16" s="3214"/>
      <c r="B16" s="3208" t="s">
        <v>42</v>
      </c>
      <c r="C16" s="3209"/>
    </row>
    <row r="17" spans="1:3" ht="13.5">
      <c r="A17" s="3214"/>
      <c r="B17" s="3211" t="s">
        <v>949</v>
      </c>
      <c r="C17" s="1425" t="s">
        <v>948</v>
      </c>
    </row>
    <row r="18" spans="1:3" ht="13.5">
      <c r="A18" s="3214"/>
      <c r="B18" s="3211"/>
      <c r="C18" s="1425" t="s">
        <v>950</v>
      </c>
    </row>
    <row r="19" spans="1:3" ht="13.5">
      <c r="A19" s="3214"/>
      <c r="B19" s="3211"/>
      <c r="C19" s="1425" t="s">
        <v>951</v>
      </c>
    </row>
    <row r="20" spans="1:3" ht="13.5">
      <c r="A20" s="3215"/>
      <c r="B20" s="3210" t="s">
        <v>952</v>
      </c>
      <c r="C20" s="3209"/>
    </row>
    <row r="21" spans="1:3" ht="13.5">
      <c r="A21" s="1426" t="s">
        <v>953</v>
      </c>
      <c r="B21" s="1427"/>
      <c r="C21" s="1428"/>
    </row>
    <row r="22" spans="1:3" ht="13.5">
      <c r="A22" s="3212" t="s">
        <v>954</v>
      </c>
      <c r="B22" s="3210" t="s">
        <v>955</v>
      </c>
      <c r="C22" s="3209"/>
    </row>
    <row r="23" spans="1:3" ht="13.5">
      <c r="A23" s="3212"/>
      <c r="B23" s="3210" t="s">
        <v>956</v>
      </c>
      <c r="C23" s="3209"/>
    </row>
    <row r="24" spans="1:3" ht="13.5">
      <c r="A24" s="3212"/>
      <c r="B24" s="3210" t="s">
        <v>957</v>
      </c>
      <c r="C24" s="3209"/>
    </row>
    <row r="25" spans="1:3" ht="13.5">
      <c r="A25" s="3212"/>
      <c r="B25" s="3211" t="s">
        <v>958</v>
      </c>
      <c r="C25" s="1425" t="s">
        <v>959</v>
      </c>
    </row>
    <row r="26" spans="1:3" ht="13.5">
      <c r="A26" s="3212"/>
      <c r="B26" s="3211"/>
      <c r="C26" s="1425" t="s">
        <v>960</v>
      </c>
    </row>
    <row r="27" spans="1:3" ht="13.5">
      <c r="A27" s="3212"/>
      <c r="B27" s="3211"/>
      <c r="C27" s="1425" t="s">
        <v>961</v>
      </c>
    </row>
    <row r="28" spans="1:3" ht="13.5">
      <c r="A28" s="3212"/>
      <c r="B28" s="3211"/>
      <c r="C28" s="1425" t="s">
        <v>962</v>
      </c>
    </row>
    <row r="29" spans="1:3" ht="13.5">
      <c r="A29" s="3212"/>
      <c r="B29" s="3211"/>
      <c r="C29" s="1425" t="s">
        <v>963</v>
      </c>
    </row>
    <row r="30" spans="1:3" ht="13.5">
      <c r="A30" s="3212"/>
      <c r="B30" s="3211"/>
      <c r="C30" s="1425" t="s">
        <v>964</v>
      </c>
    </row>
    <row r="31" spans="1:3" ht="13.5">
      <c r="A31" s="3212"/>
      <c r="B31" s="3211"/>
      <c r="C31" s="1425" t="s">
        <v>965</v>
      </c>
    </row>
    <row r="32" spans="1:3" ht="13.5">
      <c r="A32" s="3212"/>
      <c r="B32" s="3211"/>
      <c r="C32" s="1425" t="s">
        <v>966</v>
      </c>
    </row>
    <row r="33" spans="1:3" ht="13.5">
      <c r="A33" s="3212"/>
      <c r="B33" s="3211"/>
      <c r="C33" s="1425" t="s">
        <v>967</v>
      </c>
    </row>
    <row r="34" spans="1:3">
      <c r="A34" s="1429" t="s">
        <v>49</v>
      </c>
    </row>
    <row r="37" spans="1:3">
      <c r="A37" s="1429" t="s">
        <v>968</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2130</v>
      </c>
      <c r="B2" s="2152">
        <f ca="1">TODAY()</f>
        <v>45946</v>
      </c>
      <c r="C2" s="2153" t="s">
        <v>2131</v>
      </c>
      <c r="D2" s="2153"/>
      <c r="E2" s="2153"/>
      <c r="F2" s="2149"/>
      <c r="G2" s="2149"/>
      <c r="H2" s="2149"/>
    </row>
    <row r="3" spans="1:8" ht="24" customHeight="1">
      <c r="A3" s="2154" t="s">
        <v>2132</v>
      </c>
      <c r="B3" s="1215" t="s">
        <v>2133</v>
      </c>
      <c r="C3" s="1215" t="s">
        <v>2134</v>
      </c>
      <c r="D3" s="2155" t="s">
        <v>2135</v>
      </c>
      <c r="E3" s="2156" t="s">
        <v>2136</v>
      </c>
      <c r="F3" s="1215" t="s">
        <v>2137</v>
      </c>
      <c r="G3" s="1215" t="s">
        <v>2134</v>
      </c>
      <c r="H3" s="2155" t="s">
        <v>2138</v>
      </c>
    </row>
    <row r="4" spans="1:8" ht="24" customHeight="1">
      <c r="A4" s="1215" t="s">
        <v>2139</v>
      </c>
      <c r="B4" s="1215" t="str">
        <f ca="1">IF(C4&lt;B2,"已过期",1119970066)</f>
        <v>已过期</v>
      </c>
      <c r="C4" s="2157">
        <v>45937</v>
      </c>
      <c r="D4" s="2158" t="str">
        <f ca="1">A4&amp;"（注册号："&amp;B4&amp;"）"</f>
        <v>梁津（注册号：已过期）</v>
      </c>
      <c r="E4" s="2159" t="s">
        <v>2139</v>
      </c>
      <c r="F4" s="1215">
        <f ca="1">IF(G4&lt;B2,"已过期",96010014)</f>
        <v>96010014</v>
      </c>
      <c r="G4" s="2160">
        <v>47118</v>
      </c>
      <c r="H4" s="2161" t="str">
        <f ca="1">E4&amp;"（注册号："&amp;F4&amp;"）"</f>
        <v>梁津（注册号：96010014）</v>
      </c>
    </row>
    <row r="5" spans="1:8" ht="24" customHeight="1">
      <c r="A5" s="1215" t="s">
        <v>2140</v>
      </c>
      <c r="B5" s="1215" t="str">
        <f ca="1">IF(C5&lt;B2,"已过期",1119970111)</f>
        <v>已过期</v>
      </c>
      <c r="C5" s="2157">
        <v>45937</v>
      </c>
      <c r="D5" s="2158" t="str">
        <f t="shared" ref="D5:D15" ca="1" si="0">A5&amp;"（注册号："&amp;B5&amp;"）"</f>
        <v>叶凌（注册号：已过期）</v>
      </c>
      <c r="E5" s="2159" t="s">
        <v>2140</v>
      </c>
      <c r="F5" s="1215">
        <f ca="1">IF(G5&lt;B2,"已过期",94010078)</f>
        <v>94010078</v>
      </c>
      <c r="G5" s="2160">
        <v>46387</v>
      </c>
      <c r="H5" s="2161" t="str">
        <f t="shared" ref="H5:H16" ca="1" si="1">E5&amp;"（注册号："&amp;F5&amp;"）"</f>
        <v>叶凌（注册号：94010078）</v>
      </c>
    </row>
    <row r="6" spans="1:8" ht="24" customHeight="1">
      <c r="A6" s="1215" t="s">
        <v>2141</v>
      </c>
      <c r="B6" s="1215" t="str">
        <f ca="1">IF(C6&lt;B2,"已过期",1120050019)</f>
        <v>已过期</v>
      </c>
      <c r="C6" s="2157">
        <v>45410</v>
      </c>
      <c r="D6" s="2158" t="str">
        <f t="shared" ca="1" si="0"/>
        <v>王鹏（注册号：已过期）</v>
      </c>
      <c r="E6" s="2159" t="s">
        <v>2141</v>
      </c>
      <c r="F6" s="1215">
        <f ca="1">IF(G6&lt;B2,"已过期",2002110030)</f>
        <v>2002110030</v>
      </c>
      <c r="G6" s="2160">
        <v>46387</v>
      </c>
      <c r="H6" s="2161" t="str">
        <f t="shared" ca="1" si="1"/>
        <v>王鹏（注册号：2002110030）</v>
      </c>
    </row>
    <row r="7" spans="1:8" ht="24" customHeight="1">
      <c r="A7" s="1215" t="s">
        <v>2142</v>
      </c>
      <c r="B7" s="1215" t="str">
        <f ca="1">IF(C7&lt;B2,"已过期",1120000080)</f>
        <v>已过期</v>
      </c>
      <c r="C7" s="2157">
        <v>45937</v>
      </c>
      <c r="D7" s="2158" t="str">
        <f t="shared" ca="1" si="0"/>
        <v>欧红伟（注册号：已过期）</v>
      </c>
      <c r="E7" s="2159" t="s">
        <v>2142</v>
      </c>
      <c r="F7" s="1215">
        <f ca="1">IF(G7&lt;B2,"已过期",2000110082)</f>
        <v>2000110082</v>
      </c>
      <c r="G7" s="2160">
        <v>46387</v>
      </c>
      <c r="H7" s="2161" t="str">
        <f t="shared" ca="1" si="1"/>
        <v>欧红伟（注册号：2000110082）</v>
      </c>
    </row>
    <row r="8" spans="1:8" ht="24" customHeight="1">
      <c r="A8" s="1215" t="s">
        <v>2143</v>
      </c>
      <c r="B8" s="1215" t="str">
        <f ca="1">IF(C8&lt;B2,"已过期",1419970001)</f>
        <v>已过期</v>
      </c>
      <c r="C8" s="2157">
        <v>45937</v>
      </c>
      <c r="D8" s="2158" t="str">
        <f t="shared" ca="1" si="0"/>
        <v>吴薇（注册号：已过期）</v>
      </c>
      <c r="E8" s="2159" t="s">
        <v>2143</v>
      </c>
      <c r="F8" s="1215">
        <f ca="1">IF(G8&lt;B2,"已过期",2002110125)</f>
        <v>2002110125</v>
      </c>
      <c r="G8" s="2160">
        <v>47118</v>
      </c>
      <c r="H8" s="2161" t="str">
        <f t="shared" ca="1" si="1"/>
        <v>吴薇（注册号：2002110125）</v>
      </c>
    </row>
    <row r="9" spans="1:8" ht="24" customHeight="1">
      <c r="A9" s="1215" t="s">
        <v>2144</v>
      </c>
      <c r="B9" s="1215" t="str">
        <f ca="1">IF(C9&lt;B2,"已过期",1120060040)</f>
        <v>已过期</v>
      </c>
      <c r="C9" s="2162">
        <v>45592</v>
      </c>
      <c r="D9" s="2158" t="str">
        <f t="shared" ca="1" si="0"/>
        <v>陈颖（注册号：已过期）</v>
      </c>
      <c r="E9" s="2159" t="s">
        <v>2144</v>
      </c>
      <c r="F9" s="1215">
        <f ca="1">IF(G9&lt;B2,"已过期",2004110096)</f>
        <v>2004110096</v>
      </c>
      <c r="G9" s="2160">
        <v>47118</v>
      </c>
      <c r="H9" s="2161" t="str">
        <f t="shared" ca="1" si="1"/>
        <v>陈颖（注册号：2004110096）</v>
      </c>
    </row>
    <row r="10" spans="1:8" ht="24" customHeight="1">
      <c r="A10" s="1215" t="s">
        <v>2145</v>
      </c>
      <c r="B10" s="1215" t="str">
        <f ca="1">IF(C10&lt;B2,"已过期",1120100036)</f>
        <v>已过期</v>
      </c>
      <c r="C10" s="2162">
        <v>45752</v>
      </c>
      <c r="D10" s="2158" t="str">
        <f t="shared" ca="1" si="0"/>
        <v>崔锴（注册号：已过期）</v>
      </c>
      <c r="E10" s="2159" t="s">
        <v>2145</v>
      </c>
      <c r="F10" s="1215">
        <f ca="1">IF(G10&lt;B2,"已过期",2010110070)</f>
        <v>2010110070</v>
      </c>
      <c r="G10" s="2160">
        <v>47907</v>
      </c>
      <c r="H10" s="2161" t="str">
        <f t="shared" ca="1" si="1"/>
        <v>崔锴（注册号：2010110070）</v>
      </c>
    </row>
    <row r="11" spans="1:8" ht="24" customHeight="1">
      <c r="A11" s="1215" t="s">
        <v>2146</v>
      </c>
      <c r="B11" s="1215" t="str">
        <f ca="1">IF(C11&lt;B2,"已过期",1120070131)</f>
        <v>已过期</v>
      </c>
      <c r="C11" s="2157">
        <v>45937</v>
      </c>
      <c r="D11" s="2158" t="str">
        <f t="shared" ca="1" si="0"/>
        <v>郑燚（注册号：已过期）</v>
      </c>
      <c r="E11" s="2159" t="s">
        <v>2146</v>
      </c>
      <c r="F11" s="1215">
        <f ca="1">IF(G11&lt;B2,"已过期",2014110011)</f>
        <v>2014110011</v>
      </c>
      <c r="G11" s="2160">
        <v>49302</v>
      </c>
      <c r="H11" s="2161" t="str">
        <f t="shared" ca="1" si="1"/>
        <v>郑燚（注册号：2014110011）</v>
      </c>
    </row>
    <row r="12" spans="1:8" ht="24" customHeight="1">
      <c r="A12" s="1215" t="s">
        <v>2147</v>
      </c>
      <c r="B12" s="1215" t="str">
        <f ca="1">IF(C12&lt;B2,"已过期",1120040230)</f>
        <v>已过期</v>
      </c>
      <c r="C12" s="2162">
        <v>45937</v>
      </c>
      <c r="D12" s="2158" t="str">
        <f t="shared" ca="1" si="0"/>
        <v>苏海（注册号：已过期）</v>
      </c>
      <c r="E12" s="2159" t="s">
        <v>2147</v>
      </c>
      <c r="F12" s="1215">
        <f ca="1">IF(G12&lt;B2,"已过期",98030020)</f>
        <v>98030020</v>
      </c>
      <c r="G12" s="2160">
        <v>47118</v>
      </c>
      <c r="H12" s="2161" t="str">
        <f t="shared" ca="1" si="1"/>
        <v>苏海（注册号：98030020）</v>
      </c>
    </row>
    <row r="13" spans="1:8" ht="24" customHeight="1">
      <c r="A13" s="1215" t="s">
        <v>2148</v>
      </c>
      <c r="B13" s="1215" t="str">
        <f ca="1">IF(C13&lt;B2,"已过期",1120020033)</f>
        <v>已过期</v>
      </c>
      <c r="C13" s="2157">
        <v>45375</v>
      </c>
      <c r="D13" s="2158" t="str">
        <f t="shared" ca="1" si="0"/>
        <v>刘敬东（注册号：已过期）</v>
      </c>
      <c r="E13" s="2159" t="s">
        <v>2148</v>
      </c>
      <c r="F13" s="1215">
        <f ca="1">IF(G13&lt;B2,"已过期",2000110137)</f>
        <v>2000110137</v>
      </c>
      <c r="G13" s="2160">
        <v>46387</v>
      </c>
      <c r="H13" s="2161" t="str">
        <f t="shared" ca="1" si="1"/>
        <v>刘敬东（注册号：2000110137）</v>
      </c>
    </row>
    <row r="14" spans="1:8" ht="24" customHeight="1">
      <c r="A14" s="1215" t="s">
        <v>2149</v>
      </c>
      <c r="B14" s="1215" t="str">
        <f ca="1">IF(C14&lt;B2,"已过期",1119980106)</f>
        <v>已过期</v>
      </c>
      <c r="C14" s="2162">
        <v>44969</v>
      </c>
      <c r="D14" s="2158" t="str">
        <f t="shared" ca="1" si="0"/>
        <v>刘俊财（注册号：已过期）</v>
      </c>
      <c r="E14" s="2159" t="s">
        <v>2149</v>
      </c>
      <c r="F14" s="1215">
        <f ca="1">IF(G14&lt;B2,"已过期",96010063)</f>
        <v>96010063</v>
      </c>
      <c r="G14" s="2160">
        <v>47483</v>
      </c>
      <c r="H14" s="2161" t="str">
        <f t="shared" ca="1" si="1"/>
        <v>刘俊财（注册号：96010063）</v>
      </c>
    </row>
    <row r="15" spans="1:8" ht="24" customHeight="1">
      <c r="A15" s="1215" t="s">
        <v>2419</v>
      </c>
      <c r="B15" s="1215">
        <v>1120210056</v>
      </c>
      <c r="C15" s="2162">
        <v>45410</v>
      </c>
      <c r="D15" s="2158" t="str">
        <f t="shared" si="0"/>
        <v>宁小鳗（注册号：1120210056）</v>
      </c>
      <c r="E15" s="2159" t="s">
        <v>2150</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16" t="s">
        <v>2151</v>
      </c>
      <c r="B17" s="3216"/>
      <c r="C17" s="3216"/>
      <c r="D17" s="3216"/>
      <c r="E17" s="3216"/>
      <c r="F17" s="3216"/>
      <c r="G17" s="3216"/>
      <c r="H17" s="3216"/>
    </row>
    <row r="18" spans="1:8" ht="24" customHeight="1">
      <c r="A18" s="3217" t="s">
        <v>2152</v>
      </c>
      <c r="B18" s="3217"/>
      <c r="C18" s="3217"/>
      <c r="D18" s="2155"/>
      <c r="E18" s="3218" t="s">
        <v>2153</v>
      </c>
      <c r="F18" s="3217"/>
      <c r="G18" s="3217"/>
    </row>
    <row r="19" spans="1:8" s="2165" customFormat="1" ht="24" customHeight="1">
      <c r="A19" s="2164" t="s">
        <v>2154</v>
      </c>
      <c r="B19" s="1215" t="s">
        <v>2155</v>
      </c>
      <c r="C19" s="1215" t="s">
        <v>2134</v>
      </c>
      <c r="D19" s="2155"/>
      <c r="E19" s="2159" t="s">
        <v>2154</v>
      </c>
      <c r="F19" s="1215" t="s">
        <v>2155</v>
      </c>
      <c r="G19" s="1215" t="s">
        <v>2134</v>
      </c>
    </row>
    <row r="20" spans="1:8" s="2165" customFormat="1" ht="24" customHeight="1">
      <c r="A20" s="2166" t="s">
        <v>2156</v>
      </c>
      <c r="B20" s="2166" t="s">
        <v>2157</v>
      </c>
      <c r="C20" s="2160">
        <v>45898</v>
      </c>
      <c r="D20" s="2167"/>
      <c r="E20" s="2168" t="s">
        <v>2158</v>
      </c>
      <c r="F20" s="2171" t="s">
        <v>2420</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成本法</vt:lpstr>
      <vt:lpstr>假设开发法</vt:lpstr>
      <vt:lpstr>收益法</vt:lpstr>
      <vt:lpstr>结果表-办公</vt:lpstr>
      <vt:lpstr>比较法-办公</vt:lpstr>
      <vt:lpstr>收益法-办公</vt:lpstr>
      <vt:lpstr>典型户型修正-办公</vt:lpstr>
      <vt:lpstr>办公案例</vt:lpstr>
      <vt:lpstr>结果表-车位</vt:lpstr>
      <vt:lpstr>比较法-车位</vt:lpstr>
      <vt:lpstr>收益法-车位</vt:lpstr>
      <vt:lpstr>典型户型修正-车位</vt:lpstr>
      <vt:lpstr>车位案例</vt:lpstr>
      <vt:lpstr>成本法 (元)</vt:lpstr>
      <vt:lpstr>基准地价修正</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收益法!Print_Area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2025-10-16T09:31:48Z</dcterms:modified>
</cp:coreProperties>
</file>